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9\"/>
    </mc:Choice>
  </mc:AlternateContent>
  <xr:revisionPtr revIDLastSave="0" documentId="13_ncr:1_{3365D74C-A76B-4CC6-962D-6FE0E3BEDED6}" xr6:coauthVersionLast="43" xr6:coauthVersionMax="43" xr10:uidLastSave="{00000000-0000-0000-0000-000000000000}"/>
  <bookViews>
    <workbookView xWindow="-120" yWindow="-120" windowWidth="29040" windowHeight="15840" tabRatio="920"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Contraportada" sheetId="59" r:id="rId30"/>
  </sheets>
  <definedNames>
    <definedName name="_xlnm._FilterDatabase" localSheetId="7" hidden="1">'6. FP RER'!$T$51:$V$54</definedName>
    <definedName name="_xlnm._FilterDatabase" localSheetId="8" hidden="1">'7. Generacion empresa'!$L$4:$N$61</definedName>
    <definedName name="_xlnm._FilterDatabase" localSheetId="10" hidden="1">'9. Pot. Empresa'!$L$6:$N$61</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2">'21. ANEXOII-1'!$A$1:$F$73</definedName>
    <definedName name="_xlnm.Print_Area" localSheetId="24">'23. ANEXOII-3'!$A$1:$F$58</definedName>
    <definedName name="_xlnm.Print_Area" localSheetId="26">'25.ANEXO III -1'!$A$1:$F$12</definedName>
    <definedName name="_xlnm.Print_Area" localSheetId="27">'26.ANEXO III -2'!$A$1:$F$14</definedName>
    <definedName name="_xlnm.Print_Area" localSheetId="28">'27.ANEXO III - 3'!$A$1:$F$9</definedName>
    <definedName name="_xlnm.Print_Area" localSheetId="6">'5. RER'!$A$1:$K$61</definedName>
    <definedName name="_xlnm.Print_Area" localSheetId="7">'6. FP RER'!$A$1:$K$64</definedName>
    <definedName name="_xlnm.Print_Area" localSheetId="8">'7. Generacion empresa'!$A$1:$J$67</definedName>
    <definedName name="_xlnm.Print_Area" localSheetId="9">'8. Max Potencia'!$A$1:$K$62</definedName>
    <definedName name="_xlnm.Print_Area" localSheetId="10">'9. Pot. Empresa'!$A$1:$J$69</definedName>
    <definedName name="_xlnm.Print_Area" localSheetId="1">Índice!$A$1:$L$45</definedName>
    <definedName name="_xlnm.Print_Area" localSheetId="0">'Portada '!$A$1:$L$71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7" i="6" l="1"/>
  <c r="M18" i="6"/>
  <c r="H14" i="6"/>
  <c r="I14" i="6"/>
  <c r="E3" i="45" l="1"/>
  <c r="E3" i="46" s="1"/>
  <c r="E4" i="36"/>
  <c r="E5" i="36" s="1"/>
  <c r="E4" i="45" s="1"/>
  <c r="E4" i="46" s="1"/>
  <c r="E9" i="12"/>
  <c r="D9" i="12"/>
  <c r="C9" i="12"/>
  <c r="B9" i="12"/>
  <c r="B11" i="9"/>
  <c r="C11" i="9"/>
  <c r="D11" i="9"/>
  <c r="E11" i="9"/>
  <c r="F11" i="45"/>
  <c r="F12" i="45"/>
  <c r="F13" i="45"/>
  <c r="F14" i="45"/>
  <c r="F15" i="45"/>
  <c r="C13" i="22" l="1"/>
  <c r="D13" i="22"/>
  <c r="E13" i="22"/>
  <c r="F13" i="22"/>
  <c r="G13" i="22"/>
  <c r="H13" i="22"/>
  <c r="B13" i="22"/>
  <c r="H14" i="21"/>
  <c r="H13" i="21"/>
  <c r="H10" i="21"/>
  <c r="G11" i="21"/>
  <c r="G9" i="21"/>
  <c r="C7" i="44" l="1"/>
  <c r="C6" i="44"/>
  <c r="C5" i="44"/>
  <c r="B14" i="12" l="1"/>
  <c r="F14" i="8"/>
  <c r="G45" i="38"/>
  <c r="F45" i="38"/>
  <c r="A64" i="10" l="1"/>
  <c r="A43" i="10"/>
  <c r="H7" i="21" l="1"/>
  <c r="D62" i="11" l="1"/>
  <c r="C63" i="11"/>
  <c r="B63" i="11"/>
  <c r="E15" i="21" l="1"/>
  <c r="F15" i="21"/>
  <c r="D15" i="21"/>
  <c r="N14" i="18"/>
  <c r="G15" i="21" l="1"/>
  <c r="J11" i="9"/>
  <c r="H11" i="9"/>
  <c r="G11" i="9"/>
  <c r="D38" i="6" l="1"/>
  <c r="D6" i="16" l="1"/>
  <c r="C28" i="14" l="1"/>
  <c r="A38" i="22" l="1"/>
  <c r="F73" i="36" l="1"/>
  <c r="F72" i="36"/>
  <c r="F71" i="36"/>
  <c r="F6" i="36"/>
  <c r="F7" i="36"/>
  <c r="F8" i="36"/>
  <c r="F9" i="36"/>
  <c r="F10" i="36"/>
  <c r="F11" i="36"/>
  <c r="F12" i="36"/>
  <c r="F13" i="36"/>
  <c r="F14" i="36"/>
  <c r="F15" i="36"/>
  <c r="F16" i="36"/>
  <c r="F17" i="36"/>
  <c r="F18" i="36"/>
  <c r="F19" i="36"/>
  <c r="F20" i="36"/>
  <c r="F23" i="36"/>
  <c r="F24" i="36"/>
  <c r="F25" i="36"/>
  <c r="F26" i="36"/>
  <c r="F27" i="36"/>
  <c r="F28" i="36"/>
  <c r="F29" i="36"/>
  <c r="F30" i="36"/>
  <c r="F31" i="36"/>
  <c r="F32" i="36"/>
  <c r="F33" i="36"/>
  <c r="F34" i="36"/>
  <c r="F35" i="36"/>
  <c r="F36" i="36"/>
  <c r="F37" i="36"/>
  <c r="F38" i="36"/>
  <c r="F39" i="36"/>
  <c r="F40" i="36"/>
  <c r="F41" i="36"/>
  <c r="F42" i="36"/>
  <c r="F43" i="36"/>
  <c r="F44" i="36"/>
  <c r="F45" i="36"/>
  <c r="F46" i="36"/>
  <c r="F47" i="36"/>
  <c r="F48" i="36"/>
  <c r="F49" i="36"/>
  <c r="F50" i="36"/>
  <c r="F51" i="36"/>
  <c r="F52" i="36"/>
  <c r="F53" i="36"/>
  <c r="F54" i="36"/>
  <c r="F55" i="36"/>
  <c r="F56" i="36"/>
  <c r="F57" i="36"/>
  <c r="F58" i="36"/>
  <c r="F59" i="36"/>
  <c r="F60" i="36"/>
  <c r="F61" i="36"/>
  <c r="F62" i="36"/>
  <c r="F63" i="36"/>
  <c r="F64" i="36"/>
  <c r="F65" i="36"/>
  <c r="F66" i="36"/>
  <c r="F67" i="36"/>
  <c r="F68" i="36"/>
  <c r="F69" i="36"/>
  <c r="F70" i="36"/>
  <c r="F5" i="45"/>
  <c r="F6" i="45"/>
  <c r="F7" i="45"/>
  <c r="F8" i="45"/>
  <c r="F9" i="45"/>
  <c r="F10"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F71" i="45"/>
  <c r="A64" i="11" l="1"/>
  <c r="G8" i="21" l="1"/>
  <c r="F47" i="46" l="1"/>
  <c r="F46" i="46"/>
  <c r="F45" i="46"/>
  <c r="F44" i="46"/>
  <c r="F43" i="46"/>
  <c r="F42" i="46"/>
  <c r="F41" i="46"/>
  <c r="F40" i="46"/>
  <c r="F39" i="46"/>
  <c r="F38"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 i="46"/>
  <c r="F22" i="8" l="1"/>
  <c r="B19" i="8"/>
  <c r="C19" i="8"/>
  <c r="D19" i="8"/>
  <c r="E19" i="8"/>
  <c r="J12" i="7"/>
  <c r="H12" i="7"/>
  <c r="G12" i="7"/>
  <c r="E12" i="7"/>
  <c r="D12" i="7"/>
  <c r="C12" i="7"/>
  <c r="B12" i="7"/>
  <c r="I18" i="12" l="1"/>
  <c r="F18" i="12"/>
  <c r="J14" i="12"/>
  <c r="H14" i="12"/>
  <c r="G14" i="12"/>
  <c r="E14" i="12"/>
  <c r="D14" i="12"/>
  <c r="C14" i="12"/>
  <c r="F14" i="12" l="1"/>
  <c r="I14" i="12"/>
  <c r="K14" i="12"/>
  <c r="F14" i="7" l="1"/>
  <c r="I14" i="7"/>
  <c r="K14" i="7"/>
  <c r="F15" i="7"/>
  <c r="I15" i="7"/>
  <c r="K15" i="7"/>
  <c r="C3" i="4"/>
  <c r="F48" i="46" l="1"/>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61" i="13" l="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63" i="11" l="1"/>
  <c r="D12" i="9" l="1"/>
  <c r="F19" i="8" l="1"/>
  <c r="B47" i="4" l="1"/>
  <c r="A9" i="4"/>
  <c r="A53" i="21" l="1"/>
  <c r="A61" i="9" l="1"/>
  <c r="A34" i="9"/>
  <c r="A63" i="8"/>
  <c r="B49" i="4" l="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F2" i="38" l="1"/>
  <c r="F9" i="8" l="1"/>
  <c r="C64" i="13" l="1"/>
  <c r="B64" i="13"/>
  <c r="D64" i="13" l="1"/>
  <c r="N29" i="18"/>
  <c r="N28" i="18"/>
  <c r="N27" i="18"/>
  <c r="N26" i="18"/>
  <c r="N25" i="18"/>
  <c r="N24" i="18"/>
  <c r="N23" i="18"/>
  <c r="N20" i="18"/>
  <c r="N19" i="18"/>
  <c r="N18" i="18"/>
  <c r="N17" i="18"/>
  <c r="N16" i="18"/>
  <c r="N15" i="18"/>
  <c r="N12" i="18"/>
  <c r="N11" i="18"/>
  <c r="N10" i="18"/>
  <c r="N9" i="18"/>
  <c r="N8" i="18"/>
  <c r="H47" i="4" l="1"/>
  <c r="B31" i="6" l="1"/>
  <c r="A54" i="22" l="1"/>
  <c r="B58" i="18"/>
  <c r="B40" i="18"/>
  <c r="B21" i="18"/>
  <c r="A58" i="12"/>
  <c r="F65" i="13"/>
  <c r="B18" i="12" l="1"/>
  <c r="B20" i="12" s="1"/>
  <c r="C18" i="12"/>
  <c r="D18" i="12"/>
  <c r="E18" i="12"/>
  <c r="E20" i="12" s="1"/>
  <c r="G18" i="12"/>
  <c r="H18" i="12"/>
  <c r="H20" i="12" s="1"/>
  <c r="J18" i="12"/>
  <c r="F38" i="6" l="1"/>
  <c r="F40" i="6"/>
  <c r="F11" i="14" l="1"/>
  <c r="F39" i="6" l="1"/>
  <c r="F37" i="6"/>
  <c r="A58" i="7" l="1"/>
  <c r="E36" i="6"/>
  <c r="E64" i="11" l="1"/>
  <c r="C45" i="10"/>
  <c r="D3" i="36" l="1"/>
  <c r="D2" i="45" s="1"/>
  <c r="D2" i="46" s="1"/>
  <c r="C3" i="36"/>
  <c r="C2" i="45" s="1"/>
  <c r="C2" i="46" s="1"/>
  <c r="F2" i="37"/>
  <c r="F3" i="23"/>
  <c r="C2" i="23"/>
  <c r="C1" i="37" s="1"/>
  <c r="C1" i="38" s="1"/>
  <c r="E17" i="22"/>
  <c r="A17" i="22"/>
  <c r="A14" i="22"/>
  <c r="A16" i="21"/>
  <c r="F6" i="21"/>
  <c r="E6" i="21"/>
  <c r="D6" i="21"/>
  <c r="B47" i="18"/>
  <c r="B28" i="18"/>
  <c r="B10" i="18"/>
  <c r="C31" i="16"/>
  <c r="E6" i="16"/>
  <c r="A65" i="13"/>
  <c r="B3" i="13"/>
  <c r="B5" i="11"/>
  <c r="C5" i="11" s="1"/>
  <c r="B4" i="11"/>
  <c r="G6" i="7"/>
  <c r="G4" i="8" s="1"/>
  <c r="G4" i="9" s="1"/>
  <c r="D7" i="7"/>
  <c r="E7" i="7" s="1"/>
  <c r="A57" i="6"/>
  <c r="B42" i="6"/>
  <c r="D5" i="8" l="1"/>
  <c r="C7" i="7"/>
  <c r="B7" i="7" s="1"/>
  <c r="B5" i="8" s="1"/>
  <c r="D4" i="46"/>
  <c r="C4" i="46"/>
  <c r="D3" i="46"/>
  <c r="C3" i="46"/>
  <c r="D4" i="45"/>
  <c r="C4" i="45"/>
  <c r="D3" i="45"/>
  <c r="C3" i="45"/>
  <c r="D4" i="36"/>
  <c r="D5" i="36"/>
  <c r="C5" i="36"/>
  <c r="C4" i="36"/>
  <c r="C6" i="13" l="1"/>
  <c r="B6" i="13"/>
  <c r="C5" i="13"/>
  <c r="B5" i="13"/>
  <c r="C5" i="8" l="1"/>
  <c r="C5" i="9" s="1"/>
  <c r="C7" i="12" s="1"/>
  <c r="D5" i="9"/>
  <c r="D7" i="12" s="1"/>
  <c r="B5" i="9"/>
  <c r="B7" i="12" s="1"/>
  <c r="J23" i="8"/>
  <c r="E23" i="8"/>
  <c r="D23" i="8"/>
  <c r="C23" i="8"/>
  <c r="B23" i="8"/>
  <c r="K22" i="8"/>
  <c r="K21" i="8"/>
  <c r="I21" i="8"/>
  <c r="F21" i="8"/>
  <c r="F8" i="8"/>
  <c r="A2" i="8"/>
  <c r="A4" i="7"/>
  <c r="D36" i="6"/>
  <c r="D41" i="6"/>
  <c r="F39" i="9" l="1"/>
  <c r="F41" i="6"/>
  <c r="B12" i="9"/>
  <c r="G23" i="8"/>
  <c r="H23" i="8"/>
  <c r="I22" i="8"/>
  <c r="I20" i="4" l="1"/>
  <c r="C20" i="4"/>
  <c r="H15" i="21"/>
  <c r="F27" i="14"/>
  <c r="F26" i="14"/>
  <c r="F25" i="14"/>
  <c r="F24" i="14"/>
  <c r="F23" i="14"/>
  <c r="F22" i="14"/>
  <c r="F21" i="14"/>
  <c r="F20" i="14"/>
  <c r="F19" i="14"/>
  <c r="F18" i="14"/>
  <c r="F17" i="14"/>
  <c r="F16" i="14"/>
  <c r="F15" i="14"/>
  <c r="F14" i="14"/>
  <c r="F13" i="14"/>
  <c r="F12" i="14"/>
  <c r="F10" i="14"/>
  <c r="F9" i="14"/>
  <c r="F8" i="14"/>
  <c r="F7" i="14"/>
  <c r="K16" i="12"/>
  <c r="K13" i="12"/>
  <c r="I13" i="12"/>
  <c r="F13" i="12"/>
  <c r="K12" i="12"/>
  <c r="I12" i="12"/>
  <c r="F12" i="12"/>
  <c r="K11" i="12"/>
  <c r="I11" i="12"/>
  <c r="F11" i="12"/>
  <c r="K10" i="12"/>
  <c r="I10" i="12"/>
  <c r="D2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G20" i="12"/>
  <c r="J20" i="12"/>
  <c r="F10" i="12"/>
  <c r="K17" i="12"/>
  <c r="E12" i="9"/>
  <c r="C12" i="9"/>
  <c r="K7" i="9"/>
  <c r="I6" i="9"/>
  <c r="G19" i="8"/>
  <c r="F7" i="8"/>
  <c r="H19" i="8"/>
  <c r="J19" i="8"/>
  <c r="I12" i="7"/>
  <c r="E5" i="8"/>
  <c r="E5" i="9" s="1"/>
  <c r="E7" i="12" s="1"/>
  <c r="I19" i="8" l="1"/>
  <c r="I20" i="12"/>
  <c r="K20" i="12"/>
  <c r="F40" i="9"/>
  <c r="M39" i="9" s="1"/>
  <c r="F20" i="12"/>
  <c r="K19" i="8"/>
  <c r="J12" i="9"/>
  <c r="G12" i="9"/>
  <c r="K12" i="7"/>
  <c r="I11" i="9"/>
  <c r="H12" i="9"/>
  <c r="F11" i="9"/>
  <c r="K11" i="9"/>
</calcChain>
</file>

<file path=xl/sharedStrings.xml><?xml version="1.0" encoding="utf-8"?>
<sst xmlns="http://schemas.openxmlformats.org/spreadsheetml/2006/main" count="1550" uniqueCount="718">
  <si>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</si>
  <si>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</si>
  <si>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</si>
  <si>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</si>
  <si>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</si>
  <si>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</si>
  <si>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</si>
  <si>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</si>
  <si>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</si>
  <si>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</si>
  <si>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</si>
  <si>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</si>
  <si>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</si>
  <si>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</si>
  <si>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</si>
  <si>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</si>
  <si>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</si>
  <si>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</si>
  <si>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</si>
  <si>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</si>
  <si>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</si>
  <si>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</si>
  <si>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</si>
  <si>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</si>
  <si>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</si>
  <si>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</si>
  <si>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</si>
  <si>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</si>
  <si>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</si>
  <si>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</si>
  <si>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</si>
  <si>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</si>
  <si>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</si>
  <si>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</si>
  <si>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</si>
  <si>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</si>
  <si>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</si>
  <si>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</si>
  <si>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</si>
  <si>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</si>
  <si>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</si>
  <si>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</si>
  <si>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</si>
  <si>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</si>
  <si>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</si>
  <si>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</si>
  <si>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</si>
  <si>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</si>
  <si>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</si>
  <si>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</si>
  <si>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</si>
  <si>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</si>
  <si>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</si>
  <si>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</si>
  <si>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</si>
  <si>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</si>
  <si>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</si>
  <si>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</si>
  <si>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</si>
  <si>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</si>
  <si>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</si>
  <si>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</si>
  <si>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</si>
  <si>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</si>
  <si>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</si>
  <si>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</si>
  <si>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</si>
  <si>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</si>
  <si>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</si>
  <si>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</si>
  <si>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</si>
  <si>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</si>
  <si>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</si>
  <si>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</si>
  <si>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</si>
  <si>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</si>
  <si>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</si>
  <si>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</si>
  <si>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</si>
  <si>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</si>
  <si>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</si>
  <si>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</si>
  <si>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</si>
  <si>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</si>
  <si>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</si>
  <si>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</si>
  <si>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</si>
  <si>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</si>
  <si>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</si>
  <si>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</si>
  <si>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</si>
  <si>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</si>
  <si>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</si>
  <si>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</si>
  <si>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</si>
  <si>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</si>
  <si>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</si>
  <si>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</si>
  <si>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</si>
  <si>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</si>
  <si>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</si>
  <si>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</si>
  <si>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</si>
  <si>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</si>
  <si>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</si>
  <si>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</si>
  <si>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</si>
  <si>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</si>
  <si>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</si>
  <si>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</si>
  <si>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</si>
  <si>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</si>
  <si>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</si>
  <si>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</si>
  <si>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</si>
  <si>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</si>
  <si>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</si>
  <si>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</si>
  <si>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</si>
  <si>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</si>
  <si>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</si>
  <si>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</si>
  <si>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</si>
  <si>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</si>
  <si>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</si>
  <si>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</si>
  <si>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</si>
  <si>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</si>
  <si>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</si>
  <si>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</si>
  <si>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</si>
  <si>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</si>
  <si>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</si>
  <si>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</si>
  <si>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</si>
  <si>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</si>
  <si>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</si>
  <si>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</si>
  <si>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</si>
  <si>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</si>
  <si>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</si>
  <si>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</si>
  <si>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</si>
  <si>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</si>
  <si>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</si>
  <si>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</si>
  <si>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</si>
  <si>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</si>
  <si>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</si>
  <si>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</si>
  <si>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</si>
  <si>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</si>
  <si>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</si>
  <si>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</si>
  <si>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</si>
  <si>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</si>
  <si>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</si>
  <si>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</si>
  <si>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</si>
  <si>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</si>
  <si>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</si>
  <si>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</si>
  <si>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</si>
  <si>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</si>
  <si>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</si>
  <si>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</si>
  <si>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</si>
  <si>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</si>
  <si>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</si>
  <si>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</si>
  <si>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</si>
  <si>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</si>
  <si>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</si>
  <si>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</si>
  <si>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</si>
  <si>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</si>
  <si>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</si>
  <si>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</si>
  <si>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</si>
  <si>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</si>
  <si>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</si>
  <si>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</si>
  <si>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</si>
  <si>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</si>
  <si>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</si>
  <si>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</si>
  <si>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</si>
  <si>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</si>
  <si>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</si>
  <si>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</si>
  <si>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</si>
  <si>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SUR</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</si>
  <si>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</si>
  <si>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</si>
  <si>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</si>
  <si>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</si>
  <si>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</si>
  <si>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</si>
  <si>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</si>
  <si>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</si>
  <si>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</si>
  <si>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</si>
  <si>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</si>
  <si>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</si>
  <si>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</si>
  <si>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</si>
  <si>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</si>
  <si>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</si>
  <si>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</si>
  <si>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</si>
  <si>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</si>
  <si>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</si>
  <si>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</si>
  <si>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</si>
  <si>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</si>
  <si>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</si>
  <si>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</si>
  <si>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</si>
  <si>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</si>
  <si>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</si>
  <si>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</si>
  <si>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</si>
  <si>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</si>
  <si>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HIDROELÉCTRICA</t>
  </si>
  <si>
    <t>TERMOELÉCTRICA</t>
  </si>
  <si>
    <t>EÓLICA</t>
  </si>
  <si>
    <t>Tensión  
(kV)</t>
  </si>
  <si>
    <t>Operación Comercial</t>
  </si>
  <si>
    <t>Central Solar</t>
  </si>
  <si>
    <t>POTENCIA INSTALADA (MW)</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</si>
  <si>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</si>
  <si>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</si>
  <si>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</si>
  <si>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</si>
  <si>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</si>
  <si>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</si>
  <si>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</si>
  <si>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</si>
  <si>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</si>
  <si>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</si>
  <si>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</si>
  <si>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</si>
  <si>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</si>
  <si>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</si>
  <si>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</si>
  <si>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</si>
  <si>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</si>
  <si>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</si>
  <si>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</si>
  <si>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</si>
  <si>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</si>
  <si>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</si>
  <si>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</si>
  <si>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</si>
  <si>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</si>
  <si>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</si>
  <si>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</si>
  <si>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</si>
  <si>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</si>
  <si>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</si>
  <si>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</si>
  <si>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</si>
  <si>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</si>
  <si>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</si>
  <si>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</si>
  <si>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</si>
  <si>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</si>
  <si>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</si>
  <si>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</si>
  <si>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</si>
  <si>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</si>
  <si>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</si>
  <si>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</si>
  <si>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</si>
  <si>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</si>
  <si>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</si>
  <si>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</si>
  <si>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</si>
  <si>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</si>
  <si>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</si>
  <si>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</si>
  <si>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</si>
  <si>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</si>
  <si>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</si>
  <si>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</si>
  <si>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</si>
  <si>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</si>
  <si>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</si>
  <si>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</si>
  <si>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</si>
  <si>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</si>
  <si>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</si>
  <si>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</si>
  <si>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</si>
  <si>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</si>
  <si>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</si>
  <si>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</si>
  <si>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</si>
  <si>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</si>
  <si>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</si>
  <si>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</si>
  <si>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</si>
  <si>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</si>
  <si>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</si>
  <si>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</si>
  <si>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</si>
  <si>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</si>
  <si>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</si>
  <si>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</si>
  <si>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</si>
  <si>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</si>
  <si>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</si>
  <si>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</si>
  <si>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</si>
  <si>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</si>
  <si>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</si>
  <si>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</si>
  <si>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</si>
  <si>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</si>
  <si>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</si>
  <si>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</si>
  <si>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</si>
  <si>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</si>
  <si>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</si>
  <si>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</si>
  <si>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</si>
  <si>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</si>
  <si>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</si>
  <si>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</si>
  <si>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</si>
  <si>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</si>
  <si>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</si>
  <si>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</si>
  <si>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</si>
  <si>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</si>
  <si>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</si>
  <si>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</si>
  <si>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</si>
  <si>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</si>
  <si>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</si>
  <si>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</si>
  <si>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</si>
  <si>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</si>
  <si>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</si>
  <si>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</si>
  <si>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</si>
  <si>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</si>
  <si>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</si>
  <si>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</si>
  <si>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</si>
  <si>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</si>
  <si>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</si>
  <si>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</si>
  <si>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</si>
  <si>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</si>
  <si>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</si>
  <si>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</si>
  <si>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</si>
  <si>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</si>
  <si>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</si>
  <si>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</si>
  <si>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</si>
  <si>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</si>
  <si>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</si>
  <si>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</si>
  <si>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</si>
  <si>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</si>
  <si>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</si>
  <si>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</si>
  <si>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</si>
  <si>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</si>
  <si>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</si>
  <si>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</si>
  <si>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</si>
  <si>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</si>
  <si>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</si>
  <si>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</si>
  <si>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</si>
  <si>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</si>
  <si>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</si>
  <si>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</si>
  <si>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</si>
  <si>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</si>
  <si>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</si>
  <si>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</si>
  <si>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</si>
  <si>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</si>
  <si>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</si>
  <si>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</si>
  <si>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</si>
  <si>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</si>
  <si>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</si>
  <si>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</si>
  <si>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</si>
  <si>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</si>
  <si>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</si>
  <si>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</si>
  <si>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</si>
  <si>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</si>
  <si>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</si>
  <si>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</si>
  <si>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</si>
  <si>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</si>
  <si>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</si>
  <si>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</si>
  <si>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</si>
  <si>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</si>
  <si>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</si>
  <si>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</si>
  <si>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</si>
  <si>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</si>
  <si>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</si>
  <si>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</si>
  <si>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</si>
  <si>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</si>
  <si>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</si>
  <si>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</si>
  <si>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</si>
  <si>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</si>
  <si>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</si>
  <si>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</si>
  <si>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</si>
  <si>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</si>
  <si>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</si>
  <si>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</si>
  <si>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</si>
  <si>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</si>
  <si>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</si>
  <si>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</si>
  <si>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</si>
  <si>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</si>
  <si>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</si>
  <si>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</si>
  <si>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ELECTRO PUNO</t>
  </si>
  <si>
    <t>HIDRANDINA</t>
  </si>
  <si>
    <t>RED DE ENERGIA DEL PERU</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</si>
  <si>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</si>
  <si>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</si>
  <si>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</si>
  <si>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</si>
  <si>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</si>
  <si>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</si>
  <si>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</si>
  <si>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</si>
  <si>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</si>
  <si>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</si>
  <si>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</si>
  <si>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</si>
  <si>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</si>
  <si>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</si>
  <si>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</si>
  <si>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</si>
  <si>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</si>
  <si>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</si>
  <si>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</si>
  <si>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</si>
  <si>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</si>
  <si>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</si>
  <si>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</si>
  <si>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</si>
  <si>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</si>
  <si>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</si>
  <si>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</si>
  <si>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</si>
  <si>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</si>
  <si>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</si>
  <si>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</si>
  <si>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</si>
  <si>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1. RESUMEN</t>
  </si>
  <si>
    <t>Var. (2018/2017)</t>
  </si>
  <si>
    <t>SANTA ANA</t>
  </si>
  <si>
    <t>BIOCOMBUSTIBLE</t>
  </si>
  <si>
    <t>SANTA ANA Total</t>
  </si>
  <si>
    <t>TOTAL MÁXIMA POTENCIA COINCIDENTE</t>
  </si>
  <si>
    <t>Cuadro N°7 : Máxima potencia coincidente (MW) por tipo de generación en el SEIN.</t>
  </si>
  <si>
    <t>11:45</t>
  </si>
  <si>
    <t>11:30</t>
  </si>
  <si>
    <t>C.H. RENOVANDES H1</t>
  </si>
  <si>
    <t>G1</t>
  </si>
  <si>
    <t>Central Hidroeléctrica</t>
  </si>
  <si>
    <t>Gráfico N°24: Porcentaje de participación por tipo de causa en el número de fallas.</t>
  </si>
  <si>
    <t>Gráfico N°25: Comparación en el número de fallas por tipo de equipo.</t>
  </si>
  <si>
    <t xml:space="preserve">Potencia Efectiva  (MW) </t>
  </si>
  <si>
    <t>ENLACE CENTRO - SUR</t>
  </si>
  <si>
    <t>Central Eólica</t>
  </si>
  <si>
    <t>Máxima Demanda:</t>
  </si>
  <si>
    <t>KALLPA</t>
  </si>
  <si>
    <t>PETRAMAS</t>
  </si>
  <si>
    <t>12:00</t>
  </si>
  <si>
    <t>ELECTRO SUR ESTE</t>
  </si>
  <si>
    <t>HYDRO PATAPO</t>
  </si>
  <si>
    <t>C.H. ÁNGEL II</t>
  </si>
  <si>
    <t>C.H. ÁNGEL III</t>
  </si>
  <si>
    <t>C.H. ÁNGEL I</t>
  </si>
  <si>
    <t>C.H. HER 1</t>
  </si>
  <si>
    <t>HYDRO PATAPO Total</t>
  </si>
  <si>
    <t>Lagunas Rajucolta (ORAZUL)</t>
  </si>
  <si>
    <t>Central a Biogás</t>
  </si>
  <si>
    <t>TRANSMANTARO</t>
  </si>
  <si>
    <t>POMACOCHA - SAN JUAN</t>
  </si>
  <si>
    <t>ANDEAN POWER</t>
  </si>
  <si>
    <t>ANDEAN POWER Total</t>
  </si>
  <si>
    <t>8. EVENTOS Y FALLAS QUE OCASIONARON INTERRUPCIÓN Y DISMINUCIÓN DE SUMINISTRO ELÉCTRICO</t>
  </si>
  <si>
    <t>20:00</t>
  </si>
  <si>
    <t>Turbina Francis</t>
  </si>
  <si>
    <t>L-2205  L-2206</t>
  </si>
  <si>
    <t>C.H. CARHUAC</t>
  </si>
  <si>
    <t>ELECTRO ZAÑA</t>
  </si>
  <si>
    <t>ELECTRO ZAÑA Total</t>
  </si>
  <si>
    <t>HIDROMARAÑON/ CELEPSA RENOVABLES Total</t>
  </si>
  <si>
    <t>C.H. Zaña</t>
  </si>
  <si>
    <t>TOTAL MWh</t>
  </si>
  <si>
    <t>Var (%)
2019/2018</t>
  </si>
  <si>
    <t>C.H. ZAÑA</t>
  </si>
  <si>
    <t>HIDROMARAÑON/ CELEPSA RENOVABLES</t>
  </si>
  <si>
    <t>Variación 2019/2018 (GWh)</t>
  </si>
  <si>
    <t>Variación 2019/2018 (MW)</t>
  </si>
  <si>
    <t>L-2018</t>
  </si>
  <si>
    <t>SAN JUAN - LOS INDUSTRIALES</t>
  </si>
  <si>
    <t>00:15</t>
  </si>
  <si>
    <t>2. MODIFICACION DE LA OFERTA DE GENERACIÓN ELÉCTRICA DEL SEIN EN EL 2019</t>
  </si>
  <si>
    <t>Gráfico N°13: Evolución semanal del volumen de las lagunas de ENEL durante los años 2016 - 2019</t>
  </si>
  <si>
    <t>Gráfico N°14: Evolución semanal del volumen del lago JUNÍN durante los años 2016 - 2019</t>
  </si>
  <si>
    <t>Gráfico N°15: Evolución semanal del volumen de los embalses de EGASA durante los años 2016 - 2019.</t>
  </si>
  <si>
    <t>Gráfico N°16: Evolución del promedio semanal de caudales de los ríos SANTA, CHANCAY y PATIVILCA en los años 2016 - 2019.</t>
  </si>
  <si>
    <t>Gráfico N°17: Evolución del promedio semanal de caudales de los ríos RÍMAC y SANTA EULALIA en los años 2016 - 2019.</t>
  </si>
  <si>
    <t>Gráfico N°18: Evolución del promedio semanal de caudales de los ríos MANTARO, TULUMAYO y TARMA  en los años 2016 - 2019.</t>
  </si>
  <si>
    <t>Gráfico N°19: Evolución del promedio semanal de caudales de las cuencas CHILI, ARICOTA, VILCANOTA Y SAN GABÁN en los años 2016 - 2019.</t>
  </si>
  <si>
    <t>ELECTRO NORTE</t>
  </si>
  <si>
    <t>19:00</t>
  </si>
  <si>
    <t>TRANSFORMADOR 3D</t>
  </si>
  <si>
    <t>C.E. WAYRA I</t>
  </si>
  <si>
    <t>C.S. RUBI</t>
  </si>
  <si>
    <t>C.S. INTIPAMPA</t>
  </si>
  <si>
    <t>C.T. DOÑA CATALINA</t>
  </si>
  <si>
    <t>INLAND</t>
  </si>
  <si>
    <t>SAN JACINTO</t>
  </si>
  <si>
    <t>T62-161  T6-261</t>
  </si>
  <si>
    <t>MARCONA</t>
  </si>
  <si>
    <t>L-2051 L-2052  L-5034  L-5036</t>
  </si>
  <si>
    <t>C.H. CERRO DEL AGUILA</t>
  </si>
  <si>
    <t>C.T. OLLEROS</t>
  </si>
  <si>
    <t>C.H. SANTA TERESA</t>
  </si>
  <si>
    <t>INLAND Total</t>
  </si>
  <si>
    <t>SAN JACINTO Total</t>
  </si>
  <si>
    <t>Var. (2019/2018)</t>
  </si>
  <si>
    <t>2019 / 2018</t>
  </si>
  <si>
    <t>15.02.2019</t>
  </si>
  <si>
    <t>L. PUNO - POMATA - ILAVE - LINEA L-6027</t>
  </si>
  <si>
    <t>ELECTRO NOR OESTE</t>
  </si>
  <si>
    <t>HYDROPATAPO</t>
  </si>
  <si>
    <t>15.03.2019</t>
  </si>
  <si>
    <t>Turbina Kaplan</t>
  </si>
  <si>
    <t>C.H. Patapo</t>
  </si>
  <si>
    <t>18:45</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</si>
  <si>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y C.T. San Jacinto.</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</si>
  <si>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y C.T. San Jacinto.</t>
  </si>
  <si>
    <t>SOLARES</t>
  </si>
  <si>
    <t>TERMOELÉCTRICAS</t>
  </si>
  <si>
    <t>(*) Se denomina RER a los Recursos Energéticos Renovables tales como biomasa, eólica, solar, geotérmica, mareomotriz e hidráulicas cuya capacidad instalada no sobrepasa de los 20 MW, según D.L. N° 1002, Se consideran RER a las centrales adjudicadas,  además de las centrales de bagazo no adjudicadas C.T. Maple y C.T. San Jacinto.</t>
  </si>
  <si>
    <t>4.2. Participación por Empresas Integrantes en la máxima potencia coincidente</t>
  </si>
  <si>
    <t>ENEL GENERACIÓN PERÚ</t>
  </si>
  <si>
    <t>30.03.2019</t>
  </si>
  <si>
    <t>C.H. Callahuanca</t>
  </si>
  <si>
    <t>G1 ; G2 ; G3</t>
  </si>
  <si>
    <t>Turbina Pelton</t>
  </si>
  <si>
    <t>5.2. EVOLUCIÓN DEL VOLUMEN DE LOS EMBALSES Y LAGUNAS</t>
  </si>
  <si>
    <t>5.1. VOLUMEN ÚTIL DE LOS EMBALSES Y LAGUNAS (Millones de m3)</t>
  </si>
  <si>
    <t>VARIACIÓN
%</t>
  </si>
  <si>
    <t>8.1. FALLAS POR TIPO DE EQUIPO Y CAUSA SEGÚN CLASIFICACIÓN CIER</t>
  </si>
  <si>
    <t>C.H. CALLAHUANCA  (3)</t>
  </si>
  <si>
    <t>C.T. SAN JACINTO  (4)</t>
  </si>
  <si>
    <t>C.H. ZAÑA  (1)</t>
  </si>
  <si>
    <t>C.H. PATAPO  (2)</t>
  </si>
  <si>
    <t>7.1. HORAS DE CONGESTIÓN POR ÁREA OPERATIVA</t>
  </si>
  <si>
    <t>2. MODIFICACIÓN DE LA OFERTA DE GENERACIÓN ELÉCTRICA DEL SEIN EN EL 2019</t>
  </si>
  <si>
    <t>EÓLICAS</t>
  </si>
  <si>
    <t>L. PARAMONGA N. - 09 DE OCTUBRE - LINEA L-6655</t>
  </si>
  <si>
    <t>16:00</t>
  </si>
  <si>
    <t>AGROINDUSTRIAS SAN JACINTO</t>
  </si>
  <si>
    <t>Turbina de Vapor</t>
  </si>
  <si>
    <t>C.T. San Jacinto</t>
  </si>
  <si>
    <t>TV1</t>
  </si>
  <si>
    <t>13.04.2019</t>
  </si>
  <si>
    <t>- Los valores de potencia efectiva de las centrales corresponden a la declaración de sus propietarios en los ingresos de operación comercial.</t>
  </si>
  <si>
    <t>RIO BAÑOS</t>
  </si>
  <si>
    <t>RIO BAÑOS Total</t>
  </si>
  <si>
    <t>C.H. RUCUY  (5)</t>
  </si>
  <si>
    <t>C.H. CHANCAY  (6)</t>
  </si>
  <si>
    <t>C.H. CALLAHUANCA (3)</t>
  </si>
  <si>
    <t>20:30</t>
  </si>
  <si>
    <t>18:30</t>
  </si>
  <si>
    <t>INFRAESTRUCTURA Y ENERGIAS DEL PERU</t>
  </si>
  <si>
    <t>C.T. RESERVA FRIA PTO MALDONADO - CT CENTRAL</t>
  </si>
  <si>
    <t>S.E. CERRO CORONA - TRAFO3D TR3</t>
  </si>
  <si>
    <t>L. MARCONA - NAZCA - LINEA L-6630</t>
  </si>
  <si>
    <t>CENTRAL TERMOELÉCTRICA</t>
  </si>
  <si>
    <t>CHAVARRIA 220</t>
  </si>
  <si>
    <t>L-2003  L-2004</t>
  </si>
  <si>
    <t>SANTA ROSA N. - CHAVARRÍA</t>
  </si>
  <si>
    <t>(1) Inicio de operación comercial de la unidad G1 de la C.H. Zaña, propiedad de ELECTROZAÑA S.A.C. a las 00:00 horas del 15.02.2019</t>
  </si>
  <si>
    <t>(2) Inicio de operación comercial de la C.H. Patapo, propiedad de HYDROPATAPO. a las 00:00 horas del 15.03.2019</t>
  </si>
  <si>
    <t>(3)  Inicio de  operación comercial de la C.H. Callahuanca, propiedad de la empresa ENEL GENERACIÓN PERÚ.a las 00:00 horas del 30.03.2019</t>
  </si>
  <si>
    <t>(4) Inicio de  operación comercial de la C.T. San Jacinto, propiedad de la empresa AGROINDUSTRIAS SAN JACINTO S.A.A. a las 00:00 horas del 13.04.2019</t>
  </si>
  <si>
    <t>2.1.  INICIO DE OPERACIÓN COMERCIAL EN EL SEIN</t>
  </si>
  <si>
    <t>2.1. Inicio de Operación Comercial en el SEIN</t>
  </si>
  <si>
    <t>23:15</t>
  </si>
  <si>
    <t>15:45</t>
  </si>
  <si>
    <t>ELECTRO DUNAS</t>
  </si>
  <si>
    <t>MINERA VOLCAN</t>
  </si>
  <si>
    <t>SEAL</t>
  </si>
  <si>
    <t>COELVISAC</t>
  </si>
  <si>
    <t>Desconectó la línea L-6630 (Marcona - Nazca) de 60 kV, debido a que la corriente de carga superó el ajuste de la protección de sobrecorriente de fases (250 A) de acuerdo a lo informado por REP, titular de la celda de línea. Como consecuencia se interrumpió el suministro de la S.E. Nazca con un total de 24,31 MW. A las 18:20 h, se conectó la línea y se inició la normalización del suministro interrumpido.</t>
  </si>
  <si>
    <t>S.E. AZÁNGARO - BARRA BARRA-22.9kV</t>
  </si>
  <si>
    <t>Desconectó la barra de 22.9 kV de la S.E. Azángaro, por falla. De acuerdo con lo informado por REP, titular del equipo, la falla se produjo en el alimentador L-0246 de titularidad de la empresa ELECTRO PUNO. Como consecuencia se interrumpió el suministro de la barra de 22.9 kV de la S.E. Azángaro con un total de 2,50 MW. A las 20:45 h, se energizó la barra y se inició la normalización del suministro interrumpido.</t>
  </si>
  <si>
    <t>Desconectó la línea L-6630 (Marcona - Nazca) de 60 kV, debido a que el incremento de carga superó el umbral de arranque de la función de sobrecorriente, de acuerdo a lo informado por ELECTRO DUNAS, titular de la línea. El sistema de protección señalizó la activación de la función de sobre corriente direccional (67P). Como consecuencia se interrumpió el suministro de la S.E. Nazca con un total de 19,25 MW. A las 18:04 h, se conectó la línea y se inició la normalización del suministro interrumpido</t>
  </si>
  <si>
    <t>L. POMACOCHA - SAN CRISTOBAL - LINEA L-6545</t>
  </si>
  <si>
    <t>Desconectó la línea L-6445 (Pomacocha - San Cristobal) de 50 kV, por falla. De acuerdo con lo informado por MINERA VOLCAN, titular de la línea, la falla se produjo por descargas atmosféricas. Como consecuencia se interrumpió el suministro de las subestaciones San Cristóbal y Andaychagua con un total de 32,22 MW. A las 16:36 h, se conectó la línea y se inició la normalización del suministro interrumpido.</t>
  </si>
  <si>
    <t>S.E. PQUE. INDUSTRIAL_AQ - TRAFO T4-103</t>
  </si>
  <si>
    <t>Desconectó el transformador T4-103 de la S.E. Parque Industrial, cuya causa no fue informada por SEAL, titular del equipo. Como consecuencia se interrumpió el suministro de la S.E. Parque Industrial con un total de 27,99 MW. A las 15:21 h, se conectó la línea y se inició la normalización del suministro interrumpido.</t>
  </si>
  <si>
    <t>L. CHILINA - PQUE INDUSTRIAL_AREQUIPA - LINEA L-3060</t>
  </si>
  <si>
    <t>Desconexión de la línea L-3060 y L-361 (Parque Industrial - Chilina) de 33 kV, cuya causa no fue informada por SEAL, titular de la línea. El sistema de protección señalizó la activación de su protección de distancia (21). Como consecuencia se interrumpió el suministro de la S.E. Backus con un total de 3,00 MW. Asimismo, el usuario libre MOLYCOP redujo su carga en 0,20 MW. Las líneas quedaron fuera de servicio para su inspección.</t>
  </si>
  <si>
    <t>L. INDEPENDENCIA - VILLACURÍ (COELVISAC) - LINEA L-6607</t>
  </si>
  <si>
    <t>Desconectó la línea L-6607 (Independencia - Villacurí) de 60 kV, cuya causa no fue informada por COELVISAC, titular de la línea. El sistema de protección señalizó la activación de la función de distancia (21) y ubicó la falla a 32,79 km de la S.E. Independencia. No se produjo interrupción de suministros en el SEIN. A las 10:17 h, se conectó la línea.</t>
  </si>
  <si>
    <t>L. ARICOTA 2 - TOMASIRI - LINEA L-6620</t>
  </si>
  <si>
    <t>Desconectó la línea L-6620 (Aricota 2 - Tomasiri) de 66 kV, por falla monofásica a tierra en la fase “R”. De acuerdo con lo informado por EGESUR, titular de la línea, la falla se produjo por neblina en la zona. El sistema de protección señalizó la activación de la función de distancia (21) y ubicó la falla a 56,6 km de la S.E. Aricota 2. Como consecuencia desconectó la línea L-6637 (Tomasiri - Los Héroes) de 66 kV  con lo cual se interrumpió el suministro de la S.E. Tomasiri con un total de 1,20 MW. A Las 18:34 h, se conectó la línea L-6620 y se inició la normalización del suministro interrumpido. A las 11:11 h del 16/06/2019, se conectó la línea L-6637.</t>
  </si>
  <si>
    <t>CEMENTOS PACASMAYO</t>
  </si>
  <si>
    <t>L. GUADALUPE - PACASMAYO - LINEA L-6652</t>
  </si>
  <si>
    <t>Desconectó la línea L-6652 (Guadalupe - Cementos Pacasmayo) de 60 kV, cuya causa no fue informada por CEMENTOS PACASMAYO, titular de la línea. El sistema de protección señalizó la activación de la función diferencial de línea (87). Como consecuencia el usuario libre Cementos Pacasmayo redujo su carga en 12,27 MW. No se produjo interrupción de suministros en el SEIN. A las 00:28 h, el CCO-COES coordinó con el CC-CNP normalizar el total de sus suministros reducidos. A las 15:47 h, se conectó la línea.</t>
  </si>
  <si>
    <t>C.T. RESERVA FRIA PUCALLPA - CT CENTRAL</t>
  </si>
  <si>
    <t>A las 06:10 h, se interrumpió un total de 1,26 MW del suministro de la empresa ELECTRO UCAYALI, por activación del Esquema de Rechazo Automático de Carga por Mínima Frecuencia (ERACMF), mientras se encontraba operando en sistema aislado con la C.T.R.F. Pucallpa por mantenimiento programado de la línea L-2251 (Aguaytía – Pucallpa) de 220 kV. A las 06:15 h, el CCO-COES coordinó con el CC-EUC normalizar el total de sus suministros interrumpidos.</t>
  </si>
  <si>
    <t>A las 08:52 h, se interrumpió un total de 5,20 MW del suministro de la empresa ELECTRO UCAYALI, por activación del Esquema de Rechazo Automático de Carga por Mínima Frecuencia (ERACMF), mientras se encontraba operando en sistema aislado con la C.T.R.F. Pucallpa por mantenimiento programado de la línea L-2251 (Aguaytía – Pucallpa) de 220 kV. A las 08:56 h, el CCO-COES coordinó con el CC-EUC normalizar el total de sus suministros interrumpidos.</t>
  </si>
  <si>
    <t>EMPRESA DE GENERACION ELECTRICA SANTA ANA</t>
  </si>
  <si>
    <t>S.E. LA VIRGEN - TRAFO TE4</t>
  </si>
  <si>
    <t>Desconectó el transformador TE4 de 138/60 kV de la S.E. La Virgen, cuya causa no fue informada por EGESA, titular del equipo. Como consecuencia se interrumpió el suministro de la S.E. Chanchamayo con un total de 6,40 MW y desconectó la C.H. Renovandes H1 cuando generaba 20,00 MW. A las 19:20 h, se conectó el transformador y se inició la normalización del suministro interrumpido. A las 19:38 h, sincronizó la central con el SEIN.</t>
  </si>
  <si>
    <t>Desconectó la línea L-6671 (9 de Octubre - Huarmey) de 66 kV por falla monofásica a tierra en la fase “T”. De acuerdo con lo informado por HIDRANDINA, titular de la línea, la falla se produjo por caída de conductor entre las estructuras N°166 y N°167. El sistema de protección señalizó la activación de la función de sobre corriente de fase a tierra (50N/51N). Como consecuencia se interrumpió el suministro de las subestaciones Huarmey y Puerto Antamina con un total de 3,29 MW y 1,82 MW, respectivamente. A las 06:01 h del 18.06.2019, se conectó la línea y se inició la normalización del suministro interrumpido.</t>
  </si>
  <si>
    <t>L. TRUJILLO NORTE - SANTIAGO DE CAO - LINEA L-1118</t>
  </si>
  <si>
    <t>Desconectó la línea L-1118 (Trujillo Norte - Santiago de Cao) de 138 kV, por falla monofásica a tierra en la fase “R”, cuya causa no fue informada por HIDRANDINA, titular de la línea. El sistema de protección señalizó la activación de la función de distancia (21). Como consecuencia se interrumpió el suministro de la S.E. Santiago de Cao con un total 21,85 MW. A las 06:05 h, se conectó la línea y se inició la normalización del suministro interrumpido.</t>
  </si>
  <si>
    <t>Desconectó el transformador TR3 de 220/22.9 kV y 15,00 MVA de la S.E. Cerro Corona cuya causa no fue informada por ENSA, titular del equipo. Como consecuencia se interrumpió el suministro de la S.E. Cerro Corona con un total de 4,58 MW. A las 08:43 h, se conectó el transformador y se inició la normalización del suministro interrumpido.</t>
  </si>
  <si>
    <t>Desconectó el transformador TR3 de 220/22.9 kV y 15,00 MVA de la S.E. Cerro Corona cuya causa no fue informada por ENSA, titular del equipo. Como consecuencia se interrumpió el suministro de la S.E. Cerro Corona con un total de 3,58 MW. A las 16:46 h, se conectó el transformador y se inició la normalización del suministro interrumpido.</t>
  </si>
  <si>
    <t>L. LA NIÑA 500 - TRUJILLO 500 - LINEA L-5010</t>
  </si>
  <si>
    <t>Se produjo un recierre monofásico exitoso en la línea L-5010 (Trujillo Nueva – La Niña) de 500 kV, por falla monofásica a tierra en la fase “T”. De acuerdo con lo informado por TRANSMANTARO, titular de la línea, el motivo de la falla se encuentra en investigación. El sistema de protección señalizó la activación de la función de distancia (21) y ubicó la falla a 295,1 km de la S.E. La Niña. Como consecuencia los usuarios libres SIDER PERÚ y CEMENTOS PACASMAYO redujeron su carga en 4,30 MW y 2,82 MW, respectivamente. No se produjo interrupción de suministros en el SEIN. A las 07:13 h, se coordinó con Cementos Pacasmayo la recuperación de su carga.</t>
  </si>
  <si>
    <t>L. PIURA OESTE - LA UNIÓN - LINEA L-6658-A</t>
  </si>
  <si>
    <t>Desconectó la línea L-6658 (Piura Oeste - Unión) de 60 kV por falla monofásica a tierra en la fase “R”, cuya causa no fue informada por ENOSA, titular de la línea. El sistema de protección señalizó la activación de la función de distancia (21) y ubicó la falla a 30,8 km de las subestaciones La Unión, Sechura y Constante con un total de 6,69 MW. A las 08:46 h, se conectó la línea y se inició la normalización del suministro interrumpido.</t>
  </si>
  <si>
    <t>Desconectó la línea L-6027 (Puno – Pomata) de 60 kV, por falla. De acuerdo con lo informado por ELECTRO PUNO, titular de la línea, la falla se produjo por fuertes vientos. El sistema de protección señalizó la activación de la función de sobre corriente de fases (50/51). Como consecuencia se interrumpió el suministro de las subestaciones Ilave y Pomata con un total de 3,00 MW. A las 15:44 h, se conectó la línea y se inició la normalización del suministro interrumpido.</t>
  </si>
  <si>
    <t>L. MAZUCO - PTO MALDONADO-L-1015</t>
  </si>
  <si>
    <t>Desconectó la línea L-1015 (Mazuco - Puerto Maldonado) de 138 kV, por falla monofásica a tierra en la fase “S”. De acuerdo con lo informado por ELECTRO SUR ESTE, titular de la línea, la falla se produjo por desperfecto en el pararrayo de línea. El sistema de protección ubicó la falla a una distancia de 2,82 km de la S.E. Mazuco. Como consecuencia se interrumpió el suministro de la S.E. Puerto Maldonado con un total de 14,88 MW y desconectaron las CC.HH. Ángel II y Ángel III cuando generaban 15,00 MW. A las 18:38 h, desconectó la línea L-1014 (San Gaban-Mazuco) de 138 kV al momento del intento de energización de la línea L-1015 y con ello, se interrumpió el suministro de la S.E. Mazuco con un total de 2,65 MW. A las 18:49 h, se conectó la línea L-1014 y se inició la normalización del suministro interrumpido. A las 18:50 h, el CC-ESE declaró al CCO-COES indisponible la línea L-1015. A las 18:51 h, el CCO-COES coordinó con el CC-IEP el arranque de la C.T.R.F. Puerto Maldonado para operar en sistema aislado con la carga de la S.E. Puerto Maldonado. A las 18:57 h, sincronizó la C.T.R.F. Puerto Maldonado en sistema aislado. A las 19:00 h, desconectó la central mientras operaba en sistema aislado. A las 19:06 h, sincronizó nuevamente la C.T.R.F. Puerto Maldonado y se inició la normalización del suministro interrumpido. A las 00:00 del 23/06/2019, se desconectó manualmente la línea L-1014 para la sincronización del sistema aislado. A las 00:11 del 23/06/2019, se sincronizó el sistema aislado de la S.E. Puerto Maldonado con el SEIN.</t>
  </si>
  <si>
    <t>Desconexión de la C.T.R.F. Puerto Maldonado cuando generaba 18,25 MW, cuya causa no fue informada por IEPSAC, titular de la central. Cabe resaltar que al momento de la desconexión la central se encontraba operando en sistema aislado con la carga de la S.E. Puerto Maldonado. Como consecuencia se interrumpió el suministro de la S.E. Puerto Maldonado con un total de 18,25 MW. A las 19:06 h, sincronizó la central en sistema aislado y se inició la normalización del suministro interrumpido.</t>
  </si>
  <si>
    <t>MARCOBRE S.A.C.</t>
  </si>
  <si>
    <t>S.E. MINA JUSTA - CELDA CL-2083</t>
  </si>
  <si>
    <t>Desconectó la celda de la línea L-2083 (Poroma – Mina Justa) de 220 kV en la S.E. Mina Justa, por falla. De acuerdo con lo informado por MARCOBRE, titular del equipo, la falla se produjo por pérdida de aislamiento. El sistema de protección señalizó la activación de la función de sobre corriente de fases (51). Como consecuencia se interrumpió el suministro de la S.E. Mina Justa con un total de 3,16 MW. La línea quedó fuera de servicio para su inspección.</t>
  </si>
  <si>
    <t>CONCESIONARIA LINEA DE TRANSMISION CCNCM S.A.C.</t>
  </si>
  <si>
    <t>L. CAJAMARCA NORTE - CACLIC - LINEA L-2192</t>
  </si>
  <si>
    <t>Desconectó la línea L-2192 (Cajamarca Norte - Caclic) de 220 kV, cuya causa no fue informada por LT CCNCM, titular de la línea. Asimismo, desconectó la celda de la línea L-1018 (Tarapoto – Belaunde Terry) de 138 kV, en la S.E. Belaunde Terry. El sistema de protección de la línea L-2192 señalizó la activación de la función diferencial de línea (87), mientras que de la celda de la línea L-1018, señalizó la activación de la función de mínima tensión (27). Como consecuencia se interrumpió el suministro de las subestaciones Moyobamba y Cáclic con un total de 13,23 MW aproximadamente. Asimismo, se interrumpió el suministro de las subestaciones Bellavista, Pongo de Caynarachi y Yurimaguas con un total de 8,74 MW por activación de sus protecciones propias. También el usuario libre MINERA YANACOCHA redujo su carga en 12,50 MW. A las 11:33 h, el CCO-COES coordinó con el CC-YAN normalizar el total de sus suministros reducidos. A las 11:38 h y 11:40 h, se conectaron las líneas L-2192 y L-2194, respectivamente. A las 11:53 h, se conectó el transformador AT-4201 de la S.E. Belaunde Terry y se inició la normalización del suministro interrumpido.</t>
  </si>
  <si>
    <t>Desconectó la línea L-2192 (Cajamarca Norte - Caclic) de 220 kV, cuya causa no fue informada por LT CCNCM, titular de la línea. Asimismo, desconectó la celda de la línea L-1018 (Tarapoto – Belaunde Terry) de 138 kV, en la S.E. Belaunde Terry. El sistema de protección de la línea L-2192 señalizó la activación de la función diferencial de línea (87), mientras que de la celda de la línea L-1018, señalizó la activación de la función de mínima tensión (27). Como consecuencia se interrumpió el suministro de las subestaciones Moyobamba y Cáclic con un total de 11,22 MW aproximadamente. Asimismo, se interrumpió el suministro de las subestaciones Bellavista, Pongo de Caynarachi y Yurimaguas con un total de 7,70 MW por activación de sus protecciones propias. También el usuario libre MINERA YANACOCHA redujo su carga en 14,00 MW. A las 12:37 h, el CCO-COES coordinó con el CC-YAN normalizar el total de sus suministros reducidos. A las 12:41 h y 12:43 h, se conectaron las líneas L-2192 y L-2194, respectivamente. A las 12:48 h, se conectó el transformador AT-4201 de la S.E. Belaunde Terry y se inició la normalización del suministro interrumpido.</t>
  </si>
  <si>
    <t>01/06/2019</t>
  </si>
  <si>
    <t>02/06/2019</t>
  </si>
  <si>
    <t>03/06/2019</t>
  </si>
  <si>
    <t>04/06/2019</t>
  </si>
  <si>
    <t>05/06/2019</t>
  </si>
  <si>
    <t>06/06/2019</t>
  </si>
  <si>
    <t>16:15</t>
  </si>
  <si>
    <t>19:30</t>
  </si>
  <si>
    <t>07/06/2019</t>
  </si>
  <si>
    <t>08/06/2019</t>
  </si>
  <si>
    <t>09/06/2019</t>
  </si>
  <si>
    <t>10/06/2019</t>
  </si>
  <si>
    <t>18:00</t>
  </si>
  <si>
    <t>11/06/2019</t>
  </si>
  <si>
    <t>11:15</t>
  </si>
  <si>
    <t>12/06/2019</t>
  </si>
  <si>
    <t>13/06/2019</t>
  </si>
  <si>
    <t>14/06/2019</t>
  </si>
  <si>
    <t>15/06/2019</t>
  </si>
  <si>
    <t>16/06/2019</t>
  </si>
  <si>
    <t>17/06/2019</t>
  </si>
  <si>
    <t>18/06/2019</t>
  </si>
  <si>
    <t>19/06/2019</t>
  </si>
  <si>
    <t>20/06/2019</t>
  </si>
  <si>
    <t>21/06/2019</t>
  </si>
  <si>
    <t>22/06/2019</t>
  </si>
  <si>
    <t>23/06/2019</t>
  </si>
  <si>
    <t>24/06/2019</t>
  </si>
  <si>
    <t>25/06/2019</t>
  </si>
  <si>
    <t>19:45</t>
  </si>
  <si>
    <t>26/06/2019</t>
  </si>
  <si>
    <t>27/06/2019</t>
  </si>
  <si>
    <t>28/06/2019</t>
  </si>
  <si>
    <t>29/06/2019</t>
  </si>
  <si>
    <t>12:30</t>
  </si>
  <si>
    <t>30/06/2019</t>
  </si>
  <si>
    <t>L-1122</t>
  </si>
  <si>
    <t>L-2264</t>
  </si>
  <si>
    <t>L-1002</t>
  </si>
  <si>
    <t>MACHUPICCHU - QUENCORO</t>
  </si>
  <si>
    <t>TINGO MARÍA - AUCAYACU</t>
  </si>
  <si>
    <t>PARAGSHA II - CONOCOCHA</t>
  </si>
  <si>
    <t>CELDA</t>
  </si>
  <si>
    <t>TRANSFORMADOR 2D</t>
  </si>
  <si>
    <t>junio</t>
  </si>
  <si>
    <t>JUNIO 2017</t>
  </si>
  <si>
    <t>C.T. ILO 1</t>
  </si>
  <si>
    <t>VOLUMEN ÚTIL
30-06-2019</t>
  </si>
  <si>
    <t>VOLUMEN ÚTIL
30-06-2018</t>
  </si>
  <si>
    <t>1.1. Producción de energía eléctrica en junio 2019 en comparación al mismo mes del año anterior</t>
  </si>
  <si>
    <t>El total de la producción de energía eléctrica de la empresas generadoras integrantes del COES en el mes de junio 2019 fue de 4 289,36  GWh, lo que representa un incremento de 154,44 GWh (3,73%) en comparación con el año 2018.</t>
  </si>
  <si>
    <t>La producción de electricidad con centrales termoeléctricas durante el mes de junio 2019 fue de 1 962,19 GWh, 6,30% mayor al registrado durante junio del año 2018. La participación del gas natural de Camisea fue de 43,20%, mientras que las del gas que proviene de los yacimientos de Aguaytía y Malacas fue del 1,89%, la producción con diesel, residual, carbón, biogás y bagazo tuvieron una intervención del 0,13%, 0,01%, 0,00%, 0,10%, 0,42% respectivamente.</t>
  </si>
  <si>
    <t>La producción de energía eléctrica con centrales eólicas fue de 128,59 GWh y con centrales solares fue de 46,7 GWh, los cuales tuvieron una participación de 3,45% y 1,23% respectivamente.</t>
  </si>
  <si>
    <t>EMPRESA DE GENERACIÓN ELÉCTRICA RIO BAÑOS</t>
  </si>
  <si>
    <t>C.H. Rucuy</t>
  </si>
  <si>
    <t>01.06.2019</t>
  </si>
  <si>
    <t xml:space="preserve">G1 ; G2 </t>
  </si>
  <si>
    <t>SINDICATO ENERGETICO S.A.</t>
  </si>
  <si>
    <t>C.H. Chancay</t>
  </si>
  <si>
    <t>04.06.2019</t>
  </si>
  <si>
    <t>HIDROELÉCTRICAS</t>
  </si>
  <si>
    <t>(6) Inicio de  operación comercial de la  C.H. Chancay propiedad de SINDICATO ENERGÉTICO S.A. (SINERSA). a las 00:00 horas del 04.06.2019</t>
  </si>
  <si>
    <t>(5) Inicio de  operación comercial de la C.H. Rucuy propiedad de EMPRESA DE GENERACION ELECTRICA RIO BAÑOS S.A.C. a las 00:00 horas del 01.06.2019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</si>
</sst>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91">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b/>
      <sz val="12"/>
      <color rgb="FF1F2532"/>
      <name val="Calibri"/>
      <family val="2"/>
    </font>
    <font>
      <sz val="4"/>
      <color theme="1"/>
      <name val="Arial"/>
      <family val="2"/>
    </font>
    <font>
      <b/>
      <sz val="5"/>
      <name val="Arial"/>
      <family val="2"/>
    </font>
    <font>
      <sz val="5"/>
      <name val="Arial"/>
      <family val="2"/>
    </font>
    <font>
      <sz val="4"/>
      <name val="Arial"/>
      <family val="2"/>
    </font>
    <font>
      <b/>
      <sz val="10.5"/>
      <name val="Arial"/>
      <family val="2"/>
    </font>
    <font>
      <sz val="8"/>
      <color rgb="FFFF0000"/>
      <name val="Arial"/>
      <family val="2"/>
    </font>
    <font>
      <b/>
      <sz val="11"/>
      <color rgb="FFFF0000"/>
      <name val="Arial"/>
      <family val="2"/>
    </font>
    <font>
      <sz val="5"/>
      <color theme="0" tint="-0.34998626667073579"/>
      <name val="Arial"/>
      <family val="2"/>
    </font>
    <font>
      <b/>
      <sz val="5"/>
      <color theme="0" tint="-0.34998626667073579"/>
      <name val="Arial"/>
      <family val="2"/>
    </font>
    <font>
      <sz val="8"/>
      <color theme="0"/>
      <name val="Arial"/>
      <family val="2"/>
    </font>
    <font>
      <sz val="5"/>
      <color theme="0"/>
      <name val="Arial"/>
      <family val="2"/>
    </font>
    <font>
      <b/>
      <sz val="5"/>
      <color theme="0"/>
      <name val="Arial"/>
      <family val="2"/>
    </font>
    <font>
      <sz val="7"/>
      <color theme="0"/>
      <name val="Arial"/>
      <family val="2"/>
    </font>
    <font>
      <b/>
      <sz val="5.5"/>
      <name val="Arial"/>
      <family val="2"/>
    </font>
    <font>
      <b/>
      <sz val="8"/>
      <color theme="1" tint="0.249977111117893"/>
      <name val="Arial"/>
      <family val="2"/>
    </font>
    <font>
      <sz val="5"/>
      <color rgb="FFFF000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63">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hair">
        <color theme="4"/>
      </left>
      <right style="hair">
        <color theme="4"/>
      </right>
      <top style="thin">
        <color theme="0" tint="-0.34998626667073579"/>
      </top>
      <bottom style="hair">
        <color theme="4"/>
      </bottom>
      <diagonal/>
    </border>
    <border>
      <left style="hair">
        <color theme="4"/>
      </left>
      <right style="thin">
        <color theme="0" tint="-0.34998626667073579"/>
      </right>
      <top style="thin">
        <color theme="0" tint="-0.34998626667073579"/>
      </top>
      <bottom style="hair">
        <color theme="4"/>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4"/>
      </left>
      <right style="hair">
        <color theme="4"/>
      </right>
      <top style="hair">
        <color theme="4"/>
      </top>
      <bottom style="thin">
        <color theme="0" tint="-0.34998626667073579"/>
      </bottom>
      <diagonal/>
    </border>
    <border>
      <left style="hair">
        <color theme="4"/>
      </left>
      <right style="hair">
        <color theme="4"/>
      </right>
      <top style="thin">
        <color theme="0" tint="-0.34998626667073579"/>
      </top>
      <bottom style="thin">
        <color theme="0" tint="-0.34998626667073579"/>
      </bottom>
      <diagonal/>
    </border>
    <border>
      <left style="hair">
        <color theme="4"/>
      </left>
      <right style="thin">
        <color theme="0" tint="-0.34998626667073579"/>
      </right>
      <top style="thin">
        <color theme="0" tint="-0.34998626667073579"/>
      </top>
      <bottom style="thin">
        <color theme="0" tint="-0.34998626667073579"/>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hair">
        <color theme="4"/>
      </right>
      <top style="thin">
        <color theme="0" tint="-0.34998626667073579"/>
      </top>
      <bottom/>
      <diagonal/>
    </border>
    <border>
      <left style="hair">
        <color theme="4"/>
      </left>
      <right style="hair">
        <color theme="4"/>
      </right>
      <top style="thin">
        <color theme="0" tint="-0.34998626667073579"/>
      </top>
      <bottom/>
      <diagonal/>
    </border>
    <border>
      <left style="hair">
        <color theme="4"/>
      </left>
      <right style="thin">
        <color theme="0" tint="-0.34998626667073579"/>
      </right>
      <top style="thin">
        <color theme="0" tint="-0.34998626667073579"/>
      </top>
      <bottom/>
      <diagonal/>
    </border>
    <border>
      <left/>
      <right style="hair">
        <color theme="4"/>
      </right>
      <top/>
      <bottom style="hair">
        <color theme="4"/>
      </bottom>
      <diagonal/>
    </border>
    <border>
      <left style="hair">
        <color theme="4"/>
      </left>
      <right style="hair">
        <color theme="4"/>
      </right>
      <top/>
      <bottom/>
      <diagonal/>
    </border>
    <border>
      <left style="hair">
        <color theme="4"/>
      </left>
      <right style="hair">
        <color theme="4"/>
      </right>
      <top/>
      <bottom style="thin">
        <color theme="0" tint="-0.34998626667073579"/>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cellStyleXfs>
  <cellXfs count="1003">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0" fontId="13" fillId="2" borderId="0" xfId="0" applyFont="1" applyFill="1" applyAlignment="1">
      <alignment vertical="center" wrapText="1"/>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0" fontId="21"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0" fontId="33" fillId="0" borderId="0" xfId="0" applyFont="1" applyAlignment="1">
      <alignment vertical="center"/>
    </xf>
    <xf numFmtId="0" fontId="33" fillId="0" borderId="0" xfId="0" applyFont="1" applyAlignment="1">
      <alignment vertical="center" wrapText="1"/>
    </xf>
    <xf numFmtId="0" fontId="33" fillId="0" borderId="0" xfId="0" applyFont="1" applyAlignment="1">
      <alignment horizontal="left" vertical="center" wrapText="1"/>
    </xf>
    <xf numFmtId="4" fontId="27" fillId="0" borderId="96" xfId="0" applyNumberFormat="1" applyFont="1" applyBorder="1" applyAlignment="1">
      <alignment vertical="center"/>
    </xf>
    <xf numFmtId="4" fontId="27" fillId="0" borderId="96" xfId="0" applyNumberFormat="1" applyFont="1" applyBorder="1"/>
    <xf numFmtId="4" fontId="27" fillId="6" borderId="96" xfId="0" applyNumberFormat="1" applyFont="1" applyFill="1" applyBorder="1"/>
    <xf numFmtId="174" fontId="0" fillId="0" borderId="0" xfId="0" applyNumberFormat="1"/>
    <xf numFmtId="0" fontId="3" fillId="0" borderId="0" xfId="0" applyFont="1"/>
    <xf numFmtId="0" fontId="4" fillId="0" borderId="0" xfId="0" applyFont="1"/>
    <xf numFmtId="0" fontId="33" fillId="2" borderId="0" xfId="0" applyFont="1" applyFill="1" applyAlignment="1">
      <alignment horizontal="left" vertical="center"/>
    </xf>
    <xf numFmtId="0" fontId="33" fillId="2" borderId="0" xfId="0" applyFont="1" applyFill="1" applyAlignment="1">
      <alignment vertical="center"/>
    </xf>
    <xf numFmtId="0" fontId="30" fillId="0" borderId="0" xfId="0" applyFont="1" applyAlignment="1">
      <alignment vertical="center"/>
    </xf>
    <xf numFmtId="0" fontId="33" fillId="0" borderId="0" xfId="0" applyFont="1" applyAlignment="1">
      <alignment horizontal="center" vertical="center"/>
    </xf>
    <xf numFmtId="49" fontId="27" fillId="0" borderId="0" xfId="0" applyNumberFormat="1" applyFont="1" applyAlignment="1">
      <alignment horizontal="right" vertical="center"/>
    </xf>
    <xf numFmtId="1" fontId="27" fillId="0" borderId="0" xfId="0" applyNumberFormat="1" applyFont="1" applyAlignment="1">
      <alignment horizontal="right" vertical="center"/>
    </xf>
    <xf numFmtId="49" fontId="27" fillId="0" borderId="0" xfId="0" applyNumberFormat="1" applyFont="1" applyAlignment="1">
      <alignment horizontal="center" vertical="center"/>
    </xf>
    <xf numFmtId="1" fontId="27" fillId="0" borderId="0" xfId="0" applyNumberFormat="1" applyFont="1" applyAlignment="1">
      <alignment horizontal="center" vertical="center"/>
    </xf>
    <xf numFmtId="165" fontId="27" fillId="0" borderId="0" xfId="0" applyNumberFormat="1" applyFont="1" applyAlignment="1">
      <alignment horizontal="center" vertical="center"/>
    </xf>
    <xf numFmtId="0" fontId="30" fillId="0" borderId="0" xfId="0" applyFont="1" applyAlignment="1">
      <alignment horizontal="center" vertical="center"/>
    </xf>
    <xf numFmtId="0" fontId="31" fillId="0" borderId="72" xfId="0" applyFont="1" applyBorder="1" applyAlignment="1">
      <alignment vertical="center" wrapText="1"/>
    </xf>
    <xf numFmtId="22" fontId="31" fillId="0" borderId="72" xfId="0" applyNumberFormat="1" applyFont="1" applyBorder="1" applyAlignment="1">
      <alignment horizontal="center" vertical="center" wrapText="1"/>
    </xf>
    <xf numFmtId="0" fontId="31" fillId="0" borderId="72" xfId="0" applyFont="1" applyBorder="1" applyAlignment="1">
      <alignment horizontal="center" vertical="center" wrapText="1"/>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17" fontId="52" fillId="0" borderId="0" xfId="0" applyNumberFormat="1" applyFont="1" applyAlignment="1">
      <alignment vertical="center"/>
    </xf>
    <xf numFmtId="2" fontId="52" fillId="0" borderId="0" xfId="0" applyNumberFormat="1" applyFont="1" applyAlignment="1">
      <alignment vertical="center"/>
    </xf>
    <xf numFmtId="0" fontId="52" fillId="0" borderId="0" xfId="0" quotePrefix="1" applyFont="1" applyAlignment="1">
      <alignment vertical="center" wrapText="1"/>
    </xf>
    <xf numFmtId="2" fontId="52" fillId="0" borderId="0" xfId="0" quotePrefix="1" applyNumberFormat="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7"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2" fontId="56" fillId="0" borderId="0" xfId="3" applyNumberFormat="1" applyFont="1" applyAlignment="1">
      <alignment horizontal="center"/>
    </xf>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14" fontId="27" fillId="0" borderId="96" xfId="0" applyNumberFormat="1" applyFont="1" applyBorder="1"/>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22" fontId="60" fillId="0" borderId="72" xfId="0" applyNumberFormat="1" applyFont="1" applyBorder="1" applyAlignment="1">
      <alignment horizontal="center" vertical="center"/>
    </xf>
    <xf numFmtId="0" fontId="60" fillId="0" borderId="72" xfId="0" applyFont="1" applyBorder="1" applyAlignment="1">
      <alignment horizontal="justify" vertical="center"/>
    </xf>
    <xf numFmtId="0" fontId="60" fillId="0" borderId="72" xfId="0" applyFont="1" applyBorder="1" applyAlignment="1">
      <alignment horizontal="center" vertical="center"/>
    </xf>
    <xf numFmtId="22" fontId="60" fillId="0" borderId="72" xfId="0" applyNumberFormat="1" applyFont="1" applyBorder="1" applyAlignment="1">
      <alignment horizontal="center" vertical="center" wrapText="1"/>
    </xf>
    <xf numFmtId="0" fontId="60" fillId="0" borderId="72" xfId="0" applyFont="1" applyBorder="1" applyAlignment="1">
      <alignment horizontal="justify" vertical="center" wrapText="1"/>
    </xf>
    <xf numFmtId="0" fontId="60" fillId="0" borderId="72" xfId="0" applyFont="1" applyBorder="1" applyAlignment="1">
      <alignment horizontal="center" vertical="center" wrapText="1"/>
    </xf>
    <xf numFmtId="0" fontId="32" fillId="3" borderId="45" xfId="0" applyFont="1" applyFill="1" applyBorder="1" applyAlignment="1">
      <alignment vertical="center"/>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4" fontId="32" fillId="3" borderId="0" xfId="0" applyNumberFormat="1"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101" xfId="0" applyFont="1" applyFill="1" applyBorder="1" applyAlignment="1">
      <alignment vertical="center"/>
    </xf>
    <xf numFmtId="170" fontId="27" fillId="4" borderId="101" xfId="0" applyNumberFormat="1" applyFont="1" applyFill="1" applyBorder="1" applyAlignment="1">
      <alignment vertical="center"/>
    </xf>
    <xf numFmtId="167" fontId="33" fillId="4" borderId="101"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8" borderId="0" xfId="0" applyFont="1" applyFill="1"/>
    <xf numFmtId="0" fontId="0" fillId="8"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7" borderId="0" xfId="3" applyFont="1" applyFill="1"/>
    <xf numFmtId="172" fontId="66" fillId="7"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9" xfId="0" applyFont="1" applyBorder="1"/>
    <xf numFmtId="43" fontId="31" fillId="0" borderId="89"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9"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166" fontId="65" fillId="0" borderId="0" xfId="0" applyNumberFormat="1" applyFont="1" applyAlignment="1">
      <alignment horizontal="right"/>
    </xf>
    <xf numFmtId="0" fontId="73" fillId="0" borderId="0" xfId="0" applyFont="1" applyAlignment="1">
      <alignment horizontal="right"/>
    </xf>
    <xf numFmtId="0" fontId="63" fillId="0" borderId="0" xfId="0" applyFont="1" applyAlignment="1">
      <alignment horizontal="right"/>
    </xf>
    <xf numFmtId="168" fontId="31" fillId="2" borderId="84" xfId="0" applyNumberFormat="1" applyFont="1" applyFill="1" applyBorder="1" applyAlignment="1">
      <alignment horizontal="center" vertical="center" wrapText="1"/>
    </xf>
    <xf numFmtId="0" fontId="31" fillId="2" borderId="84" xfId="2" applyNumberFormat="1" applyFont="1" applyFill="1" applyBorder="1" applyAlignment="1">
      <alignment horizontal="center" vertical="center" wrapText="1"/>
    </xf>
    <xf numFmtId="2" fontId="31" fillId="2" borderId="84" xfId="2" applyNumberFormat="1" applyFont="1" applyFill="1" applyBorder="1" applyAlignment="1">
      <alignment horizontal="center" vertical="center" wrapText="1"/>
    </xf>
    <xf numFmtId="4" fontId="31" fillId="2" borderId="84" xfId="0" applyNumberFormat="1" applyFont="1" applyFill="1" applyBorder="1" applyAlignment="1">
      <alignment horizontal="center" vertical="center" wrapText="1"/>
    </xf>
    <xf numFmtId="0" fontId="31" fillId="2" borderId="84" xfId="0" applyFont="1" applyFill="1" applyBorder="1" applyAlignment="1">
      <alignment horizontal="center" vertical="center" wrapText="1"/>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4" fillId="0" borderId="0" xfId="0" applyFont="1" applyAlignment="1">
      <alignment horizontal="right" vertical="center"/>
    </xf>
    <xf numFmtId="0" fontId="36" fillId="9" borderId="0" xfId="0" quotePrefix="1" applyFont="1" applyFill="1" applyAlignment="1">
      <alignment horizontal="center" vertical="center" wrapText="1"/>
    </xf>
    <xf numFmtId="17" fontId="36" fillId="9" borderId="82" xfId="0" applyNumberFormat="1" applyFont="1" applyFill="1" applyBorder="1" applyAlignment="1">
      <alignment horizontal="center" vertical="center" wrapText="1"/>
    </xf>
    <xf numFmtId="169" fontId="36" fillId="9" borderId="82" xfId="0" applyNumberFormat="1" applyFont="1" applyFill="1" applyBorder="1" applyAlignment="1">
      <alignment horizontal="center" vertical="center" wrapText="1"/>
    </xf>
    <xf numFmtId="0" fontId="36" fillId="9" borderId="82" xfId="0" applyFont="1" applyFill="1" applyBorder="1" applyAlignment="1">
      <alignment horizontal="center" vertical="center" wrapText="1"/>
    </xf>
    <xf numFmtId="0" fontId="36" fillId="9" borderId="83" xfId="0" applyFont="1" applyFill="1" applyBorder="1" applyAlignment="1">
      <alignment horizontal="center" vertical="center" wrapText="1"/>
    </xf>
    <xf numFmtId="0" fontId="36" fillId="9" borderId="98" xfId="0" quotePrefix="1" applyFont="1" applyFill="1" applyBorder="1" applyAlignment="1">
      <alignment horizontal="left" vertical="center"/>
    </xf>
    <xf numFmtId="168" fontId="36" fillId="9" borderId="99" xfId="0" applyNumberFormat="1" applyFont="1" applyFill="1" applyBorder="1" applyAlignment="1">
      <alignment horizontal="right" vertical="center"/>
    </xf>
    <xf numFmtId="168" fontId="36" fillId="9" borderId="99" xfId="0" applyNumberFormat="1" applyFont="1" applyFill="1" applyBorder="1" applyAlignment="1">
      <alignment horizontal="left" vertical="center"/>
    </xf>
    <xf numFmtId="0" fontId="36" fillId="9" borderId="99" xfId="2" applyNumberFormat="1" applyFont="1" applyFill="1" applyBorder="1" applyAlignment="1">
      <alignment horizontal="left" vertical="center"/>
    </xf>
    <xf numFmtId="0" fontId="36" fillId="9" borderId="100" xfId="2" applyNumberFormat="1" applyFont="1" applyFill="1" applyBorder="1" applyAlignment="1">
      <alignment horizontal="center" vertical="center"/>
    </xf>
    <xf numFmtId="4" fontId="36" fillId="9" borderId="84" xfId="0" applyNumberFormat="1" applyFont="1" applyFill="1" applyBorder="1" applyAlignment="1">
      <alignment horizontal="center" vertical="center"/>
    </xf>
    <xf numFmtId="0" fontId="36" fillId="9" borderId="84" xfId="0" applyFont="1" applyFill="1" applyBorder="1" applyAlignment="1">
      <alignment horizontal="center" vertical="center"/>
    </xf>
    <xf numFmtId="17" fontId="36" fillId="9" borderId="26" xfId="0" quotePrefix="1" applyNumberFormat="1" applyFont="1" applyFill="1" applyBorder="1" applyAlignment="1">
      <alignment horizontal="center" vertical="center" wrapText="1"/>
    </xf>
    <xf numFmtId="17" fontId="36" fillId="9" borderId="32" xfId="0" quotePrefix="1" applyNumberFormat="1" applyFont="1" applyFill="1" applyBorder="1" applyAlignment="1">
      <alignment horizontal="center" vertical="center" wrapText="1"/>
    </xf>
    <xf numFmtId="17" fontId="2" fillId="9" borderId="21" xfId="0" applyNumberFormat="1" applyFont="1" applyFill="1" applyBorder="1" applyAlignment="1">
      <alignment horizontal="center" vertical="center"/>
    </xf>
    <xf numFmtId="17" fontId="2" fillId="9" borderId="21" xfId="0" applyNumberFormat="1" applyFont="1" applyFill="1" applyBorder="1" applyAlignment="1">
      <alignment horizontal="center" vertical="center" wrapText="1"/>
    </xf>
    <xf numFmtId="0" fontId="2" fillId="9" borderId="21" xfId="0" applyFont="1" applyFill="1" applyBorder="1" applyAlignment="1">
      <alignment horizontal="center" vertical="center" wrapText="1"/>
    </xf>
    <xf numFmtId="17" fontId="2" fillId="9" borderId="22" xfId="0" applyNumberFormat="1" applyFont="1" applyFill="1" applyBorder="1" applyAlignment="1">
      <alignment horizontal="center" vertical="center" wrapText="1"/>
    </xf>
    <xf numFmtId="17" fontId="2" fillId="9" borderId="23" xfId="0" applyNumberFormat="1" applyFont="1" applyFill="1" applyBorder="1" applyAlignment="1">
      <alignment horizontal="center" vertical="center"/>
    </xf>
    <xf numFmtId="17" fontId="2" fillId="9" borderId="23" xfId="0" applyNumberFormat="1"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45" xfId="1" applyNumberFormat="1" applyFont="1" applyFill="1" applyBorder="1" applyAlignment="1">
      <alignment horizontal="center" vertical="center"/>
    </xf>
    <xf numFmtId="0" fontId="2" fillId="9" borderId="45" xfId="0" applyFont="1" applyFill="1" applyBorder="1" applyAlignment="1">
      <alignment horizontal="center" vertical="center"/>
    </xf>
    <xf numFmtId="0" fontId="2" fillId="9" borderId="57" xfId="1" applyNumberFormat="1" applyFont="1" applyFill="1" applyBorder="1" applyAlignment="1">
      <alignment horizontal="center" vertical="center"/>
    </xf>
    <xf numFmtId="0" fontId="2" fillId="9" borderId="57" xfId="0" applyFont="1" applyFill="1" applyBorder="1" applyAlignment="1">
      <alignment horizontal="center" vertical="center"/>
    </xf>
    <xf numFmtId="14" fontId="2" fillId="9" borderId="57" xfId="0" applyNumberFormat="1" applyFont="1" applyFill="1" applyBorder="1" applyAlignment="1">
      <alignment horizontal="center" vertical="center" wrapText="1"/>
    </xf>
    <xf numFmtId="20" fontId="2" fillId="9" borderId="57" xfId="0" applyNumberFormat="1" applyFont="1" applyFill="1" applyBorder="1" applyAlignment="1">
      <alignment horizontal="center" vertical="center" wrapText="1"/>
    </xf>
    <xf numFmtId="0" fontId="2" fillId="9" borderId="65" xfId="0" applyFont="1" applyFill="1" applyBorder="1" applyAlignment="1">
      <alignment horizontal="center" vertical="center" wrapText="1"/>
    </xf>
    <xf numFmtId="0" fontId="2" fillId="9" borderId="66" xfId="0" applyFont="1" applyFill="1" applyBorder="1" applyAlignment="1">
      <alignment horizontal="center" vertical="center" wrapText="1"/>
    </xf>
    <xf numFmtId="0" fontId="2" fillId="9" borderId="67" xfId="0" applyFont="1" applyFill="1" applyBorder="1" applyAlignment="1">
      <alignment horizontal="center" vertical="center" wrapText="1"/>
    </xf>
    <xf numFmtId="17" fontId="2" fillId="9" borderId="66" xfId="0" quotePrefix="1" applyNumberFormat="1" applyFont="1" applyFill="1" applyBorder="1" applyAlignment="1">
      <alignment horizontal="center" vertical="center" wrapText="1"/>
    </xf>
    <xf numFmtId="17" fontId="2" fillId="9" borderId="67" xfId="0" quotePrefix="1" applyNumberFormat="1" applyFont="1" applyFill="1" applyBorder="1" applyAlignment="1">
      <alignment horizontal="center" vertical="center" wrapText="1"/>
    </xf>
    <xf numFmtId="0" fontId="2" fillId="9" borderId="68" xfId="0" applyFont="1" applyFill="1" applyBorder="1" applyAlignment="1">
      <alignment horizontal="center" vertical="center" wrapText="1"/>
    </xf>
    <xf numFmtId="43" fontId="36" fillId="9" borderId="69" xfId="1" applyFont="1" applyFill="1" applyBorder="1" applyAlignment="1">
      <alignment horizontal="center" vertical="center" wrapText="1"/>
    </xf>
    <xf numFmtId="0" fontId="36" fillId="9" borderId="70" xfId="0" applyFont="1" applyFill="1" applyBorder="1" applyAlignment="1">
      <alignment horizontal="center" vertical="center" wrapText="1"/>
    </xf>
    <xf numFmtId="0" fontId="36" fillId="9" borderId="71" xfId="0" applyFont="1" applyFill="1" applyBorder="1" applyAlignment="1">
      <alignment horizontal="center" vertical="center" wrapText="1"/>
    </xf>
    <xf numFmtId="0" fontId="36" fillId="9" borderId="72" xfId="0" applyFont="1" applyFill="1" applyBorder="1" applyAlignment="1">
      <alignment vertical="center" wrapText="1"/>
    </xf>
    <xf numFmtId="0" fontId="36" fillId="9" borderId="73" xfId="0" applyFont="1" applyFill="1" applyBorder="1" applyAlignment="1">
      <alignment horizontal="center" vertical="center" wrapText="1"/>
    </xf>
    <xf numFmtId="0" fontId="36" fillId="9" borderId="74" xfId="0" applyFont="1" applyFill="1" applyBorder="1" applyAlignment="1">
      <alignment vertical="center" wrapText="1"/>
    </xf>
    <xf numFmtId="4" fontId="36" fillId="9" borderId="57" xfId="0" applyNumberFormat="1" applyFont="1" applyFill="1" applyBorder="1" applyAlignment="1">
      <alignment vertical="center"/>
    </xf>
    <xf numFmtId="0" fontId="36" fillId="9" borderId="93" xfId="0" applyFont="1" applyFill="1" applyBorder="1" applyAlignment="1">
      <alignment vertical="center"/>
    </xf>
    <xf numFmtId="4" fontId="36" fillId="9" borderId="93" xfId="0" applyNumberFormat="1" applyFont="1" applyFill="1" applyBorder="1" applyAlignment="1">
      <alignment vertical="center"/>
    </xf>
    <xf numFmtId="4" fontId="72" fillId="9" borderId="57" xfId="0" applyNumberFormat="1" applyFont="1" applyFill="1" applyBorder="1" applyAlignment="1">
      <alignment vertical="center"/>
    </xf>
    <xf numFmtId="17" fontId="36" fillId="11" borderId="45" xfId="6" quotePrefix="1" applyNumberFormat="1" applyFont="1" applyFill="1" applyBorder="1" applyAlignment="1">
      <alignment horizontal="center" vertical="center" wrapText="1"/>
    </xf>
    <xf numFmtId="0" fontId="36" fillId="11" borderId="45" xfId="6" quotePrefix="1" applyFont="1" applyFill="1" applyBorder="1" applyAlignment="1">
      <alignment horizontal="center" vertical="center" wrapText="1"/>
    </xf>
    <xf numFmtId="0" fontId="36" fillId="11" borderId="45" xfId="6" applyFont="1" applyFill="1" applyBorder="1" applyAlignment="1">
      <alignment horizontal="center" vertical="center" wrapText="1"/>
    </xf>
    <xf numFmtId="14" fontId="36" fillId="11" borderId="45" xfId="6" applyNumberFormat="1" applyFont="1" applyFill="1" applyBorder="1" applyAlignment="1">
      <alignment horizontal="center" vertical="center"/>
    </xf>
    <xf numFmtId="20" fontId="36" fillId="11" borderId="94" xfId="6" applyNumberFormat="1" applyFont="1" applyFill="1" applyBorder="1" applyAlignment="1">
      <alignment horizontal="center" vertical="center"/>
    </xf>
    <xf numFmtId="174" fontId="41" fillId="9" borderId="96" xfId="0" applyNumberFormat="1" applyFont="1" applyFill="1" applyBorder="1" applyAlignment="1">
      <alignment horizontal="center" vertical="center"/>
    </xf>
    <xf numFmtId="174" fontId="41" fillId="9" borderId="96" xfId="0" applyNumberFormat="1" applyFont="1" applyFill="1" applyBorder="1" applyAlignment="1">
      <alignment horizontal="center" vertical="center" wrapText="1"/>
    </xf>
    <xf numFmtId="0" fontId="36" fillId="9" borderId="72" xfId="0" applyFont="1" applyFill="1" applyBorder="1" applyAlignment="1">
      <alignment horizontal="center" vertical="center"/>
    </xf>
    <xf numFmtId="43" fontId="36" fillId="9" borderId="72" xfId="1" applyFont="1" applyFill="1" applyBorder="1" applyAlignment="1">
      <alignment horizontal="center" vertical="center"/>
    </xf>
    <xf numFmtId="4" fontId="36" fillId="9" borderId="72" xfId="0" applyNumberFormat="1" applyFont="1" applyFill="1" applyBorder="1" applyAlignment="1">
      <alignment horizontal="center" vertical="center"/>
    </xf>
    <xf numFmtId="0" fontId="36" fillId="9" borderId="72" xfId="0" applyFont="1" applyFill="1" applyBorder="1" applyAlignment="1">
      <alignment horizontal="center" vertical="center" wrapText="1"/>
    </xf>
    <xf numFmtId="0" fontId="72" fillId="9" borderId="93"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167" fontId="21" fillId="4" borderId="78" xfId="2" applyNumberFormat="1" applyFont="1" applyFill="1" applyBorder="1" applyAlignment="1">
      <alignment horizontal="center" vertical="center"/>
    </xf>
    <xf numFmtId="0" fontId="71" fillId="4" borderId="90" xfId="0" applyFont="1" applyFill="1" applyBorder="1"/>
    <xf numFmtId="43" fontId="71" fillId="4" borderId="90" xfId="1" applyFont="1" applyFill="1" applyBorder="1"/>
    <xf numFmtId="43" fontId="71" fillId="4" borderId="90" xfId="0" applyNumberFormat="1" applyFont="1" applyFill="1" applyBorder="1"/>
    <xf numFmtId="0" fontId="32" fillId="9" borderId="76" xfId="0" quotePrefix="1" applyFont="1" applyFill="1" applyBorder="1" applyAlignment="1">
      <alignment horizontal="center" vertical="center" wrapText="1"/>
    </xf>
    <xf numFmtId="0" fontId="32" fillId="9" borderId="76" xfId="0" applyFont="1" applyFill="1" applyBorder="1" applyAlignment="1">
      <alignment horizontal="center" vertical="center" wrapText="1"/>
    </xf>
    <xf numFmtId="0" fontId="32" fillId="9" borderId="77" xfId="0" applyFont="1" applyFill="1" applyBorder="1" applyAlignment="1">
      <alignment horizontal="center" vertical="center" wrapText="1"/>
    </xf>
    <xf numFmtId="0" fontId="32" fillId="9" borderId="75" xfId="0" applyFont="1" applyFill="1" applyBorder="1" applyAlignment="1">
      <alignment horizontal="center" vertical="center" wrapText="1"/>
    </xf>
    <xf numFmtId="166" fontId="65" fillId="0" borderId="0" xfId="7" applyNumberFormat="1" applyFont="1"/>
    <xf numFmtId="0" fontId="62" fillId="0" borderId="0" xfId="0" applyFont="1" applyAlignment="1">
      <alignment vertical="center" wrapText="1"/>
    </xf>
    <xf numFmtId="0" fontId="75" fillId="0" borderId="0" xfId="0" applyFont="1"/>
    <xf numFmtId="0" fontId="76" fillId="0" borderId="0" xfId="0" applyFont="1" applyAlignment="1">
      <alignment vertical="center"/>
    </xf>
    <xf numFmtId="0" fontId="76" fillId="0" borderId="0" xfId="0" applyFont="1" applyAlignment="1">
      <alignment horizontal="center"/>
    </xf>
    <xf numFmtId="0" fontId="76" fillId="0" borderId="0" xfId="0" applyFont="1" applyAlignment="1">
      <alignment horizontal="left" vertical="center" wrapText="1"/>
    </xf>
    <xf numFmtId="0" fontId="76" fillId="0" borderId="0" xfId="0" applyFont="1" applyAlignment="1">
      <alignment vertical="center" wrapText="1"/>
    </xf>
    <xf numFmtId="49" fontId="77" fillId="0" borderId="0" xfId="0" applyNumberFormat="1" applyFont="1" applyAlignment="1">
      <alignment horizontal="right"/>
    </xf>
    <xf numFmtId="1" fontId="77" fillId="0" borderId="0" xfId="0" applyNumberFormat="1" applyFont="1" applyAlignment="1">
      <alignment horizontal="right"/>
    </xf>
    <xf numFmtId="0" fontId="78" fillId="0" borderId="0" xfId="0" applyFont="1" applyAlignment="1">
      <alignment vertical="center"/>
    </xf>
    <xf numFmtId="0" fontId="78" fillId="0" borderId="0" xfId="0" applyFont="1" applyAlignment="1">
      <alignment vertical="center" wrapText="1"/>
    </xf>
    <xf numFmtId="0" fontId="36" fillId="9" borderId="103" xfId="0" applyFont="1" applyFill="1" applyBorder="1" applyAlignment="1">
      <alignment horizontal="center" vertical="center" wrapText="1"/>
    </xf>
    <xf numFmtId="0" fontId="36" fillId="9" borderId="104" xfId="0" applyFont="1" applyFill="1" applyBorder="1" applyAlignment="1">
      <alignment horizontal="center" vertical="center" wrapText="1"/>
    </xf>
    <xf numFmtId="0" fontId="36" fillId="9" borderId="105" xfId="0" applyFont="1" applyFill="1" applyBorder="1" applyAlignment="1">
      <alignment horizontal="center" vertical="center" wrapText="1"/>
    </xf>
    <xf numFmtId="0" fontId="36" fillId="9" borderId="106"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22" fontId="30" fillId="0" borderId="0" xfId="0" applyNumberFormat="1" applyFont="1" applyAlignment="1">
      <alignment vertical="center"/>
    </xf>
    <xf numFmtId="14" fontId="0" fillId="0" borderId="0" xfId="0" applyNumberFormat="1" applyAlignment="1">
      <alignment horizontal="center"/>
    </xf>
    <xf numFmtId="20" fontId="0" fillId="0" borderId="0" xfId="0" applyNumberFormat="1" applyAlignment="1">
      <alignment horizontal="center"/>
    </xf>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9" borderId="92" xfId="0" applyNumberFormat="1" applyFont="1" applyFill="1" applyBorder="1" applyAlignment="1">
      <alignment vertical="center"/>
    </xf>
    <xf numFmtId="20" fontId="33" fillId="0" borderId="96" xfId="0" applyNumberFormat="1" applyFont="1" applyBorder="1" applyAlignment="1">
      <alignment horizontal="center" vertical="center"/>
    </xf>
    <xf numFmtId="20" fontId="33" fillId="0" borderId="96" xfId="0" applyNumberFormat="1" applyFont="1" applyBorder="1" applyAlignment="1">
      <alignment horizontal="center"/>
    </xf>
    <xf numFmtId="4" fontId="33" fillId="6" borderId="96" xfId="0" applyNumberFormat="1" applyFont="1" applyFill="1" applyBorder="1" applyAlignment="1">
      <alignment horizontal="center"/>
    </xf>
    <xf numFmtId="4" fontId="0" fillId="0" borderId="107" xfId="0" applyNumberFormat="1" applyBorder="1" applyAlignment="1">
      <alignment vertical="center"/>
    </xf>
    <xf numFmtId="4" fontId="0" fillId="0" borderId="108" xfId="0" applyNumberFormat="1" applyBorder="1" applyAlignment="1">
      <alignment vertical="center"/>
    </xf>
    <xf numFmtId="4" fontId="0" fillId="0" borderId="109" xfId="0" applyNumberFormat="1" applyBorder="1" applyAlignment="1">
      <alignment vertical="center"/>
    </xf>
    <xf numFmtId="167" fontId="0" fillId="0" borderId="110" xfId="2" applyNumberFormat="1" applyFont="1" applyBorder="1" applyAlignment="1">
      <alignment vertical="center"/>
    </xf>
    <xf numFmtId="4" fontId="0" fillId="4" borderId="3" xfId="0" applyNumberFormat="1" applyFill="1" applyBorder="1" applyAlignment="1">
      <alignment vertical="center"/>
    </xf>
    <xf numFmtId="4" fontId="0" fillId="4" borderId="111" xfId="0" applyNumberFormat="1" applyFill="1" applyBorder="1" applyAlignment="1">
      <alignment vertical="center"/>
    </xf>
    <xf numFmtId="4" fontId="0" fillId="4" borderId="112" xfId="0" applyNumberFormat="1" applyFill="1" applyBorder="1" applyAlignment="1">
      <alignment vertical="center"/>
    </xf>
    <xf numFmtId="167" fontId="0" fillId="4" borderId="113" xfId="2" applyNumberFormat="1" applyFont="1" applyFill="1" applyBorder="1" applyAlignment="1">
      <alignment vertical="center"/>
    </xf>
    <xf numFmtId="4" fontId="0" fillId="0" borderId="3" xfId="0" applyNumberFormat="1" applyBorder="1" applyAlignment="1">
      <alignment vertical="center"/>
    </xf>
    <xf numFmtId="4" fontId="0" fillId="0" borderId="111" xfId="0" applyNumberFormat="1" applyBorder="1" applyAlignment="1">
      <alignment vertical="center"/>
    </xf>
    <xf numFmtId="4" fontId="0" fillId="0" borderId="112" xfId="0" applyNumberFormat="1" applyBorder="1" applyAlignment="1">
      <alignment vertical="center"/>
    </xf>
    <xf numFmtId="167" fontId="0" fillId="0" borderId="113" xfId="2" applyNumberFormat="1" applyFont="1" applyBorder="1" applyAlignment="1">
      <alignment vertical="center"/>
    </xf>
    <xf numFmtId="4" fontId="0" fillId="0" borderId="107" xfId="0" applyNumberFormat="1" applyBorder="1"/>
    <xf numFmtId="4" fontId="0" fillId="0" borderId="114" xfId="0" applyNumberFormat="1" applyBorder="1" applyAlignment="1">
      <alignment horizontal="right"/>
    </xf>
    <xf numFmtId="167" fontId="0" fillId="0" borderId="110" xfId="2" applyNumberFormat="1" applyFont="1" applyBorder="1"/>
    <xf numFmtId="4" fontId="0" fillId="4" borderId="3" xfId="0" applyNumberFormat="1" applyFill="1" applyBorder="1"/>
    <xf numFmtId="4" fontId="0" fillId="4" borderId="115" xfId="0" applyNumberFormat="1" applyFill="1" applyBorder="1" applyAlignment="1">
      <alignment horizontal="right"/>
    </xf>
    <xf numFmtId="167" fontId="0" fillId="4" borderId="113" xfId="2" applyNumberFormat="1" applyFont="1" applyFill="1" applyBorder="1"/>
    <xf numFmtId="4" fontId="0" fillId="0" borderId="3" xfId="0" applyNumberFormat="1" applyBorder="1"/>
    <xf numFmtId="4" fontId="0" fillId="0" borderId="115" xfId="0" applyNumberFormat="1" applyBorder="1" applyAlignment="1">
      <alignment horizontal="right"/>
    </xf>
    <xf numFmtId="167" fontId="0" fillId="0" borderId="113" xfId="2" applyNumberFormat="1" applyFont="1" applyBorder="1"/>
    <xf numFmtId="4" fontId="0" fillId="4" borderId="116" xfId="0" applyNumberFormat="1" applyFill="1" applyBorder="1"/>
    <xf numFmtId="4" fontId="0" fillId="4" borderId="117" xfId="0" applyNumberFormat="1" applyFill="1" applyBorder="1" applyAlignment="1">
      <alignment horizontal="right"/>
    </xf>
    <xf numFmtId="167" fontId="0" fillId="4" borderId="118" xfId="2" applyNumberFormat="1" applyFont="1" applyFill="1" applyBorder="1"/>
    <xf numFmtId="2" fontId="50" fillId="0" borderId="0" xfId="0" applyNumberFormat="1" applyFont="1"/>
    <xf numFmtId="174" fontId="32" fillId="3" borderId="45" xfId="0" applyNumberFormat="1" applyFont="1" applyFill="1" applyBorder="1" applyAlignment="1">
      <alignment vertical="center"/>
    </xf>
    <xf numFmtId="0" fontId="60" fillId="0" borderId="72" xfId="0" applyFont="1" applyBorder="1" applyAlignment="1">
      <alignment horizontal="left" vertical="center" wrapText="1"/>
    </xf>
    <xf numFmtId="0" fontId="80" fillId="0" borderId="0" xfId="0" applyFont="1"/>
    <xf numFmtId="0" fontId="81" fillId="0" borderId="0" xfId="0" applyFont="1" applyAlignment="1">
      <alignment vertical="center"/>
    </xf>
    <xf numFmtId="49" fontId="80" fillId="0" borderId="0" xfId="0" applyNumberFormat="1" applyFont="1" applyAlignment="1">
      <alignment horizontal="center"/>
    </xf>
    <xf numFmtId="1" fontId="80" fillId="0" borderId="0" xfId="0" applyNumberFormat="1" applyFont="1" applyAlignment="1">
      <alignment horizontal="center"/>
    </xf>
    <xf numFmtId="49" fontId="80" fillId="0" borderId="0" xfId="0" applyNumberFormat="1" applyFont="1" applyAlignment="1">
      <alignment horizontal="left"/>
    </xf>
    <xf numFmtId="1" fontId="80" fillId="0" borderId="0" xfId="0" applyNumberFormat="1" applyFont="1" applyAlignment="1">
      <alignment horizontal="left"/>
    </xf>
    <xf numFmtId="165" fontId="80" fillId="0" borderId="0" xfId="0" applyNumberFormat="1" applyFont="1" applyAlignment="1">
      <alignment horizontal="center"/>
    </xf>
    <xf numFmtId="0" fontId="80" fillId="0" borderId="0" xfId="0" applyFont="1" applyAlignment="1">
      <alignment horizontal="center"/>
    </xf>
    <xf numFmtId="2" fontId="80" fillId="0" borderId="0" xfId="0" applyNumberFormat="1" applyFont="1"/>
    <xf numFmtId="10" fontId="80"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9" borderId="23" xfId="0" applyNumberFormat="1" applyFont="1" applyFill="1" applyBorder="1" applyAlignment="1">
      <alignment horizontal="center"/>
    </xf>
    <xf numFmtId="0" fontId="32" fillId="9" borderId="23" xfId="0" applyFont="1" applyFill="1" applyBorder="1" applyAlignment="1">
      <alignment horizontal="center" wrapText="1"/>
    </xf>
    <xf numFmtId="16" fontId="32" fillId="9" borderId="24" xfId="0" applyNumberFormat="1" applyFont="1" applyFill="1" applyBorder="1" applyAlignment="1">
      <alignment horizontal="center" vertical="center"/>
    </xf>
    <xf numFmtId="16" fontId="32" fillId="9" borderId="24" xfId="0" applyNumberFormat="1" applyFont="1" applyFill="1" applyBorder="1" applyAlignment="1">
      <alignment horizontal="center" wrapText="1"/>
    </xf>
    <xf numFmtId="20" fontId="32" fillId="9" borderId="26" xfId="0" quotePrefix="1" applyNumberFormat="1" applyFont="1" applyFill="1" applyBorder="1" applyAlignment="1">
      <alignment horizontal="center" vertical="center"/>
    </xf>
    <xf numFmtId="20" fontId="32" fillId="9"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9" borderId="57" xfId="0" applyNumberFormat="1" applyFont="1" applyFill="1" applyBorder="1" applyAlignment="1">
      <alignment vertical="center"/>
    </xf>
    <xf numFmtId="174" fontId="27" fillId="6" borderId="96" xfId="0" applyNumberFormat="1" applyFont="1" applyFill="1" applyBorder="1"/>
    <xf numFmtId="177" fontId="0" fillId="0" borderId="0" xfId="1" applyNumberFormat="1" applyFont="1" applyAlignment="1">
      <alignment horizontal="center"/>
    </xf>
    <xf numFmtId="177" fontId="33" fillId="4" borderId="56" xfId="1" applyNumberFormat="1" applyFont="1" applyFill="1" applyBorder="1" applyAlignment="1">
      <alignment horizontal="right" vertical="center"/>
    </xf>
    <xf numFmtId="177" fontId="33" fillId="4" borderId="54"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9" borderId="87" xfId="5" applyFont="1" applyFill="1" applyBorder="1" applyAlignment="1">
      <alignment horizontal="center" vertical="center"/>
    </xf>
    <xf numFmtId="0" fontId="36" fillId="9" borderId="91"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0" fontId="71" fillId="0" borderId="0" xfId="0" applyFont="1" applyBorder="1"/>
    <xf numFmtId="43" fontId="31" fillId="0" borderId="0" xfId="0" applyNumberFormat="1" applyFont="1" applyBorder="1"/>
    <xf numFmtId="0" fontId="30" fillId="0" borderId="0" xfId="0" applyFont="1" applyBorder="1"/>
    <xf numFmtId="0" fontId="82" fillId="0" borderId="0" xfId="0" applyFont="1"/>
    <xf numFmtId="0" fontId="0" fillId="0" borderId="0" xfId="0" applyFont="1"/>
    <xf numFmtId="17" fontId="36" fillId="9" borderId="120" xfId="0" applyNumberFormat="1" applyFont="1" applyFill="1" applyBorder="1" applyAlignment="1">
      <alignment horizontal="center" vertical="center"/>
    </xf>
    <xf numFmtId="0" fontId="36" fillId="9" borderId="122" xfId="5" applyFont="1" applyFill="1" applyBorder="1" applyAlignment="1">
      <alignment horizontal="center" vertical="center"/>
    </xf>
    <xf numFmtId="0" fontId="36" fillId="9" borderId="124"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9" borderId="127" xfId="0" applyNumberFormat="1" applyFont="1" applyFill="1" applyBorder="1" applyAlignment="1">
      <alignment vertical="center"/>
    </xf>
    <xf numFmtId="4" fontId="72" fillId="9" borderId="127" xfId="0" applyNumberFormat="1" applyFont="1" applyFill="1" applyBorder="1" applyAlignment="1">
      <alignment vertical="center"/>
    </xf>
    <xf numFmtId="0" fontId="36" fillId="9" borderId="126" xfId="0" applyFont="1" applyFill="1" applyBorder="1" applyAlignment="1">
      <alignment vertical="center"/>
    </xf>
    <xf numFmtId="0" fontId="0" fillId="0" borderId="128" xfId="0" applyBorder="1"/>
    <xf numFmtId="0" fontId="36" fillId="11" borderId="132" xfId="6" applyFont="1" applyFill="1" applyBorder="1" applyAlignment="1">
      <alignment horizontal="center" vertical="center" wrapText="1"/>
    </xf>
    <xf numFmtId="0" fontId="36" fillId="11" borderId="132" xfId="6" applyFont="1" applyFill="1" applyBorder="1" applyAlignment="1">
      <alignment horizontal="center" vertical="center"/>
    </xf>
    <xf numFmtId="0" fontId="36" fillId="11" borderId="134" xfId="6" applyFont="1" applyFill="1" applyBorder="1" applyAlignment="1">
      <alignment horizontal="center" vertical="center"/>
    </xf>
    <xf numFmtId="10" fontId="31" fillId="0" borderId="0" xfId="2" applyNumberFormat="1" applyFont="1" applyBorder="1"/>
    <xf numFmtId="20" fontId="36" fillId="11" borderId="136" xfId="6" applyNumberFormat="1" applyFont="1" applyFill="1" applyBorder="1" applyAlignment="1">
      <alignment horizontal="center" vertical="center"/>
    </xf>
    <xf numFmtId="0" fontId="36" fillId="11" borderId="137" xfId="6" applyFont="1" applyFill="1" applyBorder="1" applyAlignment="1">
      <alignment horizontal="center" vertical="center"/>
    </xf>
    <xf numFmtId="0" fontId="31" fillId="0" borderId="0" xfId="0" applyFont="1" applyBorder="1" applyAlignment="1">
      <alignment vertical="center" wrapText="1"/>
    </xf>
    <xf numFmtId="43" fontId="31" fillId="0" borderId="0" xfId="0" applyNumberFormat="1" applyFont="1" applyBorder="1" applyAlignment="1">
      <alignment vertical="center" wrapText="1"/>
    </xf>
    <xf numFmtId="43" fontId="31" fillId="2" borderId="0" xfId="0" applyNumberFormat="1" applyFont="1" applyFill="1" applyBorder="1"/>
    <xf numFmtId="10" fontId="36" fillId="9" borderId="127" xfId="2" applyNumberFormat="1" applyFont="1" applyFill="1" applyBorder="1" applyAlignment="1">
      <alignment vertical="center"/>
    </xf>
    <xf numFmtId="10" fontId="72" fillId="9" borderId="127" xfId="2" applyNumberFormat="1" applyFont="1" applyFill="1" applyBorder="1" applyAlignment="1">
      <alignment vertical="center"/>
    </xf>
    <xf numFmtId="0" fontId="72" fillId="9" borderId="126" xfId="0" applyFont="1" applyFill="1" applyBorder="1" applyAlignment="1">
      <alignment vertical="center"/>
    </xf>
    <xf numFmtId="0" fontId="21" fillId="2" borderId="90" xfId="0" quotePrefix="1" applyFont="1" applyFill="1" applyBorder="1" applyAlignment="1">
      <alignment vertical="center"/>
    </xf>
    <xf numFmtId="0" fontId="30" fillId="0" borderId="90"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83" fillId="2" borderId="0" xfId="0" applyFont="1" applyFill="1" applyAlignment="1">
      <alignment horizontal="left" vertical="center" wrapText="1"/>
    </xf>
    <xf numFmtId="0" fontId="82" fillId="0" borderId="0" xfId="0" applyFont="1" applyAlignment="1">
      <alignment vertical="center"/>
    </xf>
    <xf numFmtId="43" fontId="62" fillId="0" borderId="140" xfId="1" applyFont="1" applyBorder="1" applyAlignment="1">
      <alignment vertical="center" wrapText="1"/>
    </xf>
    <xf numFmtId="0" fontId="62" fillId="0" borderId="140" xfId="0" applyFont="1" applyBorder="1" applyAlignment="1">
      <alignment vertical="center" wrapText="1"/>
    </xf>
    <xf numFmtId="4" fontId="13" fillId="0" borderId="140" xfId="0" applyNumberFormat="1" applyFont="1" applyBorder="1" applyAlignment="1">
      <alignment horizontal="center" vertical="center"/>
    </xf>
    <xf numFmtId="167" fontId="13" fillId="0" borderId="141" xfId="2" applyNumberFormat="1" applyFont="1" applyBorder="1" applyAlignment="1">
      <alignment horizontal="center" vertical="center"/>
    </xf>
    <xf numFmtId="14" fontId="27" fillId="6" borderId="96" xfId="0" applyNumberFormat="1" applyFont="1" applyFill="1" applyBorder="1"/>
    <xf numFmtId="20" fontId="33" fillId="6" borderId="96" xfId="0" applyNumberFormat="1" applyFont="1" applyFill="1" applyBorder="1" applyAlignment="1">
      <alignment horizontal="center"/>
    </xf>
    <xf numFmtId="4" fontId="33" fillId="0" borderId="96" xfId="0" applyNumberFormat="1" applyFont="1" applyFill="1" applyBorder="1" applyAlignment="1">
      <alignment horizontal="center"/>
    </xf>
    <xf numFmtId="4" fontId="27" fillId="0" borderId="96" xfId="0" applyNumberFormat="1" applyFont="1" applyFill="1" applyBorder="1"/>
    <xf numFmtId="174" fontId="27" fillId="0" borderId="96" xfId="0" applyNumberFormat="1" applyFont="1" applyFill="1" applyBorder="1"/>
    <xf numFmtId="0" fontId="71" fillId="0" borderId="30" xfId="0" applyFont="1" applyBorder="1"/>
    <xf numFmtId="10" fontId="31" fillId="0" borderId="31" xfId="2" applyNumberFormat="1" applyFont="1" applyBorder="1"/>
    <xf numFmtId="0" fontId="71" fillId="4" borderId="142" xfId="0" applyFont="1" applyFill="1" applyBorder="1"/>
    <xf numFmtId="10" fontId="71" fillId="4" borderId="143" xfId="2" applyNumberFormat="1" applyFont="1" applyFill="1" applyBorder="1"/>
    <xf numFmtId="0" fontId="71" fillId="0" borderId="30" xfId="0" applyFont="1" applyBorder="1" applyAlignment="1">
      <alignment vertical="center" wrapText="1"/>
    </xf>
    <xf numFmtId="10" fontId="31" fillId="0" borderId="31" xfId="2" applyNumberFormat="1" applyFont="1" applyBorder="1" applyAlignment="1">
      <alignment vertical="center" wrapText="1"/>
    </xf>
    <xf numFmtId="43" fontId="31" fillId="0" borderId="31" xfId="1" applyFont="1" applyBorder="1"/>
    <xf numFmtId="43" fontId="71" fillId="4" borderId="143"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44" xfId="0" applyFont="1" applyFill="1" applyBorder="1"/>
    <xf numFmtId="0" fontId="71" fillId="4" borderId="126" xfId="0" applyFont="1" applyFill="1" applyBorder="1"/>
    <xf numFmtId="43" fontId="71" fillId="4" borderId="126" xfId="1" applyFont="1" applyFill="1" applyBorder="1"/>
    <xf numFmtId="43" fontId="71" fillId="4" borderId="145" xfId="1" applyFont="1" applyFill="1" applyBorder="1"/>
    <xf numFmtId="0" fontId="71" fillId="0" borderId="30" xfId="0" applyFont="1" applyBorder="1" applyAlignment="1">
      <alignment wrapText="1"/>
    </xf>
    <xf numFmtId="43" fontId="31" fillId="0" borderId="31" xfId="1" applyFont="1" applyBorder="1" applyAlignment="1">
      <alignment vertical="center"/>
    </xf>
    <xf numFmtId="0" fontId="31" fillId="0" borderId="146" xfId="0" applyFont="1" applyBorder="1"/>
    <xf numFmtId="43" fontId="31" fillId="0" borderId="147"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46"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47" xfId="2" applyFont="1" applyBorder="1"/>
    <xf numFmtId="10" fontId="31" fillId="0" borderId="147" xfId="2" applyNumberFormat="1" applyFont="1" applyBorder="1"/>
    <xf numFmtId="10" fontId="31" fillId="2" borderId="31" xfId="2" applyNumberFormat="1" applyFont="1" applyFill="1" applyBorder="1"/>
    <xf numFmtId="0" fontId="23" fillId="2" borderId="0" xfId="0" applyFont="1" applyFill="1" applyAlignment="1">
      <alignment horizontal="left" vertical="center" wrapText="1"/>
    </xf>
    <xf numFmtId="43" fontId="62" fillId="0" borderId="148" xfId="1" applyFont="1" applyBorder="1" applyAlignment="1">
      <alignment vertical="center" wrapText="1"/>
    </xf>
    <xf numFmtId="0" fontId="62" fillId="0" borderId="148" xfId="0" applyFont="1" applyBorder="1" applyAlignment="1">
      <alignment vertical="center" wrapText="1"/>
    </xf>
    <xf numFmtId="4" fontId="13" fillId="0" borderId="148" xfId="0" applyNumberFormat="1" applyFont="1" applyBorder="1" applyAlignment="1">
      <alignment horizontal="center" vertical="center"/>
    </xf>
    <xf numFmtId="167" fontId="13" fillId="0" borderId="148" xfId="2" applyNumberFormat="1" applyFont="1" applyBorder="1" applyAlignment="1">
      <alignment horizontal="center" vertical="center"/>
    </xf>
    <xf numFmtId="43" fontId="62" fillId="0" borderId="149" xfId="1" applyFont="1" applyBorder="1" applyAlignment="1">
      <alignment vertical="center" wrapText="1"/>
    </xf>
    <xf numFmtId="0" fontId="62" fillId="0" borderId="149" xfId="0" applyFont="1" applyBorder="1" applyAlignment="1">
      <alignment vertical="center" wrapText="1"/>
    </xf>
    <xf numFmtId="4" fontId="13" fillId="0" borderId="149" xfId="0" applyNumberFormat="1" applyFont="1" applyBorder="1" applyAlignment="1">
      <alignment horizontal="center" vertical="center"/>
    </xf>
    <xf numFmtId="167" fontId="13" fillId="0" borderId="149" xfId="2" applyNumberFormat="1" applyFont="1" applyBorder="1" applyAlignment="1">
      <alignment horizontal="center" vertical="center"/>
    </xf>
    <xf numFmtId="167" fontId="13" fillId="0" borderId="150" xfId="2" applyNumberFormat="1" applyFont="1" applyBorder="1" applyAlignment="1">
      <alignment horizontal="center" vertical="center"/>
    </xf>
    <xf numFmtId="0" fontId="36" fillId="9" borderId="152" xfId="0" applyFont="1" applyFill="1" applyBorder="1" applyAlignment="1">
      <alignment horizontal="center" vertical="center" wrapText="1"/>
    </xf>
    <xf numFmtId="0" fontId="36" fillId="9" borderId="115" xfId="0" applyFont="1" applyFill="1" applyBorder="1" applyAlignment="1">
      <alignment horizontal="center" vertical="center" wrapText="1"/>
    </xf>
    <xf numFmtId="0" fontId="36" fillId="9" borderId="153" xfId="0" applyFont="1" applyFill="1" applyBorder="1" applyAlignment="1">
      <alignment horizontal="center" vertical="center" wrapText="1"/>
    </xf>
    <xf numFmtId="0" fontId="61" fillId="4" borderId="155" xfId="0" applyFont="1" applyFill="1" applyBorder="1" applyAlignment="1">
      <alignment horizontal="center" vertical="center"/>
    </xf>
    <xf numFmtId="4" fontId="61" fillId="4" borderId="156" xfId="0" applyNumberFormat="1" applyFont="1" applyFill="1" applyBorder="1" applyAlignment="1">
      <alignment horizontal="center" vertical="center"/>
    </xf>
    <xf numFmtId="0" fontId="31" fillId="0" borderId="0" xfId="0" applyFont="1" applyAlignment="1">
      <alignment vertical="center"/>
    </xf>
    <xf numFmtId="14" fontId="27" fillId="0" borderId="96" xfId="0" applyNumberFormat="1" applyFont="1" applyFill="1" applyBorder="1"/>
    <xf numFmtId="20" fontId="33" fillId="0" borderId="96" xfId="0" applyNumberFormat="1" applyFont="1" applyFill="1" applyBorder="1" applyAlignment="1">
      <alignment horizontal="center"/>
    </xf>
    <xf numFmtId="22" fontId="31" fillId="0" borderId="0" xfId="0" applyNumberFormat="1" applyFont="1" applyBorder="1" applyAlignment="1">
      <alignment horizontal="center" vertical="center" wrapText="1"/>
    </xf>
    <xf numFmtId="0" fontId="60" fillId="0" borderId="0" xfId="0" applyFont="1" applyBorder="1" applyAlignment="1">
      <alignment horizontal="justify" vertical="center" wrapText="1"/>
    </xf>
    <xf numFmtId="0" fontId="31" fillId="0" borderId="0" xfId="0" applyFont="1" applyBorder="1" applyAlignment="1">
      <alignment horizontal="center" vertical="center" wrapText="1"/>
    </xf>
    <xf numFmtId="0" fontId="85" fillId="0" borderId="0" xfId="0" applyFont="1"/>
    <xf numFmtId="0" fontId="84" fillId="0" borderId="0" xfId="0" applyFont="1"/>
    <xf numFmtId="0" fontId="86" fillId="0" borderId="0" xfId="0" applyFont="1" applyAlignment="1">
      <alignment vertical="center"/>
    </xf>
    <xf numFmtId="49" fontId="85" fillId="0" borderId="0" xfId="0" applyNumberFormat="1" applyFont="1" applyAlignment="1">
      <alignment horizontal="right"/>
    </xf>
    <xf numFmtId="1" fontId="85" fillId="0" borderId="0" xfId="0" applyNumberFormat="1" applyFont="1" applyAlignment="1">
      <alignment horizontal="right"/>
    </xf>
    <xf numFmtId="0" fontId="85" fillId="0" borderId="0" xfId="0" applyFont="1" applyAlignment="1">
      <alignment horizontal="right"/>
    </xf>
    <xf numFmtId="1" fontId="87" fillId="0" borderId="0" xfId="0" applyNumberFormat="1" applyFont="1"/>
    <xf numFmtId="0" fontId="84" fillId="0" borderId="0" xfId="0" applyFont="1" applyAlignment="1">
      <alignment horizontal="right"/>
    </xf>
    <xf numFmtId="1" fontId="87" fillId="0" borderId="0" xfId="0" applyNumberFormat="1" applyFont="1" applyAlignment="1">
      <alignment horizontal="right"/>
    </xf>
    <xf numFmtId="2" fontId="84" fillId="0" borderId="0" xfId="0" applyNumberFormat="1" applyFont="1" applyAlignment="1">
      <alignment horizontal="right"/>
    </xf>
    <xf numFmtId="0" fontId="88" fillId="4" borderId="154" xfId="0" applyFont="1" applyFill="1" applyBorder="1" applyAlignment="1">
      <alignment vertical="center"/>
    </xf>
    <xf numFmtId="0" fontId="60" fillId="2" borderId="84" xfId="0" quotePrefix="1" applyFont="1" applyFill="1" applyBorder="1" applyAlignment="1">
      <alignment vertical="center" wrapText="1"/>
    </xf>
    <xf numFmtId="0" fontId="27" fillId="4" borderId="49" xfId="0" applyFont="1" applyFill="1" applyBorder="1" applyAlignment="1">
      <alignment vertical="center" wrapText="1"/>
    </xf>
    <xf numFmtId="4" fontId="13" fillId="0" borderId="158" xfId="0" applyNumberFormat="1" applyFont="1" applyBorder="1" applyAlignment="1">
      <alignment horizontal="center" vertical="center"/>
    </xf>
    <xf numFmtId="167" fontId="13" fillId="0" borderId="159" xfId="2" applyNumberFormat="1" applyFont="1" applyBorder="1" applyAlignment="1">
      <alignment horizontal="center" vertical="center"/>
    </xf>
    <xf numFmtId="0" fontId="88" fillId="0" borderId="154" xfId="0" applyFont="1" applyFill="1" applyBorder="1" applyAlignment="1">
      <alignment vertical="center" wrapText="1"/>
    </xf>
    <xf numFmtId="0" fontId="62" fillId="0" borderId="155" xfId="0" applyFont="1" applyFill="1" applyBorder="1" applyAlignment="1">
      <alignment horizontal="center" vertical="center"/>
    </xf>
    <xf numFmtId="0" fontId="62" fillId="0" borderId="155" xfId="2" applyNumberFormat="1" applyFont="1" applyFill="1" applyBorder="1" applyAlignment="1">
      <alignment horizontal="center" vertical="center"/>
    </xf>
    <xf numFmtId="0" fontId="61" fillId="0" borderId="155" xfId="0" applyFont="1" applyFill="1" applyBorder="1" applyAlignment="1">
      <alignment horizontal="center" vertical="center"/>
    </xf>
    <xf numFmtId="4" fontId="62" fillId="0" borderId="156" xfId="0" applyNumberFormat="1" applyFont="1" applyFill="1" applyBorder="1" applyAlignment="1">
      <alignment horizontal="center" vertical="center"/>
    </xf>
    <xf numFmtId="0" fontId="62" fillId="0" borderId="155" xfId="0" applyFont="1" applyFill="1" applyBorder="1" applyAlignment="1">
      <alignment horizontal="center" vertical="center" wrapText="1"/>
    </xf>
    <xf numFmtId="0" fontId="88" fillId="0" borderId="154" xfId="0" applyFont="1" applyFill="1" applyBorder="1" applyAlignment="1">
      <alignment vertical="center"/>
    </xf>
    <xf numFmtId="49" fontId="36" fillId="11" borderId="45" xfId="6" applyNumberFormat="1" applyFont="1" applyFill="1" applyBorder="1" applyAlignment="1">
      <alignment horizontal="center" vertical="center" wrapText="1"/>
    </xf>
    <xf numFmtId="0" fontId="77" fillId="0" borderId="0" xfId="0" applyFont="1"/>
    <xf numFmtId="2" fontId="77" fillId="0" borderId="0" xfId="0" applyNumberFormat="1" applyFont="1" applyAlignment="1">
      <alignment horizontal="center" vertical="center" wrapText="1"/>
    </xf>
    <xf numFmtId="2" fontId="77" fillId="0" borderId="0" xfId="0" quotePrefix="1" applyNumberFormat="1" applyFont="1" applyAlignment="1">
      <alignment horizontal="center" vertical="center" wrapText="1"/>
    </xf>
    <xf numFmtId="17" fontId="77" fillId="0" borderId="0" xfId="0" quotePrefix="1" applyNumberFormat="1" applyFont="1" applyAlignment="1">
      <alignment horizontal="center" vertical="center" wrapText="1"/>
    </xf>
    <xf numFmtId="0" fontId="77" fillId="0" borderId="0" xfId="0" quotePrefix="1" applyFont="1" applyAlignment="1">
      <alignment horizontal="center" vertical="center" wrapText="1"/>
    </xf>
    <xf numFmtId="2" fontId="77" fillId="0" borderId="0" xfId="0" applyNumberFormat="1" applyFont="1" applyAlignment="1">
      <alignment horizontal="left"/>
    </xf>
    <xf numFmtId="2" fontId="76" fillId="0" borderId="0" xfId="0" applyNumberFormat="1" applyFont="1" applyAlignment="1">
      <alignment horizontal="center"/>
    </xf>
    <xf numFmtId="2" fontId="77" fillId="0" borderId="0" xfId="0" applyNumberFormat="1" applyFont="1" applyAlignment="1">
      <alignment horizontal="center"/>
    </xf>
    <xf numFmtId="43" fontId="77" fillId="0" borderId="0" xfId="1" applyFont="1" applyAlignment="1">
      <alignment horizontal="left"/>
    </xf>
    <xf numFmtId="0" fontId="77" fillId="0" borderId="0" xfId="0" applyFont="1" applyAlignment="1">
      <alignment vertical="top" wrapText="1"/>
    </xf>
    <xf numFmtId="0" fontId="77" fillId="0" borderId="0" xfId="0" applyFont="1" applyAlignment="1">
      <alignment horizontal="left" vertical="top" wrapText="1"/>
    </xf>
    <xf numFmtId="0" fontId="77" fillId="0" borderId="0" xfId="0" applyFont="1" applyAlignment="1">
      <alignment horizontal="left"/>
    </xf>
    <xf numFmtId="166" fontId="50" fillId="0" borderId="0" xfId="0" applyNumberFormat="1" applyFont="1" applyAlignment="1">
      <alignment vertical="center"/>
    </xf>
    <xf numFmtId="172" fontId="67" fillId="8" borderId="0" xfId="3" applyNumberFormat="1" applyFont="1" applyFill="1" applyAlignment="1">
      <alignment horizontal="center"/>
    </xf>
    <xf numFmtId="2" fontId="67" fillId="8" borderId="0" xfId="3" applyNumberFormat="1" applyFont="1" applyFill="1"/>
    <xf numFmtId="2" fontId="67" fillId="8" borderId="0" xfId="3" applyNumberFormat="1" applyFont="1" applyFill="1" applyAlignment="1">
      <alignment horizontal="center"/>
    </xf>
    <xf numFmtId="175" fontId="89" fillId="8" borderId="0" xfId="0" applyNumberFormat="1" applyFont="1" applyFill="1" applyAlignment="1">
      <alignment vertical="center"/>
    </xf>
    <xf numFmtId="175" fontId="65" fillId="0" borderId="0" xfId="0" applyNumberFormat="1" applyFont="1" applyAlignment="1">
      <alignment vertical="center"/>
    </xf>
    <xf numFmtId="0" fontId="89" fillId="0" borderId="0" xfId="0" applyFont="1"/>
    <xf numFmtId="176" fontId="21" fillId="0" borderId="39" xfId="2" applyNumberFormat="1" applyFont="1" applyBorder="1" applyAlignment="1">
      <alignment horizontal="right" vertical="center"/>
    </xf>
    <xf numFmtId="0" fontId="0" fillId="0" borderId="0" xfId="0"/>
    <xf numFmtId="0" fontId="90" fillId="0" borderId="0" xfId="0" applyFont="1"/>
    <xf numFmtId="175" fontId="90" fillId="0" borderId="0" xfId="0" applyNumberFormat="1" applyFont="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9" borderId="34"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9" borderId="17" xfId="0" quotePrefix="1" applyFont="1" applyFill="1" applyBorder="1" applyAlignment="1">
      <alignment horizontal="left" vertical="center" wrapText="1"/>
    </xf>
    <xf numFmtId="0" fontId="2" fillId="9"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9" borderId="18" xfId="1" applyFont="1" applyFill="1" applyBorder="1" applyAlignment="1">
      <alignment horizontal="center" vertical="center"/>
    </xf>
    <xf numFmtId="17" fontId="2" fillId="9" borderId="18" xfId="0" applyNumberFormat="1" applyFont="1" applyFill="1" applyBorder="1" applyAlignment="1">
      <alignment horizontal="center" vertical="center"/>
    </xf>
    <xf numFmtId="0" fontId="2" fillId="9" borderId="18" xfId="0" applyFont="1" applyFill="1" applyBorder="1" applyAlignment="1">
      <alignment horizontal="center" vertical="center"/>
    </xf>
    <xf numFmtId="0" fontId="2" fillId="9"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9" borderId="23" xfId="1" applyFont="1" applyFill="1" applyBorder="1" applyAlignment="1">
      <alignment horizontal="center" vertical="center"/>
    </xf>
    <xf numFmtId="17" fontId="2" fillId="9" borderId="23" xfId="0" applyNumberFormat="1" applyFont="1" applyFill="1" applyBorder="1" applyAlignment="1">
      <alignment horizontal="center" vertical="center"/>
    </xf>
    <xf numFmtId="0" fontId="2" fillId="9" borderId="23" xfId="0" applyFont="1" applyFill="1" applyBorder="1" applyAlignment="1">
      <alignment horizontal="center" vertical="center"/>
    </xf>
    <xf numFmtId="0" fontId="2" fillId="9"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10" borderId="45" xfId="0" applyFont="1" applyFill="1" applyBorder="1" applyAlignment="1">
      <alignment horizontal="left" vertical="center"/>
    </xf>
    <xf numFmtId="43" fontId="2" fillId="9" borderId="45" xfId="1" applyFont="1" applyFill="1" applyBorder="1" applyAlignment="1">
      <alignment horizontal="center" vertical="center"/>
    </xf>
    <xf numFmtId="0" fontId="2" fillId="9"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97" xfId="0" applyFont="1" applyFill="1" applyBorder="1" applyAlignment="1">
      <alignment horizontal="left" vertical="center" wrapText="1"/>
    </xf>
    <xf numFmtId="0" fontId="13" fillId="2" borderId="0" xfId="0" applyFont="1" applyFill="1" applyAlignment="1">
      <alignment horizontal="left" vertic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9" borderId="23" xfId="1" applyFont="1" applyFill="1" applyBorder="1" applyAlignment="1">
      <alignment horizontal="center" vertical="center"/>
    </xf>
    <xf numFmtId="17" fontId="32" fillId="9" borderId="23" xfId="0" applyNumberFormat="1" applyFont="1" applyFill="1" applyBorder="1" applyAlignment="1">
      <alignment horizontal="center" vertical="center"/>
    </xf>
    <xf numFmtId="0" fontId="32" fillId="9" borderId="23" xfId="0" applyFont="1" applyFill="1" applyBorder="1" applyAlignment="1">
      <alignment horizontal="center" vertical="center"/>
    </xf>
    <xf numFmtId="167" fontId="32" fillId="9" borderId="23" xfId="2" applyNumberFormat="1" applyFont="1" applyFill="1" applyBorder="1" applyAlignment="1">
      <alignment horizontal="center" vertical="center" wrapText="1"/>
    </xf>
    <xf numFmtId="167" fontId="32" fillId="9" borderId="23" xfId="2" applyNumberFormat="1" applyFont="1" applyFill="1" applyBorder="1" applyAlignment="1">
      <alignment horizontal="center" vertical="center"/>
    </xf>
    <xf numFmtId="0" fontId="32" fillId="9"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10" borderId="57" xfId="0" applyFont="1" applyFill="1" applyBorder="1" applyAlignment="1">
      <alignment horizontal="center" vertical="center" wrapText="1"/>
    </xf>
    <xf numFmtId="0" fontId="2" fillId="10" borderId="59" xfId="0" applyFont="1" applyFill="1" applyBorder="1" applyAlignment="1">
      <alignment horizontal="center" vertical="center" wrapText="1"/>
    </xf>
    <xf numFmtId="43" fontId="2" fillId="9" borderId="57" xfId="1" applyFont="1" applyFill="1" applyBorder="1" applyAlignment="1">
      <alignment horizontal="center" vertical="center" wrapText="1"/>
    </xf>
    <xf numFmtId="0" fontId="2" fillId="9" borderId="57" xfId="0" applyFont="1" applyFill="1" applyBorder="1" applyAlignment="1">
      <alignment horizontal="center" vertical="center"/>
    </xf>
    <xf numFmtId="0" fontId="2" fillId="9" borderId="58" xfId="0" applyFont="1" applyFill="1" applyBorder="1" applyAlignment="1">
      <alignment horizontal="center" vertical="center"/>
    </xf>
    <xf numFmtId="0" fontId="21" fillId="2" borderId="0" xfId="0" applyFont="1" applyFill="1" applyAlignment="1">
      <alignment horizontal="center" vertical="top"/>
    </xf>
    <xf numFmtId="0" fontId="2" fillId="9" borderId="60" xfId="0" applyFont="1" applyFill="1" applyBorder="1" applyAlignment="1">
      <alignment horizontal="center" vertical="center"/>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02" xfId="0" applyNumberFormat="1" applyFont="1" applyFill="1" applyBorder="1" applyAlignment="1">
      <alignment horizontal="left" vertical="center" wrapText="1"/>
    </xf>
    <xf numFmtId="0" fontId="79" fillId="2" borderId="0" xfId="0" applyFont="1" applyFill="1" applyAlignment="1">
      <alignment horizontal="left" vertical="center"/>
    </xf>
    <xf numFmtId="0" fontId="62" fillId="0" borderId="157" xfId="0" applyFont="1" applyBorder="1" applyAlignment="1">
      <alignment horizontal="center" vertical="center"/>
    </xf>
    <xf numFmtId="0" fontId="62" fillId="0" borderId="160" xfId="0" applyFont="1" applyBorder="1" applyAlignment="1">
      <alignment horizontal="center" vertical="center"/>
    </xf>
    <xf numFmtId="43" fontId="62" fillId="0" borderId="158" xfId="1" applyFont="1" applyBorder="1" applyAlignment="1">
      <alignment horizontal="center" vertical="center" wrapText="1"/>
    </xf>
    <xf numFmtId="43" fontId="62" fillId="0" borderId="161" xfId="1" applyFont="1" applyBorder="1" applyAlignment="1">
      <alignment horizontal="center" vertical="center" wrapText="1"/>
    </xf>
    <xf numFmtId="43" fontId="62" fillId="0" borderId="162" xfId="1" applyFont="1" applyBorder="1" applyAlignment="1">
      <alignment horizontal="center"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43" fontId="36" fillId="9" borderId="85" xfId="1" applyFont="1" applyFill="1" applyBorder="1" applyAlignment="1">
      <alignment horizontal="center" vertical="center" wrapText="1"/>
    </xf>
    <xf numFmtId="43" fontId="36" fillId="9" borderId="151"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6"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36" fillId="9" borderId="119" xfId="5" applyFont="1" applyFill="1" applyBorder="1" applyAlignment="1">
      <alignment horizontal="center" vertical="center"/>
    </xf>
    <xf numFmtId="0" fontId="36" fillId="9" borderId="121" xfId="5" applyFont="1" applyFill="1" applyBorder="1" applyAlignment="1">
      <alignment horizontal="center" vertical="center"/>
    </xf>
    <xf numFmtId="0" fontId="36" fillId="9" borderId="123" xfId="5" applyFont="1" applyFill="1" applyBorder="1" applyAlignment="1">
      <alignment horizontal="center" vertical="center"/>
    </xf>
    <xf numFmtId="0" fontId="36" fillId="9" borderId="88" xfId="5" applyFont="1" applyFill="1" applyBorder="1" applyAlignment="1">
      <alignment horizontal="center" vertical="center"/>
    </xf>
    <xf numFmtId="0" fontId="36" fillId="9" borderId="87" xfId="5" applyFont="1" applyFill="1" applyBorder="1" applyAlignment="1">
      <alignment horizontal="center" vertical="center"/>
    </xf>
    <xf numFmtId="0" fontId="36" fillId="9" borderId="91" xfId="5" applyFont="1" applyFill="1" applyBorder="1" applyAlignment="1">
      <alignment horizontal="center" vertical="center"/>
    </xf>
    <xf numFmtId="17" fontId="36" fillId="9" borderId="88" xfId="0" applyNumberFormat="1" applyFont="1" applyFill="1" applyBorder="1" applyAlignment="1">
      <alignment horizontal="center" vertical="center"/>
    </xf>
    <xf numFmtId="0" fontId="36" fillId="9" borderId="87" xfId="0" applyFont="1" applyFill="1" applyBorder="1" applyAlignment="1">
      <alignment horizontal="center" vertical="center"/>
    </xf>
    <xf numFmtId="0" fontId="36" fillId="9" borderId="44" xfId="5" applyFont="1" applyFill="1" applyBorder="1" applyAlignment="1">
      <alignment horizontal="center" vertical="center" wrapText="1"/>
    </xf>
    <xf numFmtId="0" fontId="36" fillId="9" borderId="88" xfId="5" applyFont="1" applyFill="1" applyBorder="1" applyAlignment="1">
      <alignment horizontal="center" vertical="center" wrapText="1"/>
    </xf>
    <xf numFmtId="0" fontId="36" fillId="9" borderId="125" xfId="5" applyFont="1" applyFill="1" applyBorder="1" applyAlignment="1">
      <alignment horizontal="center" vertical="center"/>
    </xf>
    <xf numFmtId="0" fontId="36" fillId="9" borderId="44" xfId="5" applyFont="1" applyFill="1" applyBorder="1" applyAlignment="1">
      <alignment horizontal="center" vertical="center"/>
    </xf>
    <xf numFmtId="0" fontId="31" fillId="0" borderId="0" xfId="0" applyFont="1" applyBorder="1" applyAlignment="1">
      <alignment horizontal="left" vertical="center" wrapText="1"/>
    </xf>
    <xf numFmtId="0" fontId="36" fillId="11" borderId="129" xfId="6" applyFont="1" applyFill="1" applyBorder="1" applyAlignment="1">
      <alignment horizontal="center" vertical="center"/>
    </xf>
    <xf numFmtId="0" fontId="36" fillId="11" borderId="131" xfId="6" applyFont="1" applyFill="1" applyBorder="1" applyAlignment="1">
      <alignment horizontal="center" vertical="center"/>
    </xf>
    <xf numFmtId="0" fontId="36" fillId="11" borderId="135" xfId="6" applyFont="1" applyFill="1" applyBorder="1" applyAlignment="1">
      <alignment horizontal="center" vertical="center"/>
    </xf>
    <xf numFmtId="0" fontId="36" fillId="11" borderId="95" xfId="6" applyFont="1" applyFill="1" applyBorder="1" applyAlignment="1">
      <alignment horizontal="center" vertical="center"/>
    </xf>
    <xf numFmtId="0" fontId="36" fillId="11" borderId="45" xfId="6" applyFont="1" applyFill="1" applyBorder="1" applyAlignment="1">
      <alignment horizontal="center" vertical="center"/>
    </xf>
    <xf numFmtId="0" fontId="36" fillId="11" borderId="136" xfId="6" applyFont="1" applyFill="1" applyBorder="1" applyAlignment="1">
      <alignment horizontal="center" vertical="center"/>
    </xf>
    <xf numFmtId="0" fontId="36" fillId="11" borderId="130" xfId="6" applyFont="1" applyFill="1" applyBorder="1" applyAlignment="1">
      <alignment horizontal="center" vertical="center"/>
    </xf>
    <xf numFmtId="0" fontId="36" fillId="11" borderId="138" xfId="6" applyFont="1" applyFill="1" applyBorder="1" applyAlignment="1">
      <alignment horizontal="center" vertical="center"/>
    </xf>
    <xf numFmtId="0" fontId="36" fillId="11" borderId="133" xfId="6" applyFont="1" applyFill="1" applyBorder="1" applyAlignment="1">
      <alignment horizontal="center" vertical="center"/>
    </xf>
    <xf numFmtId="0" fontId="36" fillId="11" borderId="18" xfId="6" applyFont="1" applyFill="1" applyBorder="1" applyAlignment="1">
      <alignment horizontal="center" vertical="center"/>
    </xf>
    <xf numFmtId="0" fontId="36" fillId="11" borderId="94" xfId="6" applyFont="1" applyFill="1" applyBorder="1" applyAlignment="1">
      <alignment horizontal="center" vertical="center"/>
    </xf>
    <xf numFmtId="0" fontId="36" fillId="11" borderId="139" xfId="6" applyFont="1" applyFill="1" applyBorder="1" applyAlignment="1">
      <alignment horizontal="center" vertical="center"/>
    </xf>
    <xf numFmtId="0" fontId="41" fillId="9" borderId="96" xfId="0" applyFont="1" applyFill="1" applyBorder="1" applyAlignment="1">
      <alignment horizontal="center" vertical="center"/>
    </xf>
    <xf numFmtId="174" fontId="41" fillId="9" borderId="96" xfId="0" applyNumberFormat="1" applyFont="1" applyFill="1" applyBorder="1" applyAlignment="1">
      <alignment horizontal="center"/>
    </xf>
  </cellXfs>
  <cellStyles count="9">
    <cellStyle name="Comma" xfId="1" builtinId="3"/>
    <cellStyle name="Currency" xfId="7" builtinId="4"/>
    <cellStyle name="Normal" xfId="0" builtinId="0"/>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2126.5101631349999</c:v>
                </c:pt>
                <c:pt idx="1">
                  <c:v>1934.2168367825004</c:v>
                </c:pt>
                <c:pt idx="2">
                  <c:v>0</c:v>
                </c:pt>
                <c:pt idx="3">
                  <c:v>5.7228150250000001</c:v>
                </c:pt>
                <c:pt idx="4">
                  <c:v>22.254032505000001</c:v>
                </c:pt>
                <c:pt idx="5">
                  <c:v>147.78231510000001</c:v>
                </c:pt>
                <c:pt idx="6">
                  <c:v>52.871938625000006</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1934.2168367825004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5.7228150250000001</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22.254032505000001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147.78231510000001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52.871938625000006</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RER'!$L$31:$L$35</c:f>
              <c:strCache>
                <c:ptCount val="5"/>
                <c:pt idx="0">
                  <c:v>C.E. WAYRA I</c:v>
                </c:pt>
                <c:pt idx="1">
                  <c:v>C.E. TRES HERMANAS</c:v>
                </c:pt>
                <c:pt idx="2">
                  <c:v>C.E. CUPISNIQUE</c:v>
                </c:pt>
                <c:pt idx="3">
                  <c:v>C.E. TALARA</c:v>
                </c:pt>
                <c:pt idx="4">
                  <c:v>C.E. MARCONA</c:v>
                </c:pt>
              </c:strCache>
            </c:strRef>
          </c:cat>
          <c:val>
            <c:numRef>
              <c:f>'6. FP RER'!$O$31:$O$35</c:f>
              <c:numCache>
                <c:formatCode>0.00</c:formatCode>
                <c:ptCount val="5"/>
                <c:pt idx="0">
                  <c:v>52.934591932499998</c:v>
                </c:pt>
                <c:pt idx="1">
                  <c:v>39.74377037</c:v>
                </c:pt>
                <c:pt idx="2">
                  <c:v>26.913110274999998</c:v>
                </c:pt>
                <c:pt idx="3">
                  <c:v>14.476991079999999</c:v>
                </c:pt>
                <c:pt idx="4">
                  <c:v>13.713851442499999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RER'!$L$31:$L$35</c:f>
              <c:strCache>
                <c:ptCount val="5"/>
                <c:pt idx="0">
                  <c:v>C.E. WAYRA I</c:v>
                </c:pt>
                <c:pt idx="1">
                  <c:v>C.E. TRES HERMANAS</c:v>
                </c:pt>
                <c:pt idx="2">
                  <c:v>C.E. CUPISNIQUE</c:v>
                </c:pt>
                <c:pt idx="3">
                  <c:v>C.E. TALARA</c:v>
                </c:pt>
                <c:pt idx="4">
                  <c:v>C.E. MARCONA</c:v>
                </c:pt>
              </c:strCache>
            </c:strRef>
          </c:cat>
          <c:val>
            <c:numRef>
              <c:f>'6. FP RER'!$P$31:$P$35</c:f>
              <c:numCache>
                <c:formatCode>0.00</c:formatCode>
                <c:ptCount val="5"/>
                <c:pt idx="0">
                  <c:v>0.5557087420477449</c:v>
                </c:pt>
                <c:pt idx="1">
                  <c:v>0.5681902323154342</c:v>
                </c:pt>
                <c:pt idx="2">
                  <c:v>0.4495408277376895</c:v>
                </c:pt>
                <c:pt idx="3">
                  <c:v>0.65155320983653775</c:v>
                </c:pt>
                <c:pt idx="4">
                  <c:v>0.59521924663628467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RER'!$L$36:$L$42</c:f>
              <c:strCache>
                <c:ptCount val="7"/>
                <c:pt idx="0">
                  <c:v>C.S. RUBI</c:v>
                </c:pt>
                <c:pt idx="1">
                  <c:v>C.S. INTIPAMPA</c:v>
                </c:pt>
                <c:pt idx="2">
                  <c:v>C.S. PANAMERICANA SOLAR</c:v>
                </c:pt>
                <c:pt idx="3">
                  <c:v>C.S. MAJES SOLAR</c:v>
                </c:pt>
                <c:pt idx="4">
                  <c:v>C.S. MOQUEGUA FV</c:v>
                </c:pt>
                <c:pt idx="5">
                  <c:v>C.S. REPARTICION</c:v>
                </c:pt>
                <c:pt idx="6">
                  <c:v>C.S. TACNA SOLAR</c:v>
                </c:pt>
              </c:strCache>
            </c:strRef>
          </c:cat>
          <c:val>
            <c:numRef>
              <c:f>'6. FP RER'!$O$36:$O$42</c:f>
              <c:numCache>
                <c:formatCode>0.00</c:formatCode>
                <c:ptCount val="7"/>
                <c:pt idx="0">
                  <c:v>29.48771451</c:v>
                </c:pt>
                <c:pt idx="1">
                  <c:v>7.2596672949999999</c:v>
                </c:pt>
                <c:pt idx="2">
                  <c:v>3.4844144999999997</c:v>
                </c:pt>
                <c:pt idx="3">
                  <c:v>3.3033308000000003</c:v>
                </c:pt>
                <c:pt idx="4">
                  <c:v>3.2727369275</c:v>
                </c:pt>
                <c:pt idx="5">
                  <c:v>3.2226788800000001</c:v>
                </c:pt>
                <c:pt idx="6">
                  <c:v>2.8413957125000002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RER'!$L$36:$L$42</c:f>
              <c:strCache>
                <c:ptCount val="7"/>
                <c:pt idx="0">
                  <c:v>C.S. RUBI</c:v>
                </c:pt>
                <c:pt idx="1">
                  <c:v>C.S. INTIPAMPA</c:v>
                </c:pt>
                <c:pt idx="2">
                  <c:v>C.S. PANAMERICANA SOLAR</c:v>
                </c:pt>
                <c:pt idx="3">
                  <c:v>C.S. MAJES SOLAR</c:v>
                </c:pt>
                <c:pt idx="4">
                  <c:v>C.S. MOQUEGUA FV</c:v>
                </c:pt>
                <c:pt idx="5">
                  <c:v>C.S. REPARTICION</c:v>
                </c:pt>
                <c:pt idx="6">
                  <c:v>C.S. TACNA SOLAR</c:v>
                </c:pt>
              </c:strCache>
            </c:strRef>
          </c:cat>
          <c:val>
            <c:numRef>
              <c:f>'6. FP RER'!$P$36:$P$42</c:f>
              <c:numCache>
                <c:formatCode>0.00</c:formatCode>
                <c:ptCount val="7"/>
                <c:pt idx="0">
                  <c:v>0.28346594021087124</c:v>
                </c:pt>
                <c:pt idx="1">
                  <c:v>0.22637789050416604</c:v>
                </c:pt>
                <c:pt idx="2">
                  <c:v>0.24197322916666666</c:v>
                </c:pt>
                <c:pt idx="3">
                  <c:v>0.22939797222222225</c:v>
                </c:pt>
                <c:pt idx="4">
                  <c:v>0.28409174717881946</c:v>
                </c:pt>
                <c:pt idx="5">
                  <c:v>0.22379714444444443</c:v>
                </c:pt>
                <c:pt idx="6">
                  <c:v>0.19731914670138889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RER'!$L$43:$L$46</c:f>
              <c:strCache>
                <c:ptCount val="4"/>
                <c:pt idx="0">
                  <c:v>C.T. PARAMONGA</c:v>
                </c:pt>
                <c:pt idx="1">
                  <c:v>C.T. HUAYCOLORO</c:v>
                </c:pt>
                <c:pt idx="2">
                  <c:v>C.T. DOÑA CATALINA</c:v>
                </c:pt>
                <c:pt idx="3">
                  <c:v>C.T. LA GRINGA</c:v>
                </c:pt>
              </c:strCache>
            </c:strRef>
          </c:cat>
          <c:val>
            <c:numRef>
              <c:f>'6. FP RER'!$O$43:$O$46</c:f>
              <c:numCache>
                <c:formatCode>0.00</c:formatCode>
                <c:ptCount val="4"/>
                <c:pt idx="0">
                  <c:v>7.837976995</c:v>
                </c:pt>
                <c:pt idx="1">
                  <c:v>2.5669731850000002</c:v>
                </c:pt>
                <c:pt idx="2">
                  <c:v>1.3650215649999999</c:v>
                </c:pt>
                <c:pt idx="3">
                  <c:v>0.48780634250000005</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RER'!$L$43:$L$46</c:f>
              <c:strCache>
                <c:ptCount val="4"/>
                <c:pt idx="0">
                  <c:v>C.T. PARAMONGA</c:v>
                </c:pt>
                <c:pt idx="1">
                  <c:v>C.T. HUAYCOLORO</c:v>
                </c:pt>
                <c:pt idx="2">
                  <c:v>C.T. DOÑA CATALINA</c:v>
                </c:pt>
                <c:pt idx="3">
                  <c:v>C.T. LA GRINGA</c:v>
                </c:pt>
              </c:strCache>
            </c:strRef>
          </c:cat>
          <c:val>
            <c:numRef>
              <c:f>'6. FP RER'!$P$43:$P$46</c:f>
              <c:numCache>
                <c:formatCode>0.00</c:formatCode>
                <c:ptCount val="4"/>
                <c:pt idx="0">
                  <c:v>0.85440989241249532</c:v>
                </c:pt>
                <c:pt idx="1">
                  <c:v>0.8364200667970022</c:v>
                </c:pt>
                <c:pt idx="2">
                  <c:v>0.78994303530092602</c:v>
                </c:pt>
                <c:pt idx="3">
                  <c:v>0.22937631073832065</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2019</c:v>
                </c:pt>
              </c:strCache>
            </c:strRef>
          </c:tx>
          <c:spPr>
            <a:solidFill>
              <a:srgbClr val="0077A5"/>
            </a:solidFill>
          </c:spPr>
          <c:invertIfNegative val="0"/>
          <c:cat>
            <c:multiLvlStrRef>
              <c:f>'6. FP RER'!$S$6:$T$46</c:f>
              <c:multiLvlStrCache>
                <c:ptCount val="41"/>
                <c:lvl>
                  <c:pt idx="0">
                    <c:v>C.H. YARUCAYA</c:v>
                  </c:pt>
                  <c:pt idx="1">
                    <c:v>C.H. RENOVANDES H1</c:v>
                  </c:pt>
                  <c:pt idx="2">
                    <c:v>C.H. CAÑA BRAVA</c:v>
                  </c:pt>
                  <c:pt idx="3">
                    <c:v>C.H. CARHUAQUERO IV</c:v>
                  </c:pt>
                  <c:pt idx="4">
                    <c:v>C.H. POTRERO</c:v>
                  </c:pt>
                  <c:pt idx="5">
                    <c:v>C.H. RUNATULLO III</c:v>
                  </c:pt>
                  <c:pt idx="6">
                    <c:v>C.H. LAS PIZARRAS</c:v>
                  </c:pt>
                  <c:pt idx="7">
                    <c:v>C.H. LA JOYA</c:v>
                  </c:pt>
                  <c:pt idx="8">
                    <c:v>C.H. IMPERIAL</c:v>
                  </c:pt>
                  <c:pt idx="9">
                    <c:v>C.H. ZAÑA</c:v>
                  </c:pt>
                  <c:pt idx="10">
                    <c:v>C.H. HUASAHUASI II</c:v>
                  </c:pt>
                  <c:pt idx="11">
                    <c:v>C.H. HUASAHUASI I</c:v>
                  </c:pt>
                  <c:pt idx="12">
                    <c:v>C.H. YANAPAMPA</c:v>
                  </c:pt>
                  <c:pt idx="13">
                    <c:v>C.H. CANCHAYLLO</c:v>
                  </c:pt>
                  <c:pt idx="14">
                    <c:v>C.H. SANTA CRUZ II</c:v>
                  </c:pt>
                  <c:pt idx="15">
                    <c:v>C.H. SANTA CRUZ I</c:v>
                  </c:pt>
                  <c:pt idx="16">
                    <c:v>C.H. RUNATULLO II</c:v>
                  </c:pt>
                  <c:pt idx="17">
                    <c:v>C.H. POECHOS II</c:v>
                  </c:pt>
                  <c:pt idx="18">
                    <c:v>C.H. CARHUAC</c:v>
                  </c:pt>
                  <c:pt idx="19">
                    <c:v>C.H. HER 1</c:v>
                  </c:pt>
                  <c:pt idx="20">
                    <c:v>C.H. RONCADOR</c:v>
                  </c:pt>
                  <c:pt idx="21">
                    <c:v>C.H. ÁNGEL II</c:v>
                  </c:pt>
                  <c:pt idx="22">
                    <c:v>C.H. ÁNGEL III</c:v>
                  </c:pt>
                  <c:pt idx="23">
                    <c:v>C.H. ÁNGEL I</c:v>
                  </c:pt>
                  <c:pt idx="24">
                    <c:v>C.H. PURMACANA</c:v>
                  </c:pt>
                  <c:pt idx="25">
                    <c:v>C.E. MARCONA</c:v>
                  </c:pt>
                  <c:pt idx="26">
                    <c:v>C.E. TRES HERMANAS</c:v>
                  </c:pt>
                  <c:pt idx="27">
                    <c:v>C.E. WAYRA I</c:v>
                  </c:pt>
                  <c:pt idx="28">
                    <c:v>C.E. CUPISNIQUE</c:v>
                  </c:pt>
                  <c:pt idx="29">
                    <c:v>C.E. TALARA</c:v>
                  </c:pt>
                  <c:pt idx="30">
                    <c:v>C.S. MOQUEGUA FV</c:v>
                  </c:pt>
                  <c:pt idx="31">
                    <c:v>C.S. RUBI</c:v>
                  </c:pt>
                  <c:pt idx="32">
                    <c:v>C.S. PANAMERICANA SOLAR</c:v>
                  </c:pt>
                  <c:pt idx="33">
                    <c:v>C.S. TACNA SOLAR</c:v>
                  </c:pt>
                  <c:pt idx="34">
                    <c:v>C.S. MAJES SOLAR</c:v>
                  </c:pt>
                  <c:pt idx="35">
                    <c:v>C.S. INTIPAMPA</c:v>
                  </c:pt>
                  <c:pt idx="36">
                    <c:v>C.S. REPARTICION</c:v>
                  </c:pt>
                  <c:pt idx="37">
                    <c:v>C.T. HUAYCOLORO</c:v>
                  </c:pt>
                  <c:pt idx="38">
                    <c:v>C.T. PARAMONGA</c:v>
                  </c:pt>
                  <c:pt idx="39">
                    <c:v>C.T. DOÑA CATALINA</c:v>
                  </c:pt>
                  <c:pt idx="40">
                    <c:v>C.T. LA GRINGA</c:v>
                  </c:pt>
                </c:lvl>
                <c:lvl>
                  <c:pt idx="0">
                    <c:v>HIDROELÉCTRICAS</c:v>
                  </c:pt>
                  <c:pt idx="25">
                    <c:v>EÓLICAS</c:v>
                  </c:pt>
                  <c:pt idx="30">
                    <c:v>SOLARES</c:v>
                  </c:pt>
                  <c:pt idx="37">
                    <c:v>TERMOELÉCTRICAS</c:v>
                  </c:pt>
                </c:lvl>
              </c:multiLvlStrCache>
            </c:multiLvlStrRef>
          </c:cat>
          <c:val>
            <c:numRef>
              <c:f>'6. FP RER'!$U$6:$U$46</c:f>
              <c:numCache>
                <c:formatCode>0.000</c:formatCode>
                <c:ptCount val="41"/>
                <c:pt idx="0">
                  <c:v>1</c:v>
                </c:pt>
                <c:pt idx="1">
                  <c:v>0.91314932086423239</c:v>
                </c:pt>
                <c:pt idx="2">
                  <c:v>0.88157391461717372</c:v>
                </c:pt>
                <c:pt idx="3">
                  <c:v>0.84200050427577666</c:v>
                </c:pt>
                <c:pt idx="4">
                  <c:v>0.83884575160563435</c:v>
                </c:pt>
                <c:pt idx="5">
                  <c:v>0.83796735349034412</c:v>
                </c:pt>
                <c:pt idx="6">
                  <c:v>0.83286616076414288</c:v>
                </c:pt>
                <c:pt idx="7">
                  <c:v>0.80360317028630124</c:v>
                </c:pt>
                <c:pt idx="8">
                  <c:v>0.80171358060482389</c:v>
                </c:pt>
                <c:pt idx="9">
                  <c:v>0.77921907572792848</c:v>
                </c:pt>
                <c:pt idx="10">
                  <c:v>0.76981830413620589</c:v>
                </c:pt>
                <c:pt idx="11">
                  <c:v>0.76185422766450717</c:v>
                </c:pt>
                <c:pt idx="12">
                  <c:v>0.71172597660887238</c:v>
                </c:pt>
                <c:pt idx="13">
                  <c:v>0.71010240177283923</c:v>
                </c:pt>
                <c:pt idx="14">
                  <c:v>0.70686604352589955</c:v>
                </c:pt>
                <c:pt idx="15">
                  <c:v>0.70253064881991201</c:v>
                </c:pt>
                <c:pt idx="16">
                  <c:v>0.69757106577948491</c:v>
                </c:pt>
                <c:pt idx="17">
                  <c:v>0.69370181273580955</c:v>
                </c:pt>
                <c:pt idx="18">
                  <c:v>0.67445903522099415</c:v>
                </c:pt>
                <c:pt idx="19">
                  <c:v>0.57291269567219161</c:v>
                </c:pt>
                <c:pt idx="20">
                  <c:v>0.5722691557651195</c:v>
                </c:pt>
                <c:pt idx="21">
                  <c:v>0.50945329199963818</c:v>
                </c:pt>
                <c:pt idx="22">
                  <c:v>0.50178003632656076</c:v>
                </c:pt>
                <c:pt idx="23">
                  <c:v>0.46613436482586817</c:v>
                </c:pt>
                <c:pt idx="24">
                  <c:v>0.10902908671357751</c:v>
                </c:pt>
                <c:pt idx="25">
                  <c:v>0.55914264202420005</c:v>
                </c:pt>
                <c:pt idx="26">
                  <c:v>0.54720170909716037</c:v>
                </c:pt>
                <c:pt idx="27">
                  <c:v>0.47574337307155307</c:v>
                </c:pt>
                <c:pt idx="28">
                  <c:v>0.44701753976150832</c:v>
                </c:pt>
                <c:pt idx="29">
                  <c:v>0.38480913039670622</c:v>
                </c:pt>
                <c:pt idx="30">
                  <c:v>0.30867903688996307</c:v>
                </c:pt>
                <c:pt idx="31">
                  <c:v>0.29603227328455739</c:v>
                </c:pt>
                <c:pt idx="32">
                  <c:v>0.26827097269221922</c:v>
                </c:pt>
                <c:pt idx="33">
                  <c:v>0.26276105884553408</c:v>
                </c:pt>
                <c:pt idx="34">
                  <c:v>0.24399783684392268</c:v>
                </c:pt>
                <c:pt idx="35">
                  <c:v>0.23959179066801953</c:v>
                </c:pt>
                <c:pt idx="36">
                  <c:v>0.23503944406077346</c:v>
                </c:pt>
                <c:pt idx="37">
                  <c:v>0.9016831376948955</c:v>
                </c:pt>
                <c:pt idx="38">
                  <c:v>0.80351072979564497</c:v>
                </c:pt>
                <c:pt idx="39">
                  <c:v>0.73220944645871766</c:v>
                </c:pt>
                <c:pt idx="40" formatCode="General">
                  <c:v>0.56804366652282579</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2018</c:v>
                </c:pt>
              </c:strCache>
            </c:strRef>
          </c:tx>
          <c:spPr>
            <a:solidFill>
              <a:schemeClr val="accent2"/>
            </a:solidFill>
          </c:spPr>
          <c:invertIfNegative val="0"/>
          <c:cat>
            <c:multiLvlStrRef>
              <c:f>'6. FP RER'!$S$6:$T$46</c:f>
              <c:multiLvlStrCache>
                <c:ptCount val="41"/>
                <c:lvl>
                  <c:pt idx="0">
                    <c:v>C.H. YARUCAYA</c:v>
                  </c:pt>
                  <c:pt idx="1">
                    <c:v>C.H. RENOVANDES H1</c:v>
                  </c:pt>
                  <c:pt idx="2">
                    <c:v>C.H. CAÑA BRAVA</c:v>
                  </c:pt>
                  <c:pt idx="3">
                    <c:v>C.H. CARHUAQUERO IV</c:v>
                  </c:pt>
                  <c:pt idx="4">
                    <c:v>C.H. POTRERO</c:v>
                  </c:pt>
                  <c:pt idx="5">
                    <c:v>C.H. RUNATULLO III</c:v>
                  </c:pt>
                  <c:pt idx="6">
                    <c:v>C.H. LAS PIZARRAS</c:v>
                  </c:pt>
                  <c:pt idx="7">
                    <c:v>C.H. LA JOYA</c:v>
                  </c:pt>
                  <c:pt idx="8">
                    <c:v>C.H. IMPERIAL</c:v>
                  </c:pt>
                  <c:pt idx="9">
                    <c:v>C.H. ZAÑA</c:v>
                  </c:pt>
                  <c:pt idx="10">
                    <c:v>C.H. HUASAHUASI II</c:v>
                  </c:pt>
                  <c:pt idx="11">
                    <c:v>C.H. HUASAHUASI I</c:v>
                  </c:pt>
                  <c:pt idx="12">
                    <c:v>C.H. YANAPAMPA</c:v>
                  </c:pt>
                  <c:pt idx="13">
                    <c:v>C.H. CANCHAYLLO</c:v>
                  </c:pt>
                  <c:pt idx="14">
                    <c:v>C.H. SANTA CRUZ II</c:v>
                  </c:pt>
                  <c:pt idx="15">
                    <c:v>C.H. SANTA CRUZ I</c:v>
                  </c:pt>
                  <c:pt idx="16">
                    <c:v>C.H. RUNATULLO II</c:v>
                  </c:pt>
                  <c:pt idx="17">
                    <c:v>C.H. POECHOS II</c:v>
                  </c:pt>
                  <c:pt idx="18">
                    <c:v>C.H. CARHUAC</c:v>
                  </c:pt>
                  <c:pt idx="19">
                    <c:v>C.H. HER 1</c:v>
                  </c:pt>
                  <c:pt idx="20">
                    <c:v>C.H. RONCADOR</c:v>
                  </c:pt>
                  <c:pt idx="21">
                    <c:v>C.H. ÁNGEL II</c:v>
                  </c:pt>
                  <c:pt idx="22">
                    <c:v>C.H. ÁNGEL III</c:v>
                  </c:pt>
                  <c:pt idx="23">
                    <c:v>C.H. ÁNGEL I</c:v>
                  </c:pt>
                  <c:pt idx="24">
                    <c:v>C.H. PURMACANA</c:v>
                  </c:pt>
                  <c:pt idx="25">
                    <c:v>C.E. MARCONA</c:v>
                  </c:pt>
                  <c:pt idx="26">
                    <c:v>C.E. TRES HERMANAS</c:v>
                  </c:pt>
                  <c:pt idx="27">
                    <c:v>C.E. WAYRA I</c:v>
                  </c:pt>
                  <c:pt idx="28">
                    <c:v>C.E. CUPISNIQUE</c:v>
                  </c:pt>
                  <c:pt idx="29">
                    <c:v>C.E. TALARA</c:v>
                  </c:pt>
                  <c:pt idx="30">
                    <c:v>C.S. MOQUEGUA FV</c:v>
                  </c:pt>
                  <c:pt idx="31">
                    <c:v>C.S. RUBI</c:v>
                  </c:pt>
                  <c:pt idx="32">
                    <c:v>C.S. PANAMERICANA SOLAR</c:v>
                  </c:pt>
                  <c:pt idx="33">
                    <c:v>C.S. TACNA SOLAR</c:v>
                  </c:pt>
                  <c:pt idx="34">
                    <c:v>C.S. MAJES SOLAR</c:v>
                  </c:pt>
                  <c:pt idx="35">
                    <c:v>C.S. INTIPAMPA</c:v>
                  </c:pt>
                  <c:pt idx="36">
                    <c:v>C.S. REPARTICION</c:v>
                  </c:pt>
                  <c:pt idx="37">
                    <c:v>C.T. HUAYCOLORO</c:v>
                  </c:pt>
                  <c:pt idx="38">
                    <c:v>C.T. PARAMONGA</c:v>
                  </c:pt>
                  <c:pt idx="39">
                    <c:v>C.T. DOÑA CATALINA</c:v>
                  </c:pt>
                  <c:pt idx="40">
                    <c:v>C.T. LA GRINGA</c:v>
                  </c:pt>
                </c:lvl>
                <c:lvl>
                  <c:pt idx="0">
                    <c:v>HIDROELÉCTRICAS</c:v>
                  </c:pt>
                  <c:pt idx="25">
                    <c:v>EÓLICAS</c:v>
                  </c:pt>
                  <c:pt idx="30">
                    <c:v>SOLARES</c:v>
                  </c:pt>
                  <c:pt idx="37">
                    <c:v>TERMOELÉCTRICAS</c:v>
                  </c:pt>
                </c:lvl>
              </c:multiLvlStrCache>
            </c:multiLvlStrRef>
          </c:cat>
          <c:val>
            <c:numRef>
              <c:f>'6. FP RER'!$V$6:$V$46</c:f>
              <c:numCache>
                <c:formatCode>0.000</c:formatCode>
                <c:ptCount val="41"/>
                <c:pt idx="0">
                  <c:v>1</c:v>
                </c:pt>
                <c:pt idx="1">
                  <c:v>0.91053525121359224</c:v>
                </c:pt>
                <c:pt idx="2">
                  <c:v>0.75948087643846174</c:v>
                </c:pt>
                <c:pt idx="3">
                  <c:v>0.9315763726281272</c:v>
                </c:pt>
                <c:pt idx="4">
                  <c:v>0.74294224989473157</c:v>
                </c:pt>
                <c:pt idx="5">
                  <c:v>0.86356607775575756</c:v>
                </c:pt>
                <c:pt idx="6">
                  <c:v>0.85016339032506272</c:v>
                </c:pt>
                <c:pt idx="7">
                  <c:v>0.79682203237816351</c:v>
                </c:pt>
                <c:pt idx="8">
                  <c:v>0.67549706102621576</c:v>
                </c:pt>
                <c:pt idx="10">
                  <c:v>0.794259037928431</c:v>
                </c:pt>
                <c:pt idx="11">
                  <c:v>0.78702231702984926</c:v>
                </c:pt>
                <c:pt idx="12">
                  <c:v>0.82268752730746275</c:v>
                </c:pt>
                <c:pt idx="13">
                  <c:v>0.84068418876948559</c:v>
                </c:pt>
                <c:pt idx="14">
                  <c:v>0.6826617134352474</c:v>
                </c:pt>
                <c:pt idx="15">
                  <c:v>0.66470650238248741</c:v>
                </c:pt>
                <c:pt idx="16">
                  <c:v>0.69622168953312558</c:v>
                </c:pt>
                <c:pt idx="17">
                  <c:v>0.73064262887060882</c:v>
                </c:pt>
                <c:pt idx="20">
                  <c:v>0.95700772038589355</c:v>
                </c:pt>
                <c:pt idx="24">
                  <c:v>0.19354624083487521</c:v>
                </c:pt>
                <c:pt idx="25">
                  <c:v>0.51365338755683121</c:v>
                </c:pt>
                <c:pt idx="26">
                  <c:v>0.53756890027738025</c:v>
                </c:pt>
                <c:pt idx="27">
                  <c:v>0.52475391965787177</c:v>
                </c:pt>
                <c:pt idx="28">
                  <c:v>0.38791925631416746</c:v>
                </c:pt>
                <c:pt idx="29">
                  <c:v>0.38729033287546444</c:v>
                </c:pt>
                <c:pt idx="30">
                  <c:v>0.31758468811147561</c:v>
                </c:pt>
                <c:pt idx="31">
                  <c:v>0.24265428605086789</c:v>
                </c:pt>
                <c:pt idx="32">
                  <c:v>0.27724395102440152</c:v>
                </c:pt>
                <c:pt idx="33">
                  <c:v>0.27477797689341621</c:v>
                </c:pt>
                <c:pt idx="34">
                  <c:v>0.24209621011740329</c:v>
                </c:pt>
                <c:pt idx="35">
                  <c:v>0.22986766693795838</c:v>
                </c:pt>
                <c:pt idx="36">
                  <c:v>0.21361223480662983</c:v>
                </c:pt>
                <c:pt idx="37">
                  <c:v>0.92064557214454268</c:v>
                </c:pt>
                <c:pt idx="38">
                  <c:v>0.76577915966657362</c:v>
                </c:pt>
                <c:pt idx="40">
                  <c:v>0.45569663994330922</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2019</c:v>
                </c:pt>
              </c:strCache>
            </c:strRef>
          </c:tx>
          <c:spPr>
            <a:solidFill>
              <a:srgbClr val="0077A5"/>
            </a:solidFill>
          </c:spPr>
          <c:invertIfNegative val="0"/>
          <c:cat>
            <c:strRef>
              <c:f>'7. Generacion empresa'!$L$5:$L$61</c:f>
              <c:strCache>
                <c:ptCount val="57"/>
                <c:pt idx="0">
                  <c:v>CERRO VERDE</c:v>
                </c:pt>
                <c:pt idx="1">
                  <c:v>SAMAY I</c:v>
                </c:pt>
                <c:pt idx="2">
                  <c:v>ELECTRICA SANTA ROSA</c:v>
                </c:pt>
                <c:pt idx="3">
                  <c:v>HYDRO PATAPO</c:v>
                </c:pt>
                <c:pt idx="4">
                  <c:v>SHOUGESA</c:v>
                </c:pt>
                <c:pt idx="5">
                  <c:v>IYEPSA</c:v>
                </c:pt>
                <c:pt idx="6">
                  <c:v>PLANTA  ETEN</c:v>
                </c:pt>
                <c:pt idx="7">
                  <c:v>EGECSAC</c:v>
                </c:pt>
                <c:pt idx="8">
                  <c:v>MAJA ENERGIA</c:v>
                </c:pt>
                <c:pt idx="9">
                  <c:v>ELECTRICA YANAPAMPA</c:v>
                </c:pt>
                <c:pt idx="10">
                  <c:v>HIDROCAÑETE</c:v>
                </c:pt>
                <c:pt idx="11">
                  <c:v>TACNA SOLAR</c:v>
                </c:pt>
                <c:pt idx="12">
                  <c:v>GTS REPARTICION</c:v>
                </c:pt>
                <c:pt idx="13">
                  <c:v>MOQUEGUA FV</c:v>
                </c:pt>
                <c:pt idx="14">
                  <c:v>GTS MAJES</c:v>
                </c:pt>
                <c:pt idx="15">
                  <c:v>PANAMERICANA SOLAR</c:v>
                </c:pt>
                <c:pt idx="16">
                  <c:v>SAN JACINTO</c:v>
                </c:pt>
                <c:pt idx="17">
                  <c:v>PETRAMAS</c:v>
                </c:pt>
                <c:pt idx="18">
                  <c:v>AGROAURORA</c:v>
                </c:pt>
                <c:pt idx="19">
                  <c:v>AGUA AZUL</c:v>
                </c:pt>
                <c:pt idx="20">
                  <c:v>RIO DOBLE</c:v>
                </c:pt>
                <c:pt idx="21">
                  <c:v>AIPSA</c:v>
                </c:pt>
                <c:pt idx="22">
                  <c:v>ANDEAN POWER</c:v>
                </c:pt>
                <c:pt idx="23">
                  <c:v>ELECTRO ZAÑA</c:v>
                </c:pt>
                <c:pt idx="24">
                  <c:v>SANTA CRUZ</c:v>
                </c:pt>
                <c:pt idx="25">
                  <c:v>RIO BAÑOS</c:v>
                </c:pt>
                <c:pt idx="26">
                  <c:v>EMGE JUNÍN</c:v>
                </c:pt>
                <c:pt idx="27">
                  <c:v>HUAURA POWER</c:v>
                </c:pt>
                <c:pt idx="28">
                  <c:v>HIDROELECTRICA HUANCHOR</c:v>
                </c:pt>
                <c:pt idx="29">
                  <c:v>HIDROMARAÑON/ CELEPSA RENOVABLES</c:v>
                </c:pt>
                <c:pt idx="30">
                  <c:v>P.E. MARCONA</c:v>
                </c:pt>
                <c:pt idx="31">
                  <c:v>SANTA ANA</c:v>
                </c:pt>
                <c:pt idx="32">
                  <c:v>SINERSA</c:v>
                </c:pt>
                <c:pt idx="33">
                  <c:v>EGESUR</c:v>
                </c:pt>
                <c:pt idx="34">
                  <c:v>SDF ENERGIA</c:v>
                </c:pt>
                <c:pt idx="35">
                  <c:v>GEPSA</c:v>
                </c:pt>
                <c:pt idx="36">
                  <c:v>TERMOSELVA</c:v>
                </c:pt>
                <c:pt idx="37">
                  <c:v>EMGE HUANZA</c:v>
                </c:pt>
                <c:pt idx="38">
                  <c:v>P.E. TRES HERMANAS</c:v>
                </c:pt>
                <c:pt idx="39">
                  <c:v>ENERGÍA EÓLICA</c:v>
                </c:pt>
                <c:pt idx="40">
                  <c:v>INLAND</c:v>
                </c:pt>
                <c:pt idx="41">
                  <c:v>SAN GABAN</c:v>
                </c:pt>
                <c:pt idx="42">
                  <c:v>CHINANGO</c:v>
                </c:pt>
                <c:pt idx="43">
                  <c:v>ENEL GENERACION PIURA</c:v>
                </c:pt>
                <c:pt idx="44">
                  <c:v>EGASA</c:v>
                </c:pt>
                <c:pt idx="45">
                  <c:v>CELEPSA</c:v>
                </c:pt>
                <c:pt idx="46">
                  <c:v>ENEL GREEN POWER PERU</c:v>
                </c:pt>
                <c:pt idx="47">
                  <c:v>EGEMSA</c:v>
                </c:pt>
                <c:pt idx="48">
                  <c:v>EMGE HUALLAGA</c:v>
                </c:pt>
                <c:pt idx="49">
                  <c:v>TERMOCHILCA</c:v>
                </c:pt>
                <c:pt idx="50">
                  <c:v>ORAZUL ENERGY PERÚ</c:v>
                </c:pt>
                <c:pt idx="51">
                  <c:v>STATKRAFT</c:v>
                </c:pt>
                <c:pt idx="52">
                  <c:v>FENIX POWER</c:v>
                </c:pt>
                <c:pt idx="53">
                  <c:v>ENGIE</c:v>
                </c:pt>
                <c:pt idx="54">
                  <c:v>ELECTROPERU</c:v>
                </c:pt>
                <c:pt idx="55">
                  <c:v>ENEL GENERACION PERU</c:v>
                </c:pt>
                <c:pt idx="56">
                  <c:v>KALLPA</c:v>
                </c:pt>
              </c:strCache>
            </c:strRef>
          </c:cat>
          <c:val>
            <c:numRef>
              <c:f>'7. Generacion empresa'!$M$5:$M$61</c:f>
              <c:numCache>
                <c:formatCode>General</c:formatCode>
                <c:ptCount val="57"/>
                <c:pt idx="0">
                  <c:v>0</c:v>
                </c:pt>
                <c:pt idx="1">
                  <c:v>0</c:v>
                </c:pt>
                <c:pt idx="2">
                  <c:v>0.1493651225</c:v>
                </c:pt>
                <c:pt idx="3">
                  <c:v>0.22750075</c:v>
                </c:pt>
                <c:pt idx="4">
                  <c:v>0.26427637250000002</c:v>
                </c:pt>
                <c:pt idx="5">
                  <c:v>0.39942037250000001</c:v>
                </c:pt>
                <c:pt idx="6">
                  <c:v>0.57651218999999998</c:v>
                </c:pt>
                <c:pt idx="7">
                  <c:v>0.64195259750000011</c:v>
                </c:pt>
                <c:pt idx="8">
                  <c:v>1.2968324550000001</c:v>
                </c:pt>
                <c:pt idx="9">
                  <c:v>1.8726233400000001</c:v>
                </c:pt>
                <c:pt idx="10">
                  <c:v>2.3144</c:v>
                </c:pt>
                <c:pt idx="11">
                  <c:v>2.8413957125000002</c:v>
                </c:pt>
                <c:pt idx="12">
                  <c:v>3.2226788800000001</c:v>
                </c:pt>
                <c:pt idx="13">
                  <c:v>3.2727369275</c:v>
                </c:pt>
                <c:pt idx="14">
                  <c:v>3.3033308000000003</c:v>
                </c:pt>
                <c:pt idx="15">
                  <c:v>3.4844144999999997</c:v>
                </c:pt>
                <c:pt idx="16">
                  <c:v>4.3704773724999999</c:v>
                </c:pt>
                <c:pt idx="17">
                  <c:v>4.4198010925000002</c:v>
                </c:pt>
                <c:pt idx="18">
                  <c:v>5.6257770449999995</c:v>
                </c:pt>
                <c:pt idx="19">
                  <c:v>5.9306113324999998</c:v>
                </c:pt>
                <c:pt idx="20">
                  <c:v>7.2777289625000003</c:v>
                </c:pt>
                <c:pt idx="21">
                  <c:v>7.837976995</c:v>
                </c:pt>
                <c:pt idx="22">
                  <c:v>8.1348132374999995</c:v>
                </c:pt>
                <c:pt idx="23">
                  <c:v>8.2182454450000009</c:v>
                </c:pt>
                <c:pt idx="24">
                  <c:v>8.2489623349999999</c:v>
                </c:pt>
                <c:pt idx="25">
                  <c:v>8.2740776750000009</c:v>
                </c:pt>
                <c:pt idx="26">
                  <c:v>9.0175177675000011</c:v>
                </c:pt>
                <c:pt idx="27">
                  <c:v>12.1263112175</c:v>
                </c:pt>
                <c:pt idx="28">
                  <c:v>12.212356</c:v>
                </c:pt>
                <c:pt idx="29">
                  <c:v>13.1436509125</c:v>
                </c:pt>
                <c:pt idx="30">
                  <c:v>13.713851442499999</c:v>
                </c:pt>
                <c:pt idx="31">
                  <c:v>14.4065407175</c:v>
                </c:pt>
                <c:pt idx="32">
                  <c:v>17.974134992499998</c:v>
                </c:pt>
                <c:pt idx="33">
                  <c:v>20.231141337500002</c:v>
                </c:pt>
                <c:pt idx="34">
                  <c:v>20.5833899675</c:v>
                </c:pt>
                <c:pt idx="35">
                  <c:v>21.692901102500002</c:v>
                </c:pt>
                <c:pt idx="36">
                  <c:v>22.282443610000001</c:v>
                </c:pt>
                <c:pt idx="37">
                  <c:v>32.757448444999994</c:v>
                </c:pt>
                <c:pt idx="38">
                  <c:v>39.74377037</c:v>
                </c:pt>
                <c:pt idx="39">
                  <c:v>41.390101354999999</c:v>
                </c:pt>
                <c:pt idx="40">
                  <c:v>48.274155284999999</c:v>
                </c:pt>
                <c:pt idx="41">
                  <c:v>53.306523067499995</c:v>
                </c:pt>
                <c:pt idx="42">
                  <c:v>55.464974492499998</c:v>
                </c:pt>
                <c:pt idx="43">
                  <c:v>58.869007142500003</c:v>
                </c:pt>
                <c:pt idx="44">
                  <c:v>69.812027057500003</c:v>
                </c:pt>
                <c:pt idx="45">
                  <c:v>70.613938875000002</c:v>
                </c:pt>
                <c:pt idx="46">
                  <c:v>82.422306442500002</c:v>
                </c:pt>
                <c:pt idx="47">
                  <c:v>92.365385545000009</c:v>
                </c:pt>
                <c:pt idx="48">
                  <c:v>103.07324302250001</c:v>
                </c:pt>
                <c:pt idx="49">
                  <c:v>125.52103481249999</c:v>
                </c:pt>
                <c:pt idx="50">
                  <c:v>133.59416018249999</c:v>
                </c:pt>
                <c:pt idx="51">
                  <c:v>159.56987290249998</c:v>
                </c:pt>
                <c:pt idx="52">
                  <c:v>392.351498795</c:v>
                </c:pt>
                <c:pt idx="53">
                  <c:v>532.56405460499991</c:v>
                </c:pt>
                <c:pt idx="54">
                  <c:v>605.81295895749997</c:v>
                </c:pt>
                <c:pt idx="55">
                  <c:v>606.7002686525002</c:v>
                </c:pt>
                <c:pt idx="56">
                  <c:v>715.561220585</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2018</c:v>
                </c:pt>
              </c:strCache>
            </c:strRef>
          </c:tx>
          <c:spPr>
            <a:solidFill>
              <a:schemeClr val="accent2"/>
            </a:solidFill>
          </c:spPr>
          <c:invertIfNegative val="0"/>
          <c:cat>
            <c:strRef>
              <c:f>'7. Generacion empresa'!$L$5:$L$61</c:f>
              <c:strCache>
                <c:ptCount val="57"/>
                <c:pt idx="0">
                  <c:v>CERRO VERDE</c:v>
                </c:pt>
                <c:pt idx="1">
                  <c:v>SAMAY I</c:v>
                </c:pt>
                <c:pt idx="2">
                  <c:v>ELECTRICA SANTA ROSA</c:v>
                </c:pt>
                <c:pt idx="3">
                  <c:v>HYDRO PATAPO</c:v>
                </c:pt>
                <c:pt idx="4">
                  <c:v>SHOUGESA</c:v>
                </c:pt>
                <c:pt idx="5">
                  <c:v>IYEPSA</c:v>
                </c:pt>
                <c:pt idx="6">
                  <c:v>PLANTA  ETEN</c:v>
                </c:pt>
                <c:pt idx="7">
                  <c:v>EGECSAC</c:v>
                </c:pt>
                <c:pt idx="8">
                  <c:v>MAJA ENERGIA</c:v>
                </c:pt>
                <c:pt idx="9">
                  <c:v>ELECTRICA YANAPAMPA</c:v>
                </c:pt>
                <c:pt idx="10">
                  <c:v>HIDROCAÑETE</c:v>
                </c:pt>
                <c:pt idx="11">
                  <c:v>TACNA SOLAR</c:v>
                </c:pt>
                <c:pt idx="12">
                  <c:v>GTS REPARTICION</c:v>
                </c:pt>
                <c:pt idx="13">
                  <c:v>MOQUEGUA FV</c:v>
                </c:pt>
                <c:pt idx="14">
                  <c:v>GTS MAJES</c:v>
                </c:pt>
                <c:pt idx="15">
                  <c:v>PANAMERICANA SOLAR</c:v>
                </c:pt>
                <c:pt idx="16">
                  <c:v>SAN JACINTO</c:v>
                </c:pt>
                <c:pt idx="17">
                  <c:v>PETRAMAS</c:v>
                </c:pt>
                <c:pt idx="18">
                  <c:v>AGROAURORA</c:v>
                </c:pt>
                <c:pt idx="19">
                  <c:v>AGUA AZUL</c:v>
                </c:pt>
                <c:pt idx="20">
                  <c:v>RIO DOBLE</c:v>
                </c:pt>
                <c:pt idx="21">
                  <c:v>AIPSA</c:v>
                </c:pt>
                <c:pt idx="22">
                  <c:v>ANDEAN POWER</c:v>
                </c:pt>
                <c:pt idx="23">
                  <c:v>ELECTRO ZAÑA</c:v>
                </c:pt>
                <c:pt idx="24">
                  <c:v>SANTA CRUZ</c:v>
                </c:pt>
                <c:pt idx="25">
                  <c:v>RIO BAÑOS</c:v>
                </c:pt>
                <c:pt idx="26">
                  <c:v>EMGE JUNÍN</c:v>
                </c:pt>
                <c:pt idx="27">
                  <c:v>HUAURA POWER</c:v>
                </c:pt>
                <c:pt idx="28">
                  <c:v>HIDROELECTRICA HUANCHOR</c:v>
                </c:pt>
                <c:pt idx="29">
                  <c:v>HIDROMARAÑON/ CELEPSA RENOVABLES</c:v>
                </c:pt>
                <c:pt idx="30">
                  <c:v>P.E. MARCONA</c:v>
                </c:pt>
                <c:pt idx="31">
                  <c:v>SANTA ANA</c:v>
                </c:pt>
                <c:pt idx="32">
                  <c:v>SINERSA</c:v>
                </c:pt>
                <c:pt idx="33">
                  <c:v>EGESUR</c:v>
                </c:pt>
                <c:pt idx="34">
                  <c:v>SDF ENERGIA</c:v>
                </c:pt>
                <c:pt idx="35">
                  <c:v>GEPSA</c:v>
                </c:pt>
                <c:pt idx="36">
                  <c:v>TERMOSELVA</c:v>
                </c:pt>
                <c:pt idx="37">
                  <c:v>EMGE HUANZA</c:v>
                </c:pt>
                <c:pt idx="38">
                  <c:v>P.E. TRES HERMANAS</c:v>
                </c:pt>
                <c:pt idx="39">
                  <c:v>ENERGÍA EÓLICA</c:v>
                </c:pt>
                <c:pt idx="40">
                  <c:v>INLAND</c:v>
                </c:pt>
                <c:pt idx="41">
                  <c:v>SAN GABAN</c:v>
                </c:pt>
                <c:pt idx="42">
                  <c:v>CHINANGO</c:v>
                </c:pt>
                <c:pt idx="43">
                  <c:v>ENEL GENERACION PIURA</c:v>
                </c:pt>
                <c:pt idx="44">
                  <c:v>EGASA</c:v>
                </c:pt>
                <c:pt idx="45">
                  <c:v>CELEPSA</c:v>
                </c:pt>
                <c:pt idx="46">
                  <c:v>ENEL GREEN POWER PERU</c:v>
                </c:pt>
                <c:pt idx="47">
                  <c:v>EGEMSA</c:v>
                </c:pt>
                <c:pt idx="48">
                  <c:v>EMGE HUALLAGA</c:v>
                </c:pt>
                <c:pt idx="49">
                  <c:v>TERMOCHILCA</c:v>
                </c:pt>
                <c:pt idx="50">
                  <c:v>ORAZUL ENERGY PERÚ</c:v>
                </c:pt>
                <c:pt idx="51">
                  <c:v>STATKRAFT</c:v>
                </c:pt>
                <c:pt idx="52">
                  <c:v>FENIX POWER</c:v>
                </c:pt>
                <c:pt idx="53">
                  <c:v>ENGIE</c:v>
                </c:pt>
                <c:pt idx="54">
                  <c:v>ELECTROPERU</c:v>
                </c:pt>
                <c:pt idx="55">
                  <c:v>ENEL GENERACION PERU</c:v>
                </c:pt>
                <c:pt idx="56">
                  <c:v>KALLPA</c:v>
                </c:pt>
              </c:strCache>
            </c:strRef>
          </c:cat>
          <c:val>
            <c:numRef>
              <c:f>'7. Generacion empresa'!$N$5:$N$61</c:f>
              <c:numCache>
                <c:formatCode>General</c:formatCode>
                <c:ptCount val="57"/>
                <c:pt idx="0">
                  <c:v>0</c:v>
                </c:pt>
                <c:pt idx="1">
                  <c:v>6.0849242749999997</c:v>
                </c:pt>
                <c:pt idx="2">
                  <c:v>0.22080923250000001</c:v>
                </c:pt>
                <c:pt idx="4">
                  <c:v>0</c:v>
                </c:pt>
                <c:pt idx="5">
                  <c:v>0.15993093250000001</c:v>
                </c:pt>
                <c:pt idx="6">
                  <c:v>0.48878449500000004</c:v>
                </c:pt>
                <c:pt idx="7">
                  <c:v>2.9469849999999997</c:v>
                </c:pt>
                <c:pt idx="8">
                  <c:v>2.1166320000000001</c:v>
                </c:pt>
                <c:pt idx="9">
                  <c:v>1.8361374774999999</c:v>
                </c:pt>
                <c:pt idx="10">
                  <c:v>2.3473999999999999</c:v>
                </c:pt>
                <c:pt idx="11">
                  <c:v>2.4277436750000003</c:v>
                </c:pt>
                <c:pt idx="12">
                  <c:v>3.1964405375</c:v>
                </c:pt>
                <c:pt idx="13">
                  <c:v>2.8485134675000001</c:v>
                </c:pt>
                <c:pt idx="14">
                  <c:v>3.2023002125</c:v>
                </c:pt>
                <c:pt idx="15">
                  <c:v>3.0811972500000002</c:v>
                </c:pt>
                <c:pt idx="17">
                  <c:v>2.8349443750000001</c:v>
                </c:pt>
                <c:pt idx="18">
                  <c:v>0</c:v>
                </c:pt>
                <c:pt idx="19">
                  <c:v>8.0265881674999999</c:v>
                </c:pt>
                <c:pt idx="20">
                  <c:v>8.957812517499999</c:v>
                </c:pt>
                <c:pt idx="21">
                  <c:v>7.0497050225000004</c:v>
                </c:pt>
                <c:pt idx="24">
                  <c:v>10.03550667</c:v>
                </c:pt>
                <c:pt idx="26">
                  <c:v>12.1945528225</c:v>
                </c:pt>
                <c:pt idx="27">
                  <c:v>12.470861017500001</c:v>
                </c:pt>
                <c:pt idx="28">
                  <c:v>12.405006</c:v>
                </c:pt>
                <c:pt idx="29">
                  <c:v>13.50304633</c:v>
                </c:pt>
                <c:pt idx="30">
                  <c:v>12.388405689999999</c:v>
                </c:pt>
                <c:pt idx="31">
                  <c:v>13.33211028</c:v>
                </c:pt>
                <c:pt idx="32">
                  <c:v>3.855760225</c:v>
                </c:pt>
                <c:pt idx="33">
                  <c:v>23.362932664999999</c:v>
                </c:pt>
                <c:pt idx="34">
                  <c:v>20.364055325000002</c:v>
                </c:pt>
                <c:pt idx="35">
                  <c:v>4.2412612075</c:v>
                </c:pt>
                <c:pt idx="36">
                  <c:v>21.7707488225</c:v>
                </c:pt>
                <c:pt idx="37">
                  <c:v>32.194336284999999</c:v>
                </c:pt>
                <c:pt idx="38">
                  <c:v>33.693526752499999</c:v>
                </c:pt>
                <c:pt idx="39">
                  <c:v>29.465877312500002</c:v>
                </c:pt>
                <c:pt idx="40">
                  <c:v>51.050703927499995</c:v>
                </c:pt>
                <c:pt idx="41">
                  <c:v>53.2285688025</c:v>
                </c:pt>
                <c:pt idx="42">
                  <c:v>88.618326199999998</c:v>
                </c:pt>
                <c:pt idx="43">
                  <c:v>32.5163646675</c:v>
                </c:pt>
                <c:pt idx="44">
                  <c:v>70.980623924999975</c:v>
                </c:pt>
                <c:pt idx="45">
                  <c:v>68.740639257499993</c:v>
                </c:pt>
                <c:pt idx="46">
                  <c:v>78.292552915000002</c:v>
                </c:pt>
                <c:pt idx="47">
                  <c:v>106.34385157500002</c:v>
                </c:pt>
                <c:pt idx="48">
                  <c:v>136.1380875875</c:v>
                </c:pt>
                <c:pt idx="49">
                  <c:v>209.3633454925</c:v>
                </c:pt>
                <c:pt idx="50">
                  <c:v>127.26680268749999</c:v>
                </c:pt>
                <c:pt idx="51">
                  <c:v>168.53192788999996</c:v>
                </c:pt>
                <c:pt idx="52">
                  <c:v>297.505063495</c:v>
                </c:pt>
                <c:pt idx="53">
                  <c:v>403.38102654750008</c:v>
                </c:pt>
                <c:pt idx="54">
                  <c:v>598.12826639999992</c:v>
                </c:pt>
                <c:pt idx="55">
                  <c:v>544.87119004249973</c:v>
                </c:pt>
                <c:pt idx="56">
                  <c:v>786.8584679999999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2019</c:v>
                </c:pt>
                <c:pt idx="1">
                  <c:v>2018</c:v>
                </c:pt>
                <c:pt idx="2">
                  <c:v>2017</c:v>
                </c:pt>
              </c:numCache>
            </c:numRef>
          </c:cat>
          <c:val>
            <c:numRef>
              <c:f>('8. Max Potencia'!$G$10:$H$10,'8. Max Potencia'!$J$10)</c:f>
              <c:numCache>
                <c:formatCode>_(* #,##0.00_);_(* \(#,##0.00\);_(* "-"??_);_(@_)</c:formatCode>
                <c:ptCount val="3"/>
                <c:pt idx="0">
                  <c:v>4580.6239199999991</c:v>
                </c:pt>
                <c:pt idx="1">
                  <c:v>4457.8647499999988</c:v>
                </c:pt>
                <c:pt idx="2">
                  <c:v>4181.7234999999982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2019</c:v>
                </c:pt>
                <c:pt idx="1">
                  <c:v>2018</c:v>
                </c:pt>
                <c:pt idx="2">
                  <c:v>2017</c:v>
                </c:pt>
              </c:numCache>
            </c:numRef>
          </c:cat>
          <c:val>
            <c:numRef>
              <c:f>('8. Max Potencia'!$G$11:$H$11,'8. Max Potencia'!$J$11)</c:f>
              <c:numCache>
                <c:formatCode>_(* #,##0.00_);_(* \(#,##0.00\);_(* "-"??_);_(@_)</c:formatCode>
                <c:ptCount val="3"/>
                <c:pt idx="0">
                  <c:v>2106.5043700000006</c:v>
                </c:pt>
                <c:pt idx="1">
                  <c:v>1943.7948299999998</c:v>
                </c:pt>
                <c:pt idx="2">
                  <c:v>2286.1302900000001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2019</c:v>
                </c:pt>
                <c:pt idx="1">
                  <c:v>2018</c:v>
                </c:pt>
                <c:pt idx="2">
                  <c:v>2017</c:v>
                </c:pt>
              </c:numCache>
            </c:numRef>
          </c:cat>
          <c:val>
            <c:numRef>
              <c:f>('8. Max Potencia'!$G$12:$H$12,'8. Max Potencia'!$J$12)</c:f>
              <c:numCache>
                <c:formatCode>_(* #,##0.00_);_(* \(#,##0.00\);_(* "-"??_);_(@_)</c:formatCode>
                <c:ptCount val="3"/>
                <c:pt idx="0">
                  <c:v>303.54068999999998</c:v>
                </c:pt>
                <c:pt idx="1">
                  <c:v>309.01528000000002</c:v>
                </c:pt>
                <c:pt idx="2">
                  <c:v>91.209550000000007</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2019</c:v>
                </c:pt>
              </c:strCache>
            </c:strRef>
          </c:tx>
          <c:spPr>
            <a:solidFill>
              <a:srgbClr val="0077A5"/>
            </a:solidFill>
          </c:spPr>
          <c:invertIfNegative val="0"/>
          <c:cat>
            <c:strRef>
              <c:f>'9. Pot. Empresa'!$L$7:$L$63</c:f>
              <c:strCache>
                <c:ptCount val="57"/>
                <c:pt idx="0">
                  <c:v>AGUA AZUL</c:v>
                </c:pt>
                <c:pt idx="1">
                  <c:v>CERRO VERDE</c:v>
                </c:pt>
                <c:pt idx="2">
                  <c:v>EGECSAC</c:v>
                </c:pt>
                <c:pt idx="3">
                  <c:v>GTS MAJES</c:v>
                </c:pt>
                <c:pt idx="4">
                  <c:v>GTS REPARTICION</c:v>
                </c:pt>
                <c:pt idx="5">
                  <c:v>HYDRO PATAPO</c:v>
                </c:pt>
                <c:pt idx="6">
                  <c:v>IYEPSA</c:v>
                </c:pt>
                <c:pt idx="7">
                  <c:v>MOQUEGUA FV</c:v>
                </c:pt>
                <c:pt idx="8">
                  <c:v>P.E. MARCONA</c:v>
                </c:pt>
                <c:pt idx="9">
                  <c:v>P.E. TRES HERMANAS</c:v>
                </c:pt>
                <c:pt idx="10">
                  <c:v>PANAMERICANA SOLAR</c:v>
                </c:pt>
                <c:pt idx="11">
                  <c:v>PLANTA  ETEN</c:v>
                </c:pt>
                <c:pt idx="12">
                  <c:v>SAMAY I</c:v>
                </c:pt>
                <c:pt idx="13">
                  <c:v>SHOUGESA</c:v>
                </c:pt>
                <c:pt idx="14">
                  <c:v>TACNA SOLAR</c:v>
                </c:pt>
                <c:pt idx="15">
                  <c:v>TERMOSELVA</c:v>
                </c:pt>
                <c:pt idx="16">
                  <c:v>ELECTRICA SANTA ROSA</c:v>
                </c:pt>
                <c:pt idx="17">
                  <c:v>MAJA ENERGIA</c:v>
                </c:pt>
                <c:pt idx="18">
                  <c:v>ELECTRICA YANAPAMPA</c:v>
                </c:pt>
                <c:pt idx="19">
                  <c:v>HIDROCAÑETE</c:v>
                </c:pt>
                <c:pt idx="20">
                  <c:v>PETRAMAS</c:v>
                </c:pt>
                <c:pt idx="21">
                  <c:v>SAN JACINTO</c:v>
                </c:pt>
                <c:pt idx="22">
                  <c:v>RIO DOBLE</c:v>
                </c:pt>
                <c:pt idx="23">
                  <c:v>SANTA CRUZ</c:v>
                </c:pt>
                <c:pt idx="24">
                  <c:v>RIO BAÑOS</c:v>
                </c:pt>
                <c:pt idx="25">
                  <c:v>ELECTRO ZAÑA</c:v>
                </c:pt>
                <c:pt idx="26">
                  <c:v>EMGE JUNÍN</c:v>
                </c:pt>
                <c:pt idx="27">
                  <c:v>AIPSA</c:v>
                </c:pt>
                <c:pt idx="28">
                  <c:v>HIDROELECTRICA HUANCHOR</c:v>
                </c:pt>
                <c:pt idx="29">
                  <c:v>HUAURA POWER</c:v>
                </c:pt>
                <c:pt idx="30">
                  <c:v>AGROAURORA</c:v>
                </c:pt>
                <c:pt idx="31">
                  <c:v>HIDROMARAÑON/ CELEPSA RENOVABLES</c:v>
                </c:pt>
                <c:pt idx="32">
                  <c:v>SANTA ANA</c:v>
                </c:pt>
                <c:pt idx="33">
                  <c:v>ANDEAN POWER</c:v>
                </c:pt>
                <c:pt idx="34">
                  <c:v>SINERSA</c:v>
                </c:pt>
                <c:pt idx="35">
                  <c:v>SDF ENERGIA</c:v>
                </c:pt>
                <c:pt idx="36">
                  <c:v>GEPSA</c:v>
                </c:pt>
                <c:pt idx="37">
                  <c:v>EGESUR</c:v>
                </c:pt>
                <c:pt idx="38">
                  <c:v>ENERGÍA EÓLICA</c:v>
                </c:pt>
                <c:pt idx="39">
                  <c:v>INLAND</c:v>
                </c:pt>
                <c:pt idx="40">
                  <c:v>EMGE HUANZA</c:v>
                </c:pt>
                <c:pt idx="41">
                  <c:v>ENEL GENERACION PIURA</c:v>
                </c:pt>
                <c:pt idx="42">
                  <c:v>SAN GABAN</c:v>
                </c:pt>
                <c:pt idx="43">
                  <c:v>ENEL GREEN POWER PERU</c:v>
                </c:pt>
                <c:pt idx="44">
                  <c:v>CHINANGO</c:v>
                </c:pt>
                <c:pt idx="45">
                  <c:v>EGEMSA</c:v>
                </c:pt>
                <c:pt idx="46">
                  <c:v>EGASA</c:v>
                </c:pt>
                <c:pt idx="47">
                  <c:v>CELEPSA</c:v>
                </c:pt>
                <c:pt idx="48">
                  <c:v>ORAZUL ENERGY PERÚ</c:v>
                </c:pt>
                <c:pt idx="49">
                  <c:v>EMGE HUALLAGA</c:v>
                </c:pt>
                <c:pt idx="50">
                  <c:v>TERMOCHILCA</c:v>
                </c:pt>
                <c:pt idx="51">
                  <c:v>STATKRAFT</c:v>
                </c:pt>
                <c:pt idx="52">
                  <c:v>FENIX POWER</c:v>
                </c:pt>
                <c:pt idx="53">
                  <c:v>ENGIE</c:v>
                </c:pt>
                <c:pt idx="54">
                  <c:v>ELECTROPERU</c:v>
                </c:pt>
                <c:pt idx="55">
                  <c:v>ENEL GENERACION PERU</c:v>
                </c:pt>
                <c:pt idx="56">
                  <c:v>KALLPA</c:v>
                </c:pt>
              </c:strCache>
            </c:strRef>
          </c:cat>
          <c:val>
            <c:numRef>
              <c:f>'9. Pot. Empresa'!$M$7:$M$63</c:f>
              <c:numCache>
                <c:formatCode>0</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0.23782</c:v>
                </c:pt>
                <c:pt idx="17">
                  <c:v>1.6800600000000001</c:v>
                </c:pt>
                <c:pt idx="18">
                  <c:v>2.7240599999999997</c:v>
                </c:pt>
                <c:pt idx="19">
                  <c:v>3.6</c:v>
                </c:pt>
                <c:pt idx="20">
                  <c:v>3.7716000000000003</c:v>
                </c:pt>
                <c:pt idx="21">
                  <c:v>4.6315499999999998</c:v>
                </c:pt>
                <c:pt idx="22">
                  <c:v>8.13354</c:v>
                </c:pt>
                <c:pt idx="23">
                  <c:v>9.9815799999999992</c:v>
                </c:pt>
                <c:pt idx="24">
                  <c:v>10.07152</c:v>
                </c:pt>
                <c:pt idx="25">
                  <c:v>10.28848</c:v>
                </c:pt>
                <c:pt idx="26">
                  <c:v>12.047560000000001</c:v>
                </c:pt>
                <c:pt idx="27">
                  <c:v>14.48222</c:v>
                </c:pt>
                <c:pt idx="28">
                  <c:v>16.555999999999997</c:v>
                </c:pt>
                <c:pt idx="29">
                  <c:v>17.051090000000002</c:v>
                </c:pt>
                <c:pt idx="30">
                  <c:v>17.947790000000001</c:v>
                </c:pt>
                <c:pt idx="31">
                  <c:v>18.66602</c:v>
                </c:pt>
                <c:pt idx="32">
                  <c:v>19.914870000000001</c:v>
                </c:pt>
                <c:pt idx="33">
                  <c:v>19.996739999999999</c:v>
                </c:pt>
                <c:pt idx="34">
                  <c:v>24.50949</c:v>
                </c:pt>
                <c:pt idx="35">
                  <c:v>28.782550000000001</c:v>
                </c:pt>
                <c:pt idx="36">
                  <c:v>30.290699999999998</c:v>
                </c:pt>
                <c:pt idx="37">
                  <c:v>41.265819999999998</c:v>
                </c:pt>
                <c:pt idx="38">
                  <c:v>61.452120000000001</c:v>
                </c:pt>
                <c:pt idx="39">
                  <c:v>71.596620000000001</c:v>
                </c:pt>
                <c:pt idx="40">
                  <c:v>81.902439999999999</c:v>
                </c:pt>
                <c:pt idx="41">
                  <c:v>85.119879999999995</c:v>
                </c:pt>
                <c:pt idx="42">
                  <c:v>106.34021999999999</c:v>
                </c:pt>
                <c:pt idx="43">
                  <c:v>106.94519</c:v>
                </c:pt>
                <c:pt idx="44">
                  <c:v>122.62738</c:v>
                </c:pt>
                <c:pt idx="45">
                  <c:v>136.76603</c:v>
                </c:pt>
                <c:pt idx="46">
                  <c:v>143.25579000000002</c:v>
                </c:pt>
                <c:pt idx="47">
                  <c:v>167.84417999999999</c:v>
                </c:pt>
                <c:pt idx="48">
                  <c:v>216.11092000000002</c:v>
                </c:pt>
                <c:pt idx="49">
                  <c:v>232.74938</c:v>
                </c:pt>
                <c:pt idx="50">
                  <c:v>287.08664999999996</c:v>
                </c:pt>
                <c:pt idx="51">
                  <c:v>287.90769999999998</c:v>
                </c:pt>
                <c:pt idx="52">
                  <c:v>543.88617999999997</c:v>
                </c:pt>
                <c:pt idx="53">
                  <c:v>784.70128999999997</c:v>
                </c:pt>
                <c:pt idx="54">
                  <c:v>865.56577000000016</c:v>
                </c:pt>
                <c:pt idx="55">
                  <c:v>876.0515200000001</c:v>
                </c:pt>
                <c:pt idx="56">
                  <c:v>1299.22794</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2018</c:v>
                </c:pt>
              </c:strCache>
            </c:strRef>
          </c:tx>
          <c:spPr>
            <a:solidFill>
              <a:srgbClr val="FF6600"/>
            </a:solidFill>
          </c:spPr>
          <c:invertIfNegative val="0"/>
          <c:cat>
            <c:strRef>
              <c:f>'9. Pot. Empresa'!$L$7:$L$63</c:f>
              <c:strCache>
                <c:ptCount val="57"/>
                <c:pt idx="0">
                  <c:v>AGUA AZUL</c:v>
                </c:pt>
                <c:pt idx="1">
                  <c:v>CERRO VERDE</c:v>
                </c:pt>
                <c:pt idx="2">
                  <c:v>EGECSAC</c:v>
                </c:pt>
                <c:pt idx="3">
                  <c:v>GTS MAJES</c:v>
                </c:pt>
                <c:pt idx="4">
                  <c:v>GTS REPARTICION</c:v>
                </c:pt>
                <c:pt idx="5">
                  <c:v>HYDRO PATAPO</c:v>
                </c:pt>
                <c:pt idx="6">
                  <c:v>IYEPSA</c:v>
                </c:pt>
                <c:pt idx="7">
                  <c:v>MOQUEGUA FV</c:v>
                </c:pt>
                <c:pt idx="8">
                  <c:v>P.E. MARCONA</c:v>
                </c:pt>
                <c:pt idx="9">
                  <c:v>P.E. TRES HERMANAS</c:v>
                </c:pt>
                <c:pt idx="10">
                  <c:v>PANAMERICANA SOLAR</c:v>
                </c:pt>
                <c:pt idx="11">
                  <c:v>PLANTA  ETEN</c:v>
                </c:pt>
                <c:pt idx="12">
                  <c:v>SAMAY I</c:v>
                </c:pt>
                <c:pt idx="13">
                  <c:v>SHOUGESA</c:v>
                </c:pt>
                <c:pt idx="14">
                  <c:v>TACNA SOLAR</c:v>
                </c:pt>
                <c:pt idx="15">
                  <c:v>TERMOSELVA</c:v>
                </c:pt>
                <c:pt idx="16">
                  <c:v>ELECTRICA SANTA ROSA</c:v>
                </c:pt>
                <c:pt idx="17">
                  <c:v>MAJA ENERGIA</c:v>
                </c:pt>
                <c:pt idx="18">
                  <c:v>ELECTRICA YANAPAMPA</c:v>
                </c:pt>
                <c:pt idx="19">
                  <c:v>HIDROCAÑETE</c:v>
                </c:pt>
                <c:pt idx="20">
                  <c:v>PETRAMAS</c:v>
                </c:pt>
                <c:pt idx="21">
                  <c:v>SAN JACINTO</c:v>
                </c:pt>
                <c:pt idx="22">
                  <c:v>RIO DOBLE</c:v>
                </c:pt>
                <c:pt idx="23">
                  <c:v>SANTA CRUZ</c:v>
                </c:pt>
                <c:pt idx="24">
                  <c:v>RIO BAÑOS</c:v>
                </c:pt>
                <c:pt idx="25">
                  <c:v>ELECTRO ZAÑA</c:v>
                </c:pt>
                <c:pt idx="26">
                  <c:v>EMGE JUNÍN</c:v>
                </c:pt>
                <c:pt idx="27">
                  <c:v>AIPSA</c:v>
                </c:pt>
                <c:pt idx="28">
                  <c:v>HIDROELECTRICA HUANCHOR</c:v>
                </c:pt>
                <c:pt idx="29">
                  <c:v>HUAURA POWER</c:v>
                </c:pt>
                <c:pt idx="30">
                  <c:v>AGROAURORA</c:v>
                </c:pt>
                <c:pt idx="31">
                  <c:v>HIDROMARAÑON/ CELEPSA RENOVABLES</c:v>
                </c:pt>
                <c:pt idx="32">
                  <c:v>SANTA ANA</c:v>
                </c:pt>
                <c:pt idx="33">
                  <c:v>ANDEAN POWER</c:v>
                </c:pt>
                <c:pt idx="34">
                  <c:v>SINERSA</c:v>
                </c:pt>
                <c:pt idx="35">
                  <c:v>SDF ENERGIA</c:v>
                </c:pt>
                <c:pt idx="36">
                  <c:v>GEPSA</c:v>
                </c:pt>
                <c:pt idx="37">
                  <c:v>EGESUR</c:v>
                </c:pt>
                <c:pt idx="38">
                  <c:v>ENERGÍA EÓLICA</c:v>
                </c:pt>
                <c:pt idx="39">
                  <c:v>INLAND</c:v>
                </c:pt>
                <c:pt idx="40">
                  <c:v>EMGE HUANZA</c:v>
                </c:pt>
                <c:pt idx="41">
                  <c:v>ENEL GENERACION PIURA</c:v>
                </c:pt>
                <c:pt idx="42">
                  <c:v>SAN GABAN</c:v>
                </c:pt>
                <c:pt idx="43">
                  <c:v>ENEL GREEN POWER PERU</c:v>
                </c:pt>
                <c:pt idx="44">
                  <c:v>CHINANGO</c:v>
                </c:pt>
                <c:pt idx="45">
                  <c:v>EGEMSA</c:v>
                </c:pt>
                <c:pt idx="46">
                  <c:v>EGASA</c:v>
                </c:pt>
                <c:pt idx="47">
                  <c:v>CELEPSA</c:v>
                </c:pt>
                <c:pt idx="48">
                  <c:v>ORAZUL ENERGY PERÚ</c:v>
                </c:pt>
                <c:pt idx="49">
                  <c:v>EMGE HUALLAGA</c:v>
                </c:pt>
                <c:pt idx="50">
                  <c:v>TERMOCHILCA</c:v>
                </c:pt>
                <c:pt idx="51">
                  <c:v>STATKRAFT</c:v>
                </c:pt>
                <c:pt idx="52">
                  <c:v>FENIX POWER</c:v>
                </c:pt>
                <c:pt idx="53">
                  <c:v>ENGIE</c:v>
                </c:pt>
                <c:pt idx="54">
                  <c:v>ELECTROPERU</c:v>
                </c:pt>
                <c:pt idx="55">
                  <c:v>ENEL GENERACION PERU</c:v>
                </c:pt>
                <c:pt idx="56">
                  <c:v>KALLPA</c:v>
                </c:pt>
              </c:strCache>
            </c:strRef>
          </c:cat>
          <c:val>
            <c:numRef>
              <c:f>'9. Pot. Empresa'!$N$7:$N$63</c:f>
              <c:numCache>
                <c:formatCode>0</c:formatCode>
                <c:ptCount val="57"/>
                <c:pt idx="0">
                  <c:v>18.205300000000001</c:v>
                </c:pt>
                <c:pt idx="1">
                  <c:v>0</c:v>
                </c:pt>
                <c:pt idx="2">
                  <c:v>5.04</c:v>
                </c:pt>
                <c:pt idx="3">
                  <c:v>0</c:v>
                </c:pt>
                <c:pt idx="4">
                  <c:v>0</c:v>
                </c:pt>
                <c:pt idx="6">
                  <c:v>0</c:v>
                </c:pt>
                <c:pt idx="7">
                  <c:v>0</c:v>
                </c:pt>
                <c:pt idx="8">
                  <c:v>9.4545200000000005</c:v>
                </c:pt>
                <c:pt idx="9">
                  <c:v>24.39481</c:v>
                </c:pt>
                <c:pt idx="10">
                  <c:v>0</c:v>
                </c:pt>
                <c:pt idx="11">
                  <c:v>0</c:v>
                </c:pt>
                <c:pt idx="12">
                  <c:v>0</c:v>
                </c:pt>
                <c:pt idx="13">
                  <c:v>0</c:v>
                </c:pt>
                <c:pt idx="14">
                  <c:v>0</c:v>
                </c:pt>
                <c:pt idx="15">
                  <c:v>0</c:v>
                </c:pt>
                <c:pt idx="16">
                  <c:v>0.88224000000000002</c:v>
                </c:pt>
                <c:pt idx="17">
                  <c:v>3.512</c:v>
                </c:pt>
                <c:pt idx="18">
                  <c:v>3.4587300000000001</c:v>
                </c:pt>
                <c:pt idx="19">
                  <c:v>3.6</c:v>
                </c:pt>
                <c:pt idx="20">
                  <c:v>4.2178000000000004</c:v>
                </c:pt>
                <c:pt idx="22">
                  <c:v>18.366520000000001</c:v>
                </c:pt>
                <c:pt idx="23">
                  <c:v>19.817319999999999</c:v>
                </c:pt>
                <c:pt idx="26">
                  <c:v>18.997679999999999</c:v>
                </c:pt>
                <c:pt idx="27">
                  <c:v>0</c:v>
                </c:pt>
                <c:pt idx="28">
                  <c:v>18.835999999999999</c:v>
                </c:pt>
                <c:pt idx="29">
                  <c:v>18.352620000000002</c:v>
                </c:pt>
                <c:pt idx="30">
                  <c:v>0</c:v>
                </c:pt>
                <c:pt idx="31">
                  <c:v>19.49907</c:v>
                </c:pt>
                <c:pt idx="32">
                  <c:v>20.011279999999999</c:v>
                </c:pt>
                <c:pt idx="34">
                  <c:v>6.6779099999999998</c:v>
                </c:pt>
                <c:pt idx="35">
                  <c:v>28.139520000000001</c:v>
                </c:pt>
                <c:pt idx="36">
                  <c:v>6.4319299999999995</c:v>
                </c:pt>
                <c:pt idx="37">
                  <c:v>47.538539999999998</c:v>
                </c:pt>
                <c:pt idx="38">
                  <c:v>85.443529999999996</c:v>
                </c:pt>
                <c:pt idx="39">
                  <c:v>89.023700000000005</c:v>
                </c:pt>
                <c:pt idx="40">
                  <c:v>70.294110000000003</c:v>
                </c:pt>
                <c:pt idx="41">
                  <c:v>0</c:v>
                </c:pt>
                <c:pt idx="42">
                  <c:v>110.12584000000001</c:v>
                </c:pt>
                <c:pt idx="43">
                  <c:v>114.7818</c:v>
                </c:pt>
                <c:pt idx="44">
                  <c:v>159.65100999999999</c:v>
                </c:pt>
                <c:pt idx="45">
                  <c:v>162.91494999999998</c:v>
                </c:pt>
                <c:pt idx="46">
                  <c:v>144.12690000000006</c:v>
                </c:pt>
                <c:pt idx="47">
                  <c:v>196.94517999999999</c:v>
                </c:pt>
                <c:pt idx="48">
                  <c:v>243.65327000000002</c:v>
                </c:pt>
                <c:pt idx="49">
                  <c:v>442.48277999999999</c:v>
                </c:pt>
                <c:pt idx="50">
                  <c:v>290.56951000000004</c:v>
                </c:pt>
                <c:pt idx="51">
                  <c:v>364.10663</c:v>
                </c:pt>
                <c:pt idx="52">
                  <c:v>550.50249999999994</c:v>
                </c:pt>
                <c:pt idx="53">
                  <c:v>465.27108000000004</c:v>
                </c:pt>
                <c:pt idx="54">
                  <c:v>839.44848000000002</c:v>
                </c:pt>
                <c:pt idx="55">
                  <c:v>749.13831999999991</c:v>
                </c:pt>
                <c:pt idx="56">
                  <c:v>1168.3217300000001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0"/>
          <c:order val="2"/>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2019</c:v>
                </c:pt>
              </c:strCache>
            </c:strRef>
          </c:tx>
          <c:spPr>
            <a:ln w="7620"/>
          </c:spPr>
          <c:val>
            <c:numRef>
              <c:f>'10. Volúmenes'!$Q$12:$Q$63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formatCode="0.0">
                  <c:v>224.15199279999999</c:v>
                </c:pt>
                <c:pt idx="18" formatCode="0.0">
                  <c:v>224.378006</c:v>
                </c:pt>
                <c:pt idx="19" formatCode="0.0">
                  <c:v>224.60401920000001</c:v>
                </c:pt>
                <c:pt idx="20" formatCode="0.0">
                  <c:v>223.4909973</c:v>
                </c:pt>
                <c:pt idx="21" formatCode="0.0">
                  <c:v>222.62600710000001</c:v>
                </c:pt>
                <c:pt idx="22" formatCode="0.0">
                  <c:v>221.62399289999999</c:v>
                </c:pt>
                <c:pt idx="23" formatCode="0.0">
                  <c:v>218.3840027</c:v>
                </c:pt>
                <c:pt idx="24" formatCode="0.0">
                  <c:v>215.08099369999999</c:v>
                </c:pt>
                <c:pt idx="25" formatCode="0.0">
                  <c:v>210.41900630000001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0"/>
          <c:order val="2"/>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2019</c:v>
                </c:pt>
              </c:strCache>
            </c:strRef>
          </c:tx>
          <c:spPr>
            <a:ln w="6350"/>
          </c:spPr>
          <c:val>
            <c:numRef>
              <c:f>'11. Volúmenes'!$R$6:$R$57</c:f>
              <c:numCache>
                <c:formatCode>General</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formatCode="0.000">
                  <c:v>315.3340149</c:v>
                </c:pt>
                <c:pt idx="20" formatCode="0.000">
                  <c:v>311.78100590000003</c:v>
                </c:pt>
                <c:pt idx="21" formatCode="0.000">
                  <c:v>310.60000609999997</c:v>
                </c:pt>
                <c:pt idx="22" formatCode="0.000">
                  <c:v>307.06500240000003</c:v>
                </c:pt>
                <c:pt idx="23" formatCode="0.000">
                  <c:v>302.9590149</c:v>
                </c:pt>
                <c:pt idx="24" formatCode="0.000">
                  <c:v>300.0379944</c:v>
                </c:pt>
                <c:pt idx="25" formatCode="0.000">
                  <c:v>296.06698610000001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v>2016</c:v>
          </c:tx>
          <c:spPr>
            <a:ln w="19050">
              <a:solidFill>
                <a:schemeClr val="accent6"/>
              </a:solidFill>
            </a:ln>
          </c:spPr>
          <c:marker>
            <c:symbol val="star"/>
            <c:size val="7"/>
            <c:spPr>
              <a:noFill/>
              <a:ln>
                <a:solidFill>
                  <a:srgbClr val="00B050"/>
                </a:solidFill>
              </a:ln>
              <a:effectLst/>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6="http://schemas.microsoft.com/office/drawing/2014/chart" uri="{C3380CC4-5D6E-409C-BE32-E72D297353CC}">
              <c16:uniqueId val="{00000002-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6="http://schemas.microsoft.com/office/drawing/2014/chart" uri="{C3380CC4-5D6E-409C-BE32-E72D297353CC}">
              <c16:uniqueId val="{00000001-47CE-4929-AC22-8EC513788285}"/>
            </c:ext>
          </c:extLst>
        </c:ser>
        <c:ser>
          <c:idx val="0"/>
          <c:order val="2"/>
          <c:tx>
            <c:v>2018</c:v>
          </c:tx>
          <c:spPr>
            <a:ln w="19050"/>
          </c:spPr>
          <c:marker>
            <c:symbol val="circle"/>
            <c:size val="5"/>
            <c:spPr>
              <a:solidFill>
                <a:srgbClr val="0077A5"/>
              </a:solidFill>
              <a:ln w="9525">
                <a:solidFill>
                  <a:schemeClr val="bg1"/>
                </a:solidFill>
              </a:ln>
            </c:spPr>
          </c:marke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2019</c:v>
                </c:pt>
              </c:strCache>
            </c:strRef>
          </c:tx>
          <c:spPr>
            <a:ln w="6350"/>
          </c:spPr>
          <c:cat>
            <c:numRef>
              <c:f>'11. Volúmenes'!$N$6:$N$57</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Volúmenes'!$W$6:$W$57</c:f>
              <c:numCache>
                <c:formatCode>General</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345.19513515400001</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3"/>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2113.6878663949992</c:v>
                </c:pt>
                <c:pt idx="1">
                  <c:v>1828.9602865424997</c:v>
                </c:pt>
                <c:pt idx="2">
                  <c:v>0</c:v>
                </c:pt>
                <c:pt idx="3">
                  <c:v>7.0902351625</c:v>
                </c:pt>
                <c:pt idx="4">
                  <c:v>9.8846493975000005</c:v>
                </c:pt>
                <c:pt idx="5">
                  <c:v>128.59335152</c:v>
                </c:pt>
                <c:pt idx="6">
                  <c:v>46.704256437499993</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1934.2168367825004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5.7228150250000001</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22.254032505000001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147.78231510000001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52.871938625000006</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'12.Caudales'!$J$4:$K$185</c:f>
              <c:multiLvlStrCache>
                <c:ptCount val="18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lvl>
                <c:lvl>
                  <c:pt idx="0">
                    <c:v>2016</c:v>
                  </c:pt>
                  <c:pt idx="52">
                    <c:v>2017</c:v>
                  </c:pt>
                  <c:pt idx="104">
                    <c:v>2018</c:v>
                  </c:pt>
                  <c:pt idx="156">
                    <c:v>2019</c:v>
                  </c:pt>
                </c:lvl>
              </c:multiLvlStrCache>
            </c:multiLvlStrRef>
          </c:cat>
          <c:val>
            <c:numRef>
              <c:f>'12.Caudales'!$N$4:$N$185</c:f>
              <c:numCache>
                <c:formatCode>0.0</c:formatCode>
                <c:ptCount val="182"/>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pt idx="139">
                  <c:v>23.007142857142856</c:v>
                </c:pt>
                <c:pt idx="140">
                  <c:v>23.173571724285711</c:v>
                </c:pt>
                <c:pt idx="141">
                  <c:v>26.454000201428567</c:v>
                </c:pt>
                <c:pt idx="142">
                  <c:v>23.7</c:v>
                </c:pt>
                <c:pt idx="143">
                  <c:v>23.695143017142858</c:v>
                </c:pt>
                <c:pt idx="144">
                  <c:v>28.113285882132363</c:v>
                </c:pt>
                <c:pt idx="145">
                  <c:v>37.073285511561743</c:v>
                </c:pt>
                <c:pt idx="146">
                  <c:v>70.535571507045162</c:v>
                </c:pt>
                <c:pt idx="147">
                  <c:v>55.183714184285712</c:v>
                </c:pt>
                <c:pt idx="148">
                  <c:v>60.445714132857141</c:v>
                </c:pt>
                <c:pt idx="149">
                  <c:v>57.005714285714291</c:v>
                </c:pt>
                <c:pt idx="150">
                  <c:v>103.00771440714287</c:v>
                </c:pt>
                <c:pt idx="151">
                  <c:v>99.828000734285709</c:v>
                </c:pt>
                <c:pt idx="152">
                  <c:v>60.27571428571428</c:v>
                </c:pt>
                <c:pt idx="153">
                  <c:v>46.701999664285715</c:v>
                </c:pt>
                <c:pt idx="154">
                  <c:v>68.7</c:v>
                </c:pt>
                <c:pt idx="155">
                  <c:v>97.347143448571416</c:v>
                </c:pt>
                <c:pt idx="156">
                  <c:v>78.298570904285711</c:v>
                </c:pt>
                <c:pt idx="157">
                  <c:v>95.081715179999989</c:v>
                </c:pt>
                <c:pt idx="158">
                  <c:v>95.65</c:v>
                </c:pt>
                <c:pt idx="159">
                  <c:v>109.29957036285714</c:v>
                </c:pt>
                <c:pt idx="160">
                  <c:v>149.65083311999999</c:v>
                </c:pt>
                <c:pt idx="161">
                  <c:v>136.57714285714286</c:v>
                </c:pt>
                <c:pt idx="162">
                  <c:v>224.71071514285714</c:v>
                </c:pt>
                <c:pt idx="163">
                  <c:v>198.04342652857142</c:v>
                </c:pt>
                <c:pt idx="164">
                  <c:v>191.0112849857143</c:v>
                </c:pt>
                <c:pt idx="165">
                  <c:v>215.64014109999999</c:v>
                </c:pt>
                <c:pt idx="166">
                  <c:v>236.76099940708642</c:v>
                </c:pt>
                <c:pt idx="167">
                  <c:v>250.8679761904763</c:v>
                </c:pt>
                <c:pt idx="168">
                  <c:v>301.45971681428574</c:v>
                </c:pt>
                <c:pt idx="169">
                  <c:v>253.08542525714284</c:v>
                </c:pt>
                <c:pt idx="170">
                  <c:v>253.08542525714284</c:v>
                </c:pt>
                <c:pt idx="171">
                  <c:v>141.0458592</c:v>
                </c:pt>
                <c:pt idx="172">
                  <c:v>123.86656951428571</c:v>
                </c:pt>
                <c:pt idx="173">
                  <c:v>85.173857551428583</c:v>
                </c:pt>
                <c:pt idx="174">
                  <c:v>71.224285714285699</c:v>
                </c:pt>
                <c:pt idx="175">
                  <c:v>76.857142859999996</c:v>
                </c:pt>
                <c:pt idx="176">
                  <c:v>47.97114345</c:v>
                </c:pt>
                <c:pt idx="177">
                  <c:v>37.624285945285713</c:v>
                </c:pt>
                <c:pt idx="178">
                  <c:v>37.806285858571421</c:v>
                </c:pt>
                <c:pt idx="179">
                  <c:v>35.468714032857143</c:v>
                </c:pt>
                <c:pt idx="180">
                  <c:v>33.200142724285719</c:v>
                </c:pt>
                <c:pt idx="181">
                  <c:v>28.376285825714287</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'12.Caudales'!$J$4:$K$185</c:f>
              <c:multiLvlStrCache>
                <c:ptCount val="18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lvl>
                <c:lvl>
                  <c:pt idx="0">
                    <c:v>2016</c:v>
                  </c:pt>
                  <c:pt idx="52">
                    <c:v>2017</c:v>
                  </c:pt>
                  <c:pt idx="104">
                    <c:v>2018</c:v>
                  </c:pt>
                  <c:pt idx="156">
                    <c:v>2019</c:v>
                  </c:pt>
                </c:lvl>
              </c:multiLvlStrCache>
            </c:multiLvlStrRef>
          </c:cat>
          <c:val>
            <c:numRef>
              <c:f>'12.Caudales'!$O$4:$O$185</c:f>
              <c:numCache>
                <c:formatCode>0.0</c:formatCode>
                <c:ptCount val="182"/>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pt idx="139">
                  <c:v>3.9657142857142857</c:v>
                </c:pt>
                <c:pt idx="140">
                  <c:v>3.5334285327142858</c:v>
                </c:pt>
                <c:pt idx="141">
                  <c:v>6.4914285118571433</c:v>
                </c:pt>
                <c:pt idx="142">
                  <c:v>4.9000000000000004</c:v>
                </c:pt>
                <c:pt idx="143">
                  <c:v>4.898285797571428</c:v>
                </c:pt>
                <c:pt idx="144">
                  <c:v>8.3430000032697169</c:v>
                </c:pt>
                <c:pt idx="145">
                  <c:v>7.2735712868826683</c:v>
                </c:pt>
                <c:pt idx="146">
                  <c:v>7.4324284962245324</c:v>
                </c:pt>
                <c:pt idx="147">
                  <c:v>15.801856994857145</c:v>
                </c:pt>
                <c:pt idx="148">
                  <c:v>26.432857787142858</c:v>
                </c:pt>
                <c:pt idx="149">
                  <c:v>53.502857142857145</c:v>
                </c:pt>
                <c:pt idx="150">
                  <c:v>53.459142955714292</c:v>
                </c:pt>
                <c:pt idx="151">
                  <c:v>45.539571760000008</c:v>
                </c:pt>
                <c:pt idx="152">
                  <c:v>17.955714285714286</c:v>
                </c:pt>
                <c:pt idx="153">
                  <c:v>13.432571411428571</c:v>
                </c:pt>
                <c:pt idx="154">
                  <c:v>39.414285714285711</c:v>
                </c:pt>
                <c:pt idx="155">
                  <c:v>65.679429182857149</c:v>
                </c:pt>
                <c:pt idx="156">
                  <c:v>21.927143370000003</c:v>
                </c:pt>
                <c:pt idx="157">
                  <c:v>22.397999900000002</c:v>
                </c:pt>
                <c:pt idx="158">
                  <c:v>17.61</c:v>
                </c:pt>
                <c:pt idx="159">
                  <c:v>17.638000354285712</c:v>
                </c:pt>
                <c:pt idx="160">
                  <c:v>19.218833289999999</c:v>
                </c:pt>
                <c:pt idx="161">
                  <c:v>57.185714285714276</c:v>
                </c:pt>
                <c:pt idx="162">
                  <c:v>118.06042697857141</c:v>
                </c:pt>
                <c:pt idx="163">
                  <c:v>106.29885756428571</c:v>
                </c:pt>
                <c:pt idx="164">
                  <c:v>142.12385776285717</c:v>
                </c:pt>
                <c:pt idx="165">
                  <c:v>164.59685624285717</c:v>
                </c:pt>
                <c:pt idx="166">
                  <c:v>121.6507121494835</c:v>
                </c:pt>
                <c:pt idx="167">
                  <c:v>166.63136904761905</c:v>
                </c:pt>
                <c:pt idx="168">
                  <c:v>180.07000078571429</c:v>
                </c:pt>
                <c:pt idx="169">
                  <c:v>143.43971579999999</c:v>
                </c:pt>
                <c:pt idx="170">
                  <c:v>152.6561442857143</c:v>
                </c:pt>
                <c:pt idx="171">
                  <c:v>83.844285145714295</c:v>
                </c:pt>
                <c:pt idx="172">
                  <c:v>125.28814153857142</c:v>
                </c:pt>
                <c:pt idx="173">
                  <c:v>66.347143447142855</c:v>
                </c:pt>
                <c:pt idx="174">
                  <c:v>42.216071428571425</c:v>
                </c:pt>
                <c:pt idx="175">
                  <c:v>58.324429100000003</c:v>
                </c:pt>
                <c:pt idx="176">
                  <c:v>34.032571519999998</c:v>
                </c:pt>
                <c:pt idx="177">
                  <c:v>40.524285998571429</c:v>
                </c:pt>
                <c:pt idx="178">
                  <c:v>25.010571342857141</c:v>
                </c:pt>
                <c:pt idx="179">
                  <c:v>18.242713997857145</c:v>
                </c:pt>
                <c:pt idx="180">
                  <c:v>16.013142995714286</c:v>
                </c:pt>
                <c:pt idx="181">
                  <c:v>12.961571557142857</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'12.Caudales'!$J$4:$K$185</c:f>
              <c:multiLvlStrCache>
                <c:ptCount val="18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lvl>
                <c:lvl>
                  <c:pt idx="0">
                    <c:v>2016</c:v>
                  </c:pt>
                  <c:pt idx="52">
                    <c:v>2017</c:v>
                  </c:pt>
                  <c:pt idx="104">
                    <c:v>2018</c:v>
                  </c:pt>
                  <c:pt idx="156">
                    <c:v>2019</c:v>
                  </c:pt>
                </c:lvl>
              </c:multiLvlStrCache>
            </c:multiLvlStrRef>
          </c:cat>
          <c:val>
            <c:numRef>
              <c:f>'12.Caudales'!$M$4:$M$185</c:f>
              <c:numCache>
                <c:formatCode>0.0</c:formatCode>
                <c:ptCount val="182"/>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pt idx="139">
                  <c:v>15.042857142857143</c:v>
                </c:pt>
                <c:pt idx="140">
                  <c:v>13.386857033</c:v>
                </c:pt>
                <c:pt idx="141">
                  <c:v>12.963714189999999</c:v>
                </c:pt>
                <c:pt idx="142">
                  <c:v>9.4700000000000006</c:v>
                </c:pt>
                <c:pt idx="143">
                  <c:v>9.6714286802857146</c:v>
                </c:pt>
                <c:pt idx="144">
                  <c:v>13.23900018419533</c:v>
                </c:pt>
                <c:pt idx="145">
                  <c:v>13.085142816816015</c:v>
                </c:pt>
                <c:pt idx="146">
                  <c:v>24.981571742466489</c:v>
                </c:pt>
                <c:pt idx="147">
                  <c:v>20.55814279714286</c:v>
                </c:pt>
                <c:pt idx="148">
                  <c:v>26.170000077142856</c:v>
                </c:pt>
                <c:pt idx="149">
                  <c:v>19.728571428571428</c:v>
                </c:pt>
                <c:pt idx="150">
                  <c:v>39.656714302857139</c:v>
                </c:pt>
                <c:pt idx="151">
                  <c:v>39.656714302857139</c:v>
                </c:pt>
                <c:pt idx="152">
                  <c:v>22.62857142857143</c:v>
                </c:pt>
                <c:pt idx="153">
                  <c:v>17.776714461428572</c:v>
                </c:pt>
                <c:pt idx="154">
                  <c:v>34.085714285714282</c:v>
                </c:pt>
                <c:pt idx="155">
                  <c:v>52.094142914285719</c:v>
                </c:pt>
                <c:pt idx="156">
                  <c:v>27.79999951142857</c:v>
                </c:pt>
                <c:pt idx="157">
                  <c:v>28.678571428571427</c:v>
                </c:pt>
                <c:pt idx="158">
                  <c:v>44.51</c:v>
                </c:pt>
                <c:pt idx="159">
                  <c:v>73.323141914285699</c:v>
                </c:pt>
                <c:pt idx="160">
                  <c:v>103.17716724333333</c:v>
                </c:pt>
                <c:pt idx="161">
                  <c:v>79.165714285714287</c:v>
                </c:pt>
                <c:pt idx="162">
                  <c:v>120.02256992142858</c:v>
                </c:pt>
                <c:pt idx="163">
                  <c:v>97.560142514285715</c:v>
                </c:pt>
                <c:pt idx="164">
                  <c:v>97.560142514285715</c:v>
                </c:pt>
                <c:pt idx="165">
                  <c:v>97.497286117142863</c:v>
                </c:pt>
                <c:pt idx="166">
                  <c:v>98.21585736955906</c:v>
                </c:pt>
                <c:pt idx="167">
                  <c:v>91.857713972857141</c:v>
                </c:pt>
                <c:pt idx="168">
                  <c:v>100.0137132957143</c:v>
                </c:pt>
                <c:pt idx="169">
                  <c:v>84.272714885714294</c:v>
                </c:pt>
                <c:pt idx="170">
                  <c:v>61.074856892857142</c:v>
                </c:pt>
                <c:pt idx="171">
                  <c:v>47.843714031428576</c:v>
                </c:pt>
                <c:pt idx="172">
                  <c:v>50.907143728571427</c:v>
                </c:pt>
                <c:pt idx="173">
                  <c:v>39.120999471428568</c:v>
                </c:pt>
                <c:pt idx="174">
                  <c:v>35.410856791428571</c:v>
                </c:pt>
                <c:pt idx="175">
                  <c:v>32.405142920000003</c:v>
                </c:pt>
                <c:pt idx="176">
                  <c:v>26.58385740142857</c:v>
                </c:pt>
                <c:pt idx="177">
                  <c:v>19.653714315714286</c:v>
                </c:pt>
                <c:pt idx="178">
                  <c:v>16.50400011857143</c:v>
                </c:pt>
                <c:pt idx="179">
                  <c:v>14.890428544285713</c:v>
                </c:pt>
                <c:pt idx="180">
                  <c:v>15.340000017142858</c:v>
                </c:pt>
                <c:pt idx="181">
                  <c:v>15.521142687142857</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'13.Caudales'!$N$4:$O$185</c:f>
              <c:multiLvlStrCache>
                <c:ptCount val="18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lvl>
                <c:lvl>
                  <c:pt idx="0">
                    <c:v>2016</c:v>
                  </c:pt>
                  <c:pt idx="52">
                    <c:v>2017</c:v>
                  </c:pt>
                  <c:pt idx="104">
                    <c:v>2018</c:v>
                  </c:pt>
                  <c:pt idx="156">
                    <c:v>2019</c:v>
                  </c:pt>
                </c:lvl>
              </c:multiLvlStrCache>
            </c:multiLvlStrRef>
          </c:cat>
          <c:val>
            <c:numRef>
              <c:f>'13.Caudales'!$Q$4:$Q$185</c:f>
              <c:numCache>
                <c:formatCode>0.0</c:formatCode>
                <c:ptCount val="182"/>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7.5428571428571427</c:v>
                </c:pt>
                <c:pt idx="139">
                  <c:v>7.1671427998571433</c:v>
                </c:pt>
                <c:pt idx="140">
                  <c:v>7.1637143408571422</c:v>
                </c:pt>
                <c:pt idx="141">
                  <c:v>8.31</c:v>
                </c:pt>
                <c:pt idx="142">
                  <c:v>7.621428489714285</c:v>
                </c:pt>
                <c:pt idx="143">
                  <c:v>7.621428489714285</c:v>
                </c:pt>
                <c:pt idx="144">
                  <c:v>7.2698572022574259</c:v>
                </c:pt>
                <c:pt idx="145">
                  <c:v>6.2732856614249064</c:v>
                </c:pt>
                <c:pt idx="146">
                  <c:v>8.3208571161542526</c:v>
                </c:pt>
                <c:pt idx="147">
                  <c:v>9.2941429947142868</c:v>
                </c:pt>
                <c:pt idx="148">
                  <c:v>8.6642857274285721</c:v>
                </c:pt>
                <c:pt idx="149">
                  <c:v>8.5371428571428574</c:v>
                </c:pt>
                <c:pt idx="150">
                  <c:v>9.0094285692857135</c:v>
                </c:pt>
                <c:pt idx="151">
                  <c:v>8.5042856081428582</c:v>
                </c:pt>
                <c:pt idx="152">
                  <c:v>8.27</c:v>
                </c:pt>
                <c:pt idx="153">
                  <c:v>8.1765714374285707</c:v>
                </c:pt>
                <c:pt idx="154">
                  <c:v>10.342857142857142</c:v>
                </c:pt>
                <c:pt idx="155">
                  <c:v>10.661999840142856</c:v>
                </c:pt>
                <c:pt idx="156">
                  <c:v>8.992857251428573</c:v>
                </c:pt>
                <c:pt idx="157">
                  <c:v>7.4904285157142843</c:v>
                </c:pt>
                <c:pt idx="158">
                  <c:v>14.36</c:v>
                </c:pt>
                <c:pt idx="159">
                  <c:v>17.131428719999999</c:v>
                </c:pt>
                <c:pt idx="160">
                  <c:v>30.592286245714288</c:v>
                </c:pt>
                <c:pt idx="161">
                  <c:v>20.372857142857146</c:v>
                </c:pt>
                <c:pt idx="162">
                  <c:v>28.837571554285717</c:v>
                </c:pt>
                <c:pt idx="163">
                  <c:v>20.077857700000003</c:v>
                </c:pt>
                <c:pt idx="164">
                  <c:v>26.317999977142858</c:v>
                </c:pt>
                <c:pt idx="165">
                  <c:v>27.959571565714288</c:v>
                </c:pt>
                <c:pt idx="166">
                  <c:v>27.959571565714288</c:v>
                </c:pt>
                <c:pt idx="167">
                  <c:v>28.476714270455457</c:v>
                </c:pt>
                <c:pt idx="168">
                  <c:v>24.844714028571435</c:v>
                </c:pt>
                <c:pt idx="169">
                  <c:v>29.483285902857141</c:v>
                </c:pt>
                <c:pt idx="170">
                  <c:v>20.040428705714284</c:v>
                </c:pt>
                <c:pt idx="171">
                  <c:v>16.072142737142858</c:v>
                </c:pt>
                <c:pt idx="172">
                  <c:v>15.383999960000001</c:v>
                </c:pt>
                <c:pt idx="173">
                  <c:v>16.026142665714286</c:v>
                </c:pt>
                <c:pt idx="174">
                  <c:v>14.769714355714287</c:v>
                </c:pt>
                <c:pt idx="175">
                  <c:v>13.81242861</c:v>
                </c:pt>
                <c:pt idx="176">
                  <c:v>12.849714414285714</c:v>
                </c:pt>
                <c:pt idx="177">
                  <c:v>12.105428559999998</c:v>
                </c:pt>
                <c:pt idx="178">
                  <c:v>11.272714207142856</c:v>
                </c:pt>
                <c:pt idx="179">
                  <c:v>10.867999894285715</c:v>
                </c:pt>
                <c:pt idx="180">
                  <c:v>10.167285918857143</c:v>
                </c:pt>
                <c:pt idx="181">
                  <c:v>9.3535717554285718</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'13.Caudales'!$N$4:$O$185</c:f>
              <c:multiLvlStrCache>
                <c:ptCount val="18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lvl>
                <c:lvl>
                  <c:pt idx="0">
                    <c:v>2016</c:v>
                  </c:pt>
                  <c:pt idx="52">
                    <c:v>2017</c:v>
                  </c:pt>
                  <c:pt idx="104">
                    <c:v>2018</c:v>
                  </c:pt>
                  <c:pt idx="156">
                    <c:v>2019</c:v>
                  </c:pt>
                </c:lvl>
              </c:multiLvlStrCache>
            </c:multiLvlStrRef>
          </c:cat>
          <c:val>
            <c:numRef>
              <c:f>'13.Caudales'!$R$4:$R$185</c:f>
              <c:numCache>
                <c:formatCode>0.0</c:formatCode>
                <c:ptCount val="182"/>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pt idx="139">
                  <c:v>4.8342857142857136</c:v>
                </c:pt>
                <c:pt idx="140">
                  <c:v>3.1535714688571423</c:v>
                </c:pt>
                <c:pt idx="141">
                  <c:v>3.3441428289999995</c:v>
                </c:pt>
                <c:pt idx="142">
                  <c:v>4.6500000000000004</c:v>
                </c:pt>
                <c:pt idx="143">
                  <c:v>5.128571373571428</c:v>
                </c:pt>
                <c:pt idx="144">
                  <c:v>4.8594285079410948</c:v>
                </c:pt>
                <c:pt idx="145">
                  <c:v>4.00314286776951</c:v>
                </c:pt>
                <c:pt idx="146">
                  <c:v>6.0481427737644662</c:v>
                </c:pt>
                <c:pt idx="147">
                  <c:v>7.6531428608571428</c:v>
                </c:pt>
                <c:pt idx="148">
                  <c:v>4.2061428341428568</c:v>
                </c:pt>
                <c:pt idx="149">
                  <c:v>5.9</c:v>
                </c:pt>
                <c:pt idx="150">
                  <c:v>7.1015714912857133</c:v>
                </c:pt>
                <c:pt idx="151">
                  <c:v>4.3617142950000005</c:v>
                </c:pt>
                <c:pt idx="152">
                  <c:v>6.9099999999999993</c:v>
                </c:pt>
                <c:pt idx="153">
                  <c:v>6.5639999597142857</c:v>
                </c:pt>
                <c:pt idx="154">
                  <c:v>7.3285714285714283</c:v>
                </c:pt>
                <c:pt idx="155">
                  <c:v>7.4820000789999996</c:v>
                </c:pt>
                <c:pt idx="156">
                  <c:v>4.4642857141428571</c:v>
                </c:pt>
                <c:pt idx="157">
                  <c:v>3.3685714177142856</c:v>
                </c:pt>
                <c:pt idx="158">
                  <c:v>10.74</c:v>
                </c:pt>
                <c:pt idx="159">
                  <c:v>11.155714580142858</c:v>
                </c:pt>
                <c:pt idx="160">
                  <c:v>16.463000024285716</c:v>
                </c:pt>
                <c:pt idx="161">
                  <c:v>17.05857142857143</c:v>
                </c:pt>
                <c:pt idx="162">
                  <c:v>18.065285818571429</c:v>
                </c:pt>
                <c:pt idx="163">
                  <c:v>14.531571660571432</c:v>
                </c:pt>
                <c:pt idx="164">
                  <c:v>19.520428521428574</c:v>
                </c:pt>
                <c:pt idx="165">
                  <c:v>20.831714628571426</c:v>
                </c:pt>
                <c:pt idx="166">
                  <c:v>22.247142927987216</c:v>
                </c:pt>
                <c:pt idx="167">
                  <c:v>21.707857131428572</c:v>
                </c:pt>
                <c:pt idx="168">
                  <c:v>20.569142751428576</c:v>
                </c:pt>
                <c:pt idx="169">
                  <c:v>18.767857142857142</c:v>
                </c:pt>
                <c:pt idx="170">
                  <c:v>14.275999887714287</c:v>
                </c:pt>
                <c:pt idx="171">
                  <c:v>10.180143014285713</c:v>
                </c:pt>
                <c:pt idx="172">
                  <c:v>12.121571608857142</c:v>
                </c:pt>
                <c:pt idx="173">
                  <c:v>11.996285711571428</c:v>
                </c:pt>
                <c:pt idx="174">
                  <c:v>10.123285769857144</c:v>
                </c:pt>
                <c:pt idx="175">
                  <c:v>9.3731427190000005</c:v>
                </c:pt>
                <c:pt idx="176">
                  <c:v>7.085428442285715</c:v>
                </c:pt>
                <c:pt idx="177">
                  <c:v>7.3308571058571435</c:v>
                </c:pt>
                <c:pt idx="178">
                  <c:v>7.7242857718571427</c:v>
                </c:pt>
                <c:pt idx="179">
                  <c:v>8.8337143495714301</c:v>
                </c:pt>
                <c:pt idx="180">
                  <c:v>7.6592858184285708</c:v>
                </c:pt>
                <c:pt idx="181">
                  <c:v>6.2751428064285708</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'13.Caudales'!$N$4:$O$185</c:f>
              <c:multiLvlStrCache>
                <c:ptCount val="18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lvl>
                <c:lvl>
                  <c:pt idx="0">
                    <c:v>2016</c:v>
                  </c:pt>
                  <c:pt idx="52">
                    <c:v>2017</c:v>
                  </c:pt>
                  <c:pt idx="104">
                    <c:v>2018</c:v>
                  </c:pt>
                  <c:pt idx="156">
                    <c:v>2019</c:v>
                  </c:pt>
                </c:lvl>
              </c:multiLvlStrCache>
            </c:multiLvlStrRef>
          </c:cat>
          <c:val>
            <c:numRef>
              <c:f>'13.Caudales'!$S$4:$S$185</c:f>
              <c:numCache>
                <c:formatCode>0.0</c:formatCode>
                <c:ptCount val="182"/>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pt idx="139">
                  <c:v>63.092857142857149</c:v>
                </c:pt>
                <c:pt idx="140">
                  <c:v>61.141713821428574</c:v>
                </c:pt>
                <c:pt idx="141">
                  <c:v>49.664428712857145</c:v>
                </c:pt>
                <c:pt idx="142">
                  <c:v>42.24</c:v>
                </c:pt>
                <c:pt idx="143">
                  <c:v>38.906285422857138</c:v>
                </c:pt>
                <c:pt idx="144">
                  <c:v>42.923713956560341</c:v>
                </c:pt>
                <c:pt idx="145">
                  <c:v>73.976001194545148</c:v>
                </c:pt>
                <c:pt idx="146">
                  <c:v>97.234427315848038</c:v>
                </c:pt>
                <c:pt idx="147">
                  <c:v>120.62971387142855</c:v>
                </c:pt>
                <c:pt idx="148">
                  <c:v>125.43157086857143</c:v>
                </c:pt>
                <c:pt idx="149">
                  <c:v>78.757142857142853</c:v>
                </c:pt>
                <c:pt idx="150">
                  <c:v>88.111712864285735</c:v>
                </c:pt>
                <c:pt idx="151">
                  <c:v>80.151286534285717</c:v>
                </c:pt>
                <c:pt idx="152">
                  <c:v>66.555714285714288</c:v>
                </c:pt>
                <c:pt idx="153">
                  <c:v>61.602715082857152</c:v>
                </c:pt>
                <c:pt idx="154">
                  <c:v>53.9</c:v>
                </c:pt>
                <c:pt idx="155">
                  <c:v>57.504999978571433</c:v>
                </c:pt>
                <c:pt idx="156">
                  <c:v>57.514999934285704</c:v>
                </c:pt>
                <c:pt idx="157">
                  <c:v>63.363856724285711</c:v>
                </c:pt>
                <c:pt idx="158">
                  <c:v>80.75</c:v>
                </c:pt>
                <c:pt idx="159">
                  <c:v>85.689570837142853</c:v>
                </c:pt>
                <c:pt idx="160">
                  <c:v>416.48700821428571</c:v>
                </c:pt>
                <c:pt idx="161">
                  <c:v>426.67142857142863</c:v>
                </c:pt>
                <c:pt idx="162">
                  <c:v>581.62514822857145</c:v>
                </c:pt>
                <c:pt idx="163">
                  <c:v>439.74099729999995</c:v>
                </c:pt>
                <c:pt idx="164">
                  <c:v>316.26999772857147</c:v>
                </c:pt>
                <c:pt idx="165">
                  <c:v>326.63642664285715</c:v>
                </c:pt>
                <c:pt idx="166">
                  <c:v>416.08099801199745</c:v>
                </c:pt>
                <c:pt idx="167">
                  <c:v>394.13957431428571</c:v>
                </c:pt>
                <c:pt idx="168">
                  <c:v>522.42285592857138</c:v>
                </c:pt>
                <c:pt idx="169">
                  <c:v>316.33943394285717</c:v>
                </c:pt>
                <c:pt idx="170">
                  <c:v>168.45457024285716</c:v>
                </c:pt>
                <c:pt idx="171">
                  <c:v>131.80142647142856</c:v>
                </c:pt>
                <c:pt idx="172">
                  <c:v>143.84128789999997</c:v>
                </c:pt>
                <c:pt idx="173">
                  <c:v>111.12314277285714</c:v>
                </c:pt>
                <c:pt idx="174">
                  <c:v>89.41828482428572</c:v>
                </c:pt>
                <c:pt idx="175">
                  <c:v>79.212427410000004</c:v>
                </c:pt>
                <c:pt idx="176">
                  <c:v>62.717000688571432</c:v>
                </c:pt>
                <c:pt idx="177">
                  <c:v>49.261999948571429</c:v>
                </c:pt>
                <c:pt idx="178">
                  <c:v>40.500142779999997</c:v>
                </c:pt>
                <c:pt idx="179">
                  <c:v>35.785857065714289</c:v>
                </c:pt>
                <c:pt idx="180">
                  <c:v>33.357000077142857</c:v>
                </c:pt>
                <c:pt idx="181">
                  <c:v>29.154571531428569</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'13.Caudales'!$N$4:$O$185</c:f>
              <c:multiLvlStrCache>
                <c:ptCount val="18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lvl>
                <c:lvl>
                  <c:pt idx="0">
                    <c:v>2016</c:v>
                  </c:pt>
                  <c:pt idx="52">
                    <c:v>2017</c:v>
                  </c:pt>
                  <c:pt idx="104">
                    <c:v>2018</c:v>
                  </c:pt>
                  <c:pt idx="156">
                    <c:v>2019</c:v>
                  </c:pt>
                </c:lvl>
              </c:multiLvlStrCache>
            </c:multiLvlStrRef>
          </c:cat>
          <c:val>
            <c:numRef>
              <c:f>'13.Caudales'!$T$4:$T$185</c:f>
              <c:numCache>
                <c:formatCode>0.0</c:formatCode>
                <c:ptCount val="182"/>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pt idx="139">
                  <c:v>34.571428571428569</c:v>
                </c:pt>
                <c:pt idx="140">
                  <c:v>28.744000025714286</c:v>
                </c:pt>
                <c:pt idx="141">
                  <c:v>35.571571351428574</c:v>
                </c:pt>
                <c:pt idx="142">
                  <c:v>39.39</c:v>
                </c:pt>
                <c:pt idx="143">
                  <c:v>41.34000069857143</c:v>
                </c:pt>
                <c:pt idx="144">
                  <c:v>56.607142857142847</c:v>
                </c:pt>
                <c:pt idx="145">
                  <c:v>89.232285635811792</c:v>
                </c:pt>
                <c:pt idx="146">
                  <c:v>125.70828465052978</c:v>
                </c:pt>
                <c:pt idx="147">
                  <c:v>157.60714285714286</c:v>
                </c:pt>
                <c:pt idx="148">
                  <c:v>105.63685608857143</c:v>
                </c:pt>
                <c:pt idx="149">
                  <c:v>79.304285714285712</c:v>
                </c:pt>
                <c:pt idx="150">
                  <c:v>74.684428622857141</c:v>
                </c:pt>
                <c:pt idx="151">
                  <c:v>95.303570342857142</c:v>
                </c:pt>
                <c:pt idx="152">
                  <c:v>54.31</c:v>
                </c:pt>
                <c:pt idx="153">
                  <c:v>52.47614288285714</c:v>
                </c:pt>
                <c:pt idx="154">
                  <c:v>126.14285714285714</c:v>
                </c:pt>
                <c:pt idx="155">
                  <c:v>100.38085719714286</c:v>
                </c:pt>
                <c:pt idx="156">
                  <c:v>79.871427261428579</c:v>
                </c:pt>
                <c:pt idx="157">
                  <c:v>84.184571402857145</c:v>
                </c:pt>
                <c:pt idx="158">
                  <c:v>149.30000000000001</c:v>
                </c:pt>
                <c:pt idx="159">
                  <c:v>168.80999974285714</c:v>
                </c:pt>
                <c:pt idx="160">
                  <c:v>195.24999782857142</c:v>
                </c:pt>
                <c:pt idx="161">
                  <c:v>265.28000000000003</c:v>
                </c:pt>
                <c:pt idx="162">
                  <c:v>230.7322888857143</c:v>
                </c:pt>
                <c:pt idx="163">
                  <c:v>219.37485614285717</c:v>
                </c:pt>
                <c:pt idx="164">
                  <c:v>191.17842539999998</c:v>
                </c:pt>
                <c:pt idx="165">
                  <c:v>184.08928571428572</c:v>
                </c:pt>
                <c:pt idx="166">
                  <c:v>226.88085501534573</c:v>
                </c:pt>
                <c:pt idx="167">
                  <c:v>203.44642857142858</c:v>
                </c:pt>
                <c:pt idx="168">
                  <c:v>225.26185825714285</c:v>
                </c:pt>
                <c:pt idx="169">
                  <c:v>152.47643277142856</c:v>
                </c:pt>
                <c:pt idx="170">
                  <c:v>98.160714291428576</c:v>
                </c:pt>
                <c:pt idx="171">
                  <c:v>98.279714314285712</c:v>
                </c:pt>
                <c:pt idx="172">
                  <c:v>83.547571454285716</c:v>
                </c:pt>
                <c:pt idx="173">
                  <c:v>74.392857142857139</c:v>
                </c:pt>
                <c:pt idx="174">
                  <c:v>60.613000051428571</c:v>
                </c:pt>
                <c:pt idx="175">
                  <c:v>72.321428569999995</c:v>
                </c:pt>
                <c:pt idx="176">
                  <c:v>52.565571377142859</c:v>
                </c:pt>
                <c:pt idx="177">
                  <c:v>49.261999948571429</c:v>
                </c:pt>
                <c:pt idx="178">
                  <c:v>40.500142779999997</c:v>
                </c:pt>
                <c:pt idx="179">
                  <c:v>35.785857065714289</c:v>
                </c:pt>
                <c:pt idx="180">
                  <c:v>33.357000077142857</c:v>
                </c:pt>
                <c:pt idx="181">
                  <c:v>29.154571531428569</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'13.Caudales'!$U$4:$U$185</c:f>
              <c:numCache>
                <c:formatCode>0.0</c:formatCode>
                <c:ptCount val="182"/>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pt idx="139">
                  <c:v>7.5942857142857134</c:v>
                </c:pt>
                <c:pt idx="140">
                  <c:v>6.5637142318571433</c:v>
                </c:pt>
                <c:pt idx="141">
                  <c:v>7.2939999444285712</c:v>
                </c:pt>
                <c:pt idx="142">
                  <c:v>7.68</c:v>
                </c:pt>
                <c:pt idx="143">
                  <c:v>9.112857137571428</c:v>
                </c:pt>
                <c:pt idx="144">
                  <c:v>11.170142854962995</c:v>
                </c:pt>
                <c:pt idx="145">
                  <c:v>19.282285690307582</c:v>
                </c:pt>
                <c:pt idx="146">
                  <c:v>26.382142475673081</c:v>
                </c:pt>
                <c:pt idx="147">
                  <c:v>33.364427840000005</c:v>
                </c:pt>
                <c:pt idx="148">
                  <c:v>18.735571588571428</c:v>
                </c:pt>
                <c:pt idx="149">
                  <c:v>13.16</c:v>
                </c:pt>
                <c:pt idx="150">
                  <c:v>13.483142988571428</c:v>
                </c:pt>
                <c:pt idx="151">
                  <c:v>12.543571337142859</c:v>
                </c:pt>
                <c:pt idx="152">
                  <c:v>8.99</c:v>
                </c:pt>
                <c:pt idx="153">
                  <c:v>10.909571511285714</c:v>
                </c:pt>
                <c:pt idx="154">
                  <c:v>16.8</c:v>
                </c:pt>
                <c:pt idx="155">
                  <c:v>16.435142652857145</c:v>
                </c:pt>
                <c:pt idx="156">
                  <c:v>13.115714484285716</c:v>
                </c:pt>
                <c:pt idx="157">
                  <c:v>16.11014284285714</c:v>
                </c:pt>
                <c:pt idx="158">
                  <c:v>29.23</c:v>
                </c:pt>
                <c:pt idx="159">
                  <c:v>36.200000218571425</c:v>
                </c:pt>
                <c:pt idx="160">
                  <c:v>36.703999928571427</c:v>
                </c:pt>
                <c:pt idx="161">
                  <c:v>51.29</c:v>
                </c:pt>
                <c:pt idx="162">
                  <c:v>46.224000658571427</c:v>
                </c:pt>
                <c:pt idx="163">
                  <c:v>42.94585745571429</c:v>
                </c:pt>
                <c:pt idx="164">
                  <c:v>34.696428571428569</c:v>
                </c:pt>
                <c:pt idx="165">
                  <c:v>38.680999754285715</c:v>
                </c:pt>
                <c:pt idx="166">
                  <c:v>42.633285522460888</c:v>
                </c:pt>
                <c:pt idx="167">
                  <c:v>43.529285431428569</c:v>
                </c:pt>
                <c:pt idx="168">
                  <c:v>57.974427901428569</c:v>
                </c:pt>
                <c:pt idx="169">
                  <c:v>55.119428907142868</c:v>
                </c:pt>
                <c:pt idx="170">
                  <c:v>27.713714872857139</c:v>
                </c:pt>
                <c:pt idx="171">
                  <c:v>22.869143077142859</c:v>
                </c:pt>
                <c:pt idx="172">
                  <c:v>20.273857388571425</c:v>
                </c:pt>
                <c:pt idx="173">
                  <c:v>18.103142875714287</c:v>
                </c:pt>
                <c:pt idx="174">
                  <c:v>15.728999954285714</c:v>
                </c:pt>
                <c:pt idx="175">
                  <c:v>20.647571429999999</c:v>
                </c:pt>
                <c:pt idx="176">
                  <c:v>14.46171447</c:v>
                </c:pt>
                <c:pt idx="177">
                  <c:v>12.621714454285712</c:v>
                </c:pt>
                <c:pt idx="178">
                  <c:v>10.571857179142857</c:v>
                </c:pt>
                <c:pt idx="179">
                  <c:v>9.2180000031428584</c:v>
                </c:pt>
                <c:pt idx="180">
                  <c:v>8.9321429390000002</c:v>
                </c:pt>
                <c:pt idx="181">
                  <c:v>8.3007144928571428</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'13.Caudales'!$N$4:$O$185</c:f>
              <c:multiLvlStrCache>
                <c:ptCount val="18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lvl>
                <c:lvl>
                  <c:pt idx="0">
                    <c:v>2016</c:v>
                  </c:pt>
                  <c:pt idx="52">
                    <c:v>2017</c:v>
                  </c:pt>
                  <c:pt idx="104">
                    <c:v>2018</c:v>
                  </c:pt>
                  <c:pt idx="156">
                    <c:v>2019</c:v>
                  </c:pt>
                </c:lvl>
              </c:multiLvlStrCache>
            </c:multiLvlStrRef>
          </c:cat>
          <c:val>
            <c:numRef>
              <c:f>'13.Caudales'!$V$4:$V$185</c:f>
              <c:numCache>
                <c:formatCode>0.0</c:formatCode>
                <c:ptCount val="182"/>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pt idx="139">
                  <c:v>11.091428571428571</c:v>
                </c:pt>
                <c:pt idx="140">
                  <c:v>10.825238499999999</c:v>
                </c:pt>
                <c:pt idx="141">
                  <c:v>11.159824370000001</c:v>
                </c:pt>
                <c:pt idx="142">
                  <c:v>11.33</c:v>
                </c:pt>
                <c:pt idx="143">
                  <c:v>11.565001485714285</c:v>
                </c:pt>
                <c:pt idx="144">
                  <c:v>12.740178653172041</c:v>
                </c:pt>
                <c:pt idx="145">
                  <c:v>11.792381422860229</c:v>
                </c:pt>
                <c:pt idx="146">
                  <c:v>12.0416071755545</c:v>
                </c:pt>
                <c:pt idx="147">
                  <c:v>12.188929967142856</c:v>
                </c:pt>
                <c:pt idx="148">
                  <c:v>13</c:v>
                </c:pt>
                <c:pt idx="149">
                  <c:v>13.001428571428571</c:v>
                </c:pt>
                <c:pt idx="150">
                  <c:v>12.142405645714286</c:v>
                </c:pt>
                <c:pt idx="151">
                  <c:v>11.975262778571429</c:v>
                </c:pt>
                <c:pt idx="152">
                  <c:v>12.26</c:v>
                </c:pt>
                <c:pt idx="153">
                  <c:v>13.001428604285715</c:v>
                </c:pt>
                <c:pt idx="154">
                  <c:v>12.257142857142856</c:v>
                </c:pt>
                <c:pt idx="155">
                  <c:v>12.222315514285714</c:v>
                </c:pt>
                <c:pt idx="156">
                  <c:v>11.571904317142856</c:v>
                </c:pt>
                <c:pt idx="157">
                  <c:v>11.570298602857141</c:v>
                </c:pt>
                <c:pt idx="158">
                  <c:v>11.28</c:v>
                </c:pt>
                <c:pt idx="159">
                  <c:v>11.843988554285716</c:v>
                </c:pt>
                <c:pt idx="160">
                  <c:v>12.496724401428571</c:v>
                </c:pt>
                <c:pt idx="161">
                  <c:v>12.744285714285715</c:v>
                </c:pt>
                <c:pt idx="162">
                  <c:v>23.841369902857146</c:v>
                </c:pt>
                <c:pt idx="163">
                  <c:v>23.894881112857146</c:v>
                </c:pt>
                <c:pt idx="164">
                  <c:v>22.406962801428573</c:v>
                </c:pt>
                <c:pt idx="165">
                  <c:v>23.828572680000001</c:v>
                </c:pt>
                <c:pt idx="166">
                  <c:v>23.809881482805473</c:v>
                </c:pt>
                <c:pt idx="167">
                  <c:v>19.572964258571432</c:v>
                </c:pt>
                <c:pt idx="168">
                  <c:v>12.582738467142859</c:v>
                </c:pt>
                <c:pt idx="169">
                  <c:v>21.303751674285714</c:v>
                </c:pt>
                <c:pt idx="170">
                  <c:v>17.810774395714287</c:v>
                </c:pt>
                <c:pt idx="171">
                  <c:v>12.210951395714286</c:v>
                </c:pt>
                <c:pt idx="172">
                  <c:v>12.949641501428573</c:v>
                </c:pt>
                <c:pt idx="173">
                  <c:v>11.493274145714285</c:v>
                </c:pt>
                <c:pt idx="174">
                  <c:v>10.883738517142858</c:v>
                </c:pt>
                <c:pt idx="175">
                  <c:v>11.153748650000001</c:v>
                </c:pt>
                <c:pt idx="176">
                  <c:v>12</c:v>
                </c:pt>
                <c:pt idx="177">
                  <c:v>10.442797251571431</c:v>
                </c:pt>
                <c:pt idx="178">
                  <c:v>10.979225701428572</c:v>
                </c:pt>
                <c:pt idx="179">
                  <c:v>11.096784181428571</c:v>
                </c:pt>
                <c:pt idx="180">
                  <c:v>10.461965969999998</c:v>
                </c:pt>
                <c:pt idx="181">
                  <c:v>11.259941372857144</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'13.Caudales'!$N$4:$O$185</c:f>
              <c:multiLvlStrCache>
                <c:ptCount val="18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9">
                    <c:v>36</c:v>
                  </c:pt>
                  <c:pt idx="143">
                    <c:v>40</c:v>
                  </c:pt>
                  <c:pt idx="147">
                    <c:v>44</c:v>
                  </c:pt>
                  <c:pt idx="151">
                    <c:v>48</c:v>
                  </c:pt>
                  <c:pt idx="155">
                    <c:v>52</c:v>
                  </c:pt>
                  <c:pt idx="156">
                    <c:v>1</c:v>
                  </c:pt>
                  <c:pt idx="159">
                    <c:v>4</c:v>
                  </c:pt>
                  <c:pt idx="163">
                    <c:v>8</c:v>
                  </c:pt>
                  <c:pt idx="167">
                    <c:v>12</c:v>
                  </c:pt>
                  <c:pt idx="171">
                    <c:v>16</c:v>
                  </c:pt>
                  <c:pt idx="177">
                    <c:v>22</c:v>
                  </c:pt>
                  <c:pt idx="181">
                    <c:v>26</c:v>
                  </c:pt>
                </c:lvl>
                <c:lvl>
                  <c:pt idx="0">
                    <c:v>2016</c:v>
                  </c:pt>
                  <c:pt idx="52">
                    <c:v>2017</c:v>
                  </c:pt>
                  <c:pt idx="104">
                    <c:v>2018</c:v>
                  </c:pt>
                  <c:pt idx="156">
                    <c:v>2019</c:v>
                  </c:pt>
                </c:lvl>
              </c:multiLvlStrCache>
            </c:multiLvlStrRef>
          </c:cat>
          <c:val>
            <c:numRef>
              <c:f>'13.Caudales'!$W$4:$W$185</c:f>
              <c:numCache>
                <c:formatCode>0.0</c:formatCode>
                <c:ptCount val="182"/>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pt idx="139">
                  <c:v>1.8442857142857143</c:v>
                </c:pt>
                <c:pt idx="140">
                  <c:v>1.8114285809999999</c:v>
                </c:pt>
                <c:pt idx="141">
                  <c:v>1.8427142925714282</c:v>
                </c:pt>
                <c:pt idx="142">
                  <c:v>1.64</c:v>
                </c:pt>
                <c:pt idx="143">
                  <c:v>1.8221428395714285</c:v>
                </c:pt>
                <c:pt idx="144">
                  <c:v>1.7041428429739784</c:v>
                </c:pt>
                <c:pt idx="145">
                  <c:v>1.5524285691124997</c:v>
                </c:pt>
                <c:pt idx="146">
                  <c:v>1.585428544453207</c:v>
                </c:pt>
                <c:pt idx="147">
                  <c:v>1.6864285471428571</c:v>
                </c:pt>
                <c:pt idx="148">
                  <c:v>1.7397142818571427</c:v>
                </c:pt>
                <c:pt idx="149">
                  <c:v>1.5</c:v>
                </c:pt>
                <c:pt idx="150">
                  <c:v>1.5</c:v>
                </c:pt>
                <c:pt idx="151">
                  <c:v>1.5</c:v>
                </c:pt>
                <c:pt idx="152">
                  <c:v>1.5</c:v>
                </c:pt>
                <c:pt idx="153">
                  <c:v>1.457142846857143</c:v>
                </c:pt>
                <c:pt idx="154">
                  <c:v>1.3857142857142859</c:v>
                </c:pt>
                <c:pt idx="155">
                  <c:v>1.2999999520000001</c:v>
                </c:pt>
                <c:pt idx="156">
                  <c:v>1.2999999520000001</c:v>
                </c:pt>
                <c:pt idx="157">
                  <c:v>1.2999999520000001</c:v>
                </c:pt>
                <c:pt idx="158">
                  <c:v>1.33</c:v>
                </c:pt>
                <c:pt idx="159">
                  <c:v>3.0287143159999999</c:v>
                </c:pt>
                <c:pt idx="160">
                  <c:v>6.6928571292857146</c:v>
                </c:pt>
                <c:pt idx="161">
                  <c:v>14.464285714285714</c:v>
                </c:pt>
                <c:pt idx="162">
                  <c:v>21.059571402857141</c:v>
                </c:pt>
                <c:pt idx="163">
                  <c:v>6.8928571428571432</c:v>
                </c:pt>
                <c:pt idx="164">
                  <c:v>3.3807143142857146</c:v>
                </c:pt>
                <c:pt idx="165">
                  <c:v>2.3840000118571427</c:v>
                </c:pt>
                <c:pt idx="166">
                  <c:v>1.9291428668158341</c:v>
                </c:pt>
                <c:pt idx="167">
                  <c:v>1.7968571012857144</c:v>
                </c:pt>
                <c:pt idx="168">
                  <c:v>1.6904285634285714</c:v>
                </c:pt>
                <c:pt idx="169">
                  <c:v>1.6808571647142858</c:v>
                </c:pt>
                <c:pt idx="170">
                  <c:v>1.7205714498571432</c:v>
                </c:pt>
                <c:pt idx="171">
                  <c:v>1.789857131857143</c:v>
                </c:pt>
                <c:pt idx="172">
                  <c:v>1.6648571664285714</c:v>
                </c:pt>
                <c:pt idx="173">
                  <c:v>1.55</c:v>
                </c:pt>
                <c:pt idx="174">
                  <c:v>1.5914285865714286</c:v>
                </c:pt>
                <c:pt idx="175">
                  <c:v>1.5371428389999999</c:v>
                </c:pt>
                <c:pt idx="176">
                  <c:v>1.5128571304285714</c:v>
                </c:pt>
                <c:pt idx="177">
                  <c:v>1.5</c:v>
                </c:pt>
                <c:pt idx="178">
                  <c:v>1.5</c:v>
                </c:pt>
                <c:pt idx="179">
                  <c:v>1.5</c:v>
                </c:pt>
                <c:pt idx="180">
                  <c:v>1.5</c:v>
                </c:pt>
                <c:pt idx="181">
                  <c:v>1.5</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'13.Caudales'!$Y$4:$Y$181</c:f>
              <c:numCache>
                <c:formatCode>0.0</c:formatCode>
                <c:ptCount val="178"/>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pt idx="139">
                  <c:v>8.0857142857142854</c:v>
                </c:pt>
                <c:pt idx="140">
                  <c:v>8.6452856064285708</c:v>
                </c:pt>
                <c:pt idx="141">
                  <c:v>8.6452856064285708</c:v>
                </c:pt>
                <c:pt idx="142">
                  <c:v>7.4194285528571422</c:v>
                </c:pt>
                <c:pt idx="143">
                  <c:v>9.6005713597142837</c:v>
                </c:pt>
                <c:pt idx="144">
                  <c:v>10.943285942077617</c:v>
                </c:pt>
                <c:pt idx="145">
                  <c:v>17.972571236746628</c:v>
                </c:pt>
                <c:pt idx="146">
                  <c:v>19.552571432931028</c:v>
                </c:pt>
                <c:pt idx="147">
                  <c:v>33.081571032857141</c:v>
                </c:pt>
                <c:pt idx="148">
                  <c:v>39.80185754</c:v>
                </c:pt>
                <c:pt idx="149">
                  <c:v>37.212857142857146</c:v>
                </c:pt>
                <c:pt idx="150">
                  <c:v>35.055428368571434</c:v>
                </c:pt>
                <c:pt idx="151">
                  <c:v>28.370000294285713</c:v>
                </c:pt>
                <c:pt idx="152">
                  <c:v>22.919999999999998</c:v>
                </c:pt>
                <c:pt idx="153">
                  <c:v>17.695714271428571</c:v>
                </c:pt>
                <c:pt idx="154">
                  <c:v>33.51428571428572</c:v>
                </c:pt>
                <c:pt idx="155">
                  <c:v>52.753143308571431</c:v>
                </c:pt>
                <c:pt idx="156">
                  <c:v>64.398429325714275</c:v>
                </c:pt>
                <c:pt idx="157">
                  <c:v>70.997858864285703</c:v>
                </c:pt>
                <c:pt idx="158">
                  <c:v>68.83</c:v>
                </c:pt>
                <c:pt idx="159">
                  <c:v>70.089428494285713</c:v>
                </c:pt>
                <c:pt idx="160">
                  <c:v>74.655428748571438</c:v>
                </c:pt>
                <c:pt idx="161">
                  <c:v>117.82857142857142</c:v>
                </c:pt>
                <c:pt idx="162">
                  <c:v>118.07871352857144</c:v>
                </c:pt>
                <c:pt idx="163">
                  <c:v>98.32</c:v>
                </c:pt>
                <c:pt idx="164">
                  <c:v>120.90099988571428</c:v>
                </c:pt>
                <c:pt idx="165">
                  <c:v>78.177285328571429</c:v>
                </c:pt>
                <c:pt idx="166">
                  <c:v>44.638999938964801</c:v>
                </c:pt>
                <c:pt idx="167">
                  <c:v>98.4</c:v>
                </c:pt>
                <c:pt idx="168">
                  <c:v>92.103571201428579</c:v>
                </c:pt>
                <c:pt idx="169">
                  <c:v>65.665856497142855</c:v>
                </c:pt>
                <c:pt idx="170">
                  <c:v>49.633285522857136</c:v>
                </c:pt>
                <c:pt idx="171">
                  <c:v>31.291000095714285</c:v>
                </c:pt>
                <c:pt idx="172">
                  <c:v>25.921857015714284</c:v>
                </c:pt>
                <c:pt idx="173">
                  <c:v>22.190428595714284</c:v>
                </c:pt>
                <c:pt idx="174">
                  <c:v>20.991285870000006</c:v>
                </c:pt>
                <c:pt idx="175">
                  <c:v>23.085714070000002</c:v>
                </c:pt>
                <c:pt idx="176">
                  <c:v>17.858285902857144</c:v>
                </c:pt>
                <c:pt idx="177">
                  <c:v>15.324571202857143</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'13.Caudales'!$X$4:$X$185</c:f>
              <c:numCache>
                <c:formatCode>0.0</c:formatCode>
                <c:ptCount val="182"/>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pt idx="139">
                  <c:v>31.20428571428571</c:v>
                </c:pt>
                <c:pt idx="140">
                  <c:v>29.614285605714283</c:v>
                </c:pt>
                <c:pt idx="141">
                  <c:v>30.912857054285716</c:v>
                </c:pt>
                <c:pt idx="142">
                  <c:v>37.200000000000003</c:v>
                </c:pt>
                <c:pt idx="143">
                  <c:v>42.197143011428572</c:v>
                </c:pt>
                <c:pt idx="144">
                  <c:v>49.475714547293492</c:v>
                </c:pt>
                <c:pt idx="145">
                  <c:v>72.350713457379968</c:v>
                </c:pt>
                <c:pt idx="146">
                  <c:v>82.484284537179079</c:v>
                </c:pt>
                <c:pt idx="147">
                  <c:v>110.40928649571428</c:v>
                </c:pt>
                <c:pt idx="148">
                  <c:v>114.14357212285714</c:v>
                </c:pt>
                <c:pt idx="149">
                  <c:v>93.457142857142841</c:v>
                </c:pt>
                <c:pt idx="150">
                  <c:v>104.10500007571429</c:v>
                </c:pt>
                <c:pt idx="151">
                  <c:v>91.569999695714287</c:v>
                </c:pt>
                <c:pt idx="152">
                  <c:v>62.974285714285706</c:v>
                </c:pt>
                <c:pt idx="153">
                  <c:v>52.244286674285718</c:v>
                </c:pt>
                <c:pt idx="154">
                  <c:v>86.528571428571439</c:v>
                </c:pt>
                <c:pt idx="155">
                  <c:v>103.53357153142858</c:v>
                </c:pt>
                <c:pt idx="156">
                  <c:v>121.75642612857142</c:v>
                </c:pt>
                <c:pt idx="157">
                  <c:v>180.32999965714288</c:v>
                </c:pt>
                <c:pt idx="158">
                  <c:v>167.22</c:v>
                </c:pt>
                <c:pt idx="159">
                  <c:v>185.51500375714286</c:v>
                </c:pt>
                <c:pt idx="160">
                  <c:v>199.03571430000002</c:v>
                </c:pt>
                <c:pt idx="161">
                  <c:v>338.89857142857142</c:v>
                </c:pt>
                <c:pt idx="162">
                  <c:v>288.0957205571429</c:v>
                </c:pt>
                <c:pt idx="163">
                  <c:v>411.75142995714288</c:v>
                </c:pt>
                <c:pt idx="164">
                  <c:v>249.46285358571427</c:v>
                </c:pt>
                <c:pt idx="165">
                  <c:v>225.10000174285716</c:v>
                </c:pt>
                <c:pt idx="166">
                  <c:v>217.45642525809117</c:v>
                </c:pt>
                <c:pt idx="167">
                  <c:v>327.82142857142861</c:v>
                </c:pt>
                <c:pt idx="168">
                  <c:v>339.04356602857143</c:v>
                </c:pt>
                <c:pt idx="169">
                  <c:v>250.08571298571431</c:v>
                </c:pt>
                <c:pt idx="170">
                  <c:v>148.48785617142858</c:v>
                </c:pt>
                <c:pt idx="171">
                  <c:v>105.47928511571429</c:v>
                </c:pt>
                <c:pt idx="172">
                  <c:v>103.81928579571429</c:v>
                </c:pt>
                <c:pt idx="173">
                  <c:v>91.532855442857141</c:v>
                </c:pt>
                <c:pt idx="174">
                  <c:v>82.45500183</c:v>
                </c:pt>
                <c:pt idx="175">
                  <c:v>76.857142859999996</c:v>
                </c:pt>
                <c:pt idx="176">
                  <c:v>58.057856968571436</c:v>
                </c:pt>
                <c:pt idx="177">
                  <c:v>51.520714895714285</c:v>
                </c:pt>
                <c:pt idx="178">
                  <c:v>46.520714351428573</c:v>
                </c:pt>
                <c:pt idx="179">
                  <c:v>42.473571777142858</c:v>
                </c:pt>
                <c:pt idx="180">
                  <c:v>43.729285104285715</c:v>
                </c:pt>
                <c:pt idx="181">
                  <c:v>44.616428919999997</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559717214603686"/>
              <c:y val="0.94483341230349494"/>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8.2754473182720611E-2"/>
          <c:y val="0.15941259689301596"/>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CAJAMARCA 220</c:v>
                </c:pt>
                <c:pt idx="3">
                  <c:v>TRUJILLO 220</c:v>
                </c:pt>
                <c:pt idx="4">
                  <c:v>CHIMBOTE1 138</c:v>
                </c:pt>
              </c:strCache>
            </c:strRef>
          </c:cat>
          <c:val>
            <c:numRef>
              <c:f>'14. CMg'!$C$9:$G$9</c:f>
              <c:numCache>
                <c:formatCode>0.00</c:formatCode>
                <c:ptCount val="5"/>
                <c:pt idx="0">
                  <c:v>9.5543781556062086</c:v>
                </c:pt>
                <c:pt idx="1">
                  <c:v>9.5088161970195912</c:v>
                </c:pt>
                <c:pt idx="2">
                  <c:v>9.411081274907156</c:v>
                </c:pt>
                <c:pt idx="3">
                  <c:v>9.3994023433805953</c:v>
                </c:pt>
                <c:pt idx="4">
                  <c:v>9.345472108662598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INDEPENDENCIA 220</c:v>
                </c:pt>
                <c:pt idx="1">
                  <c:v>CHAVARRIA 220</c:v>
                </c:pt>
                <c:pt idx="2">
                  <c:v>SANTA ROSA 220</c:v>
                </c:pt>
                <c:pt idx="3">
                  <c:v>CARABAYLLO 220</c:v>
                </c:pt>
                <c:pt idx="4">
                  <c:v>SAN JUAN 220</c:v>
                </c:pt>
                <c:pt idx="5">
                  <c:v>POMACOCHA 220</c:v>
                </c:pt>
                <c:pt idx="6">
                  <c:v>OROYA NUEVA 50</c:v>
                </c:pt>
              </c:strCache>
            </c:strRef>
          </c:cat>
          <c:val>
            <c:numRef>
              <c:f>'14. CMg'!$C$27:$I$27</c:f>
              <c:numCache>
                <c:formatCode>0.00</c:formatCode>
                <c:ptCount val="7"/>
                <c:pt idx="0">
                  <c:v>9.1087240716818716</c:v>
                </c:pt>
                <c:pt idx="1">
                  <c:v>9.0709228271698699</c:v>
                </c:pt>
                <c:pt idx="2">
                  <c:v>9.0572105658983162</c:v>
                </c:pt>
                <c:pt idx="3">
                  <c:v>9.0447943813322933</c:v>
                </c:pt>
                <c:pt idx="4">
                  <c:v>8.9935272629601677</c:v>
                </c:pt>
                <c:pt idx="5">
                  <c:v>8.9100826688618309</c:v>
                </c:pt>
                <c:pt idx="6">
                  <c:v>8.7964804692249459</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SAN GABAN 138</c:v>
                </c:pt>
                <c:pt idx="6">
                  <c:v>COTARUSE 220</c:v>
                </c:pt>
              </c:strCache>
            </c:strRef>
          </c:cat>
          <c:val>
            <c:numRef>
              <c:f>'14. CMg'!$C$46:$I$46</c:f>
              <c:numCache>
                <c:formatCode>0.00</c:formatCode>
                <c:ptCount val="7"/>
                <c:pt idx="0">
                  <c:v>10.016613418608593</c:v>
                </c:pt>
                <c:pt idx="1">
                  <c:v>9.7961594353681374</c:v>
                </c:pt>
                <c:pt idx="2">
                  <c:v>9.6731703548210017</c:v>
                </c:pt>
                <c:pt idx="3">
                  <c:v>9.6577584268406227</c:v>
                </c:pt>
                <c:pt idx="4">
                  <c:v>9.4984551424772423</c:v>
                </c:pt>
                <c:pt idx="5">
                  <c:v>9.3243550219520159</c:v>
                </c:pt>
                <c:pt idx="6">
                  <c:v>9.3158082022543152</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JUNIO
 2017</c:v>
                </c:pt>
              </c:strCache>
            </c:strRef>
          </c:tx>
          <c:spPr>
            <a:solidFill>
              <a:schemeClr val="accent6"/>
            </a:solidFill>
          </c:spPr>
          <c:invertIfNegative val="0"/>
          <c:cat>
            <c:strRef>
              <c:f>'16. Congestiones'!$C$7:$C$14</c:f>
              <c:strCache>
                <c:ptCount val="8"/>
                <c:pt idx="0">
                  <c:v>SAN JUAN - LOS INDUSTRIALES</c:v>
                </c:pt>
                <c:pt idx="1">
                  <c:v>SANTA ROSA N. - CHAVARRÍA</c:v>
                </c:pt>
                <c:pt idx="2">
                  <c:v>TINGO MARÍA - AUCAYACU</c:v>
                </c:pt>
                <c:pt idx="3">
                  <c:v>POMACOCHA - SAN JUAN</c:v>
                </c:pt>
                <c:pt idx="4">
                  <c:v>PARAGSHA II - CONOCOCHA</c:v>
                </c:pt>
                <c:pt idx="5">
                  <c:v>MARCONA</c:v>
                </c:pt>
                <c:pt idx="6">
                  <c:v>ENLACE CENTRO - SUR</c:v>
                </c:pt>
                <c:pt idx="7">
                  <c:v>MACHUPICCHU - QUENCORO</c:v>
                </c:pt>
              </c:strCache>
            </c:strRef>
          </c:cat>
          <c:val>
            <c:numRef>
              <c:f>'16. Congestiones'!$F$7:$F$14</c:f>
              <c:numCache>
                <c:formatCode>#,##0.00</c:formatCode>
                <c:ptCount val="8"/>
                <c:pt idx="0">
                  <c:v>27.316666666666663</c:v>
                </c:pt>
                <c:pt idx="3">
                  <c:v>13.733333333333333</c:v>
                </c:pt>
                <c:pt idx="6">
                  <c:v>689.33333333333326</c:v>
                </c:pt>
                <c:pt idx="7">
                  <c:v>9.6999999999999993</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JUNIO
 2018</c:v>
                </c:pt>
              </c:strCache>
            </c:strRef>
          </c:tx>
          <c:invertIfNegative val="0"/>
          <c:cat>
            <c:strRef>
              <c:f>'16. Congestiones'!$C$7:$C$14</c:f>
              <c:strCache>
                <c:ptCount val="8"/>
                <c:pt idx="0">
                  <c:v>SAN JUAN - LOS INDUSTRIALES</c:v>
                </c:pt>
                <c:pt idx="1">
                  <c:v>SANTA ROSA N. - CHAVARRÍA</c:v>
                </c:pt>
                <c:pt idx="2">
                  <c:v>TINGO MARÍA - AUCAYACU</c:v>
                </c:pt>
                <c:pt idx="3">
                  <c:v>POMACOCHA - SAN JUAN</c:v>
                </c:pt>
                <c:pt idx="4">
                  <c:v>PARAGSHA II - CONOCOCHA</c:v>
                </c:pt>
                <c:pt idx="5">
                  <c:v>MARCONA</c:v>
                </c:pt>
                <c:pt idx="6">
                  <c:v>ENLACE CENTRO - SUR</c:v>
                </c:pt>
                <c:pt idx="7">
                  <c:v>MACHUPICCHU - QUENCORO</c:v>
                </c:pt>
              </c:strCache>
            </c:strRef>
          </c:cat>
          <c:val>
            <c:numRef>
              <c:f>'16. Congestiones'!$E$7:$E$14</c:f>
              <c:numCache>
                <c:formatCode>#,##0.00</c:formatCode>
                <c:ptCount val="8"/>
                <c:pt idx="1">
                  <c:v>4.7833333333333323</c:v>
                </c:pt>
                <c:pt idx="2">
                  <c:v>3.5333333333333341</c:v>
                </c:pt>
                <c:pt idx="4">
                  <c:v>4.033333333333335</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JUNIO
 2019</c:v>
                </c:pt>
              </c:strCache>
            </c:strRef>
          </c:tx>
          <c:invertIfNegative val="0"/>
          <c:cat>
            <c:strRef>
              <c:f>'16. Congestiones'!$C$7:$C$14</c:f>
              <c:strCache>
                <c:ptCount val="8"/>
                <c:pt idx="0">
                  <c:v>SAN JUAN - LOS INDUSTRIALES</c:v>
                </c:pt>
                <c:pt idx="1">
                  <c:v>SANTA ROSA N. - CHAVARRÍA</c:v>
                </c:pt>
                <c:pt idx="2">
                  <c:v>TINGO MARÍA - AUCAYACU</c:v>
                </c:pt>
                <c:pt idx="3">
                  <c:v>POMACOCHA - SAN JUAN</c:v>
                </c:pt>
                <c:pt idx="4">
                  <c:v>PARAGSHA II - CONOCOCHA</c:v>
                </c:pt>
                <c:pt idx="5">
                  <c:v>MARCONA</c:v>
                </c:pt>
                <c:pt idx="6">
                  <c:v>ENLACE CENTRO - SUR</c:v>
                </c:pt>
                <c:pt idx="7">
                  <c:v>MACHUPICCHU - QUENCORO</c:v>
                </c:pt>
              </c:strCache>
            </c:strRef>
          </c:cat>
          <c:val>
            <c:numRef>
              <c:f>'16. Congestiones'!$D$7:$D$14</c:f>
              <c:numCache>
                <c:formatCode>#,##0.00</c:formatCode>
                <c:ptCount val="8"/>
                <c:pt idx="5">
                  <c:v>3.5833333333333326</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1310888375246739"/>
          <c:y val="1.7496948728826747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10532127234892"/>
          <c:y val="0.13543598832398554"/>
          <c:w val="0.57525123234360975"/>
          <c:h val="0.80570103107869762"/>
        </c:manualLayout>
      </c:layout>
      <c:pieChart>
        <c:varyColors val="1"/>
        <c:ser>
          <c:idx val="0"/>
          <c:order val="0"/>
          <c:explosion val="6"/>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6.3915157093541869E-2"/>
                  <c:y val="3.7736056758199722E-2"/>
                </c:manualLayout>
              </c:layout>
              <c:numFmt formatCode="General" sourceLinked="0"/>
              <c:spPr/>
              <c:txPr>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7.6318054295230642E-2"/>
                  <c:y val="-1.4628959965067362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0.1152826782388327"/>
                  <c:y val="7.9779295072553116E-2"/>
                </c:manualLayout>
              </c:layout>
              <c:numFmt formatCode="General" sourceLinked="0"/>
              <c:spPr/>
              <c:txPr>
                <a:bodyPr/>
                <a:lstStyle/>
                <a:p>
                  <a:pPr>
                    <a:defRPr sz="6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5934661289"/>
                      <c:h val="0.112946267216342"/>
                    </c:manualLayout>
                  </c15:layout>
                </c:ext>
                <c:ext xmlns:c16="http://schemas.microsoft.com/office/drawing/2014/chart" uri="{C3380CC4-5D6E-409C-BE32-E72D297353CC}">
                  <c16:uniqueId val="{00000004-E0CC-4AD3-904F-2124A98CD904}"/>
                </c:ext>
              </c:extLst>
            </c:dLbl>
            <c:dLbl>
              <c:idx val="3"/>
              <c:layout>
                <c:manualLayout>
                  <c:x val="-4.0264239215880106E-2"/>
                  <c:y val="0.16892976594764875"/>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9.3342407672713623E-2"/>
                  <c:y val="-0.18564890496083838"/>
                </c:manualLayout>
              </c:layout>
              <c:numFmt formatCode="General" sourceLinked="0"/>
              <c:spPr>
                <a:noFill/>
                <a:ln>
                  <a:noFill/>
                </a:ln>
                <a:effectLst/>
              </c:spPr>
              <c:txPr>
                <a:bodyPr wrap="square" lIns="38100" tIns="19050" rIns="38100" bIns="19050" anchor="ctr">
                  <a:noAutofit/>
                </a:bodyPr>
                <a:lstStyle/>
                <a:p>
                  <a:pPr>
                    <a:defRPr sz="700" b="1">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825887088177094"/>
                      <c:h val="0.13624692458843149"/>
                    </c:manualLayout>
                  </c15:layout>
                </c:ext>
                <c:ext xmlns:c16="http://schemas.microsoft.com/office/drawing/2014/chart" uri="{C3380CC4-5D6E-409C-BE32-E72D297353CC}">
                  <c16:uniqueId val="{00000006-E0CC-4AD3-904F-2124A98CD904}"/>
                </c:ext>
              </c:extLst>
            </c:dLbl>
            <c:dLbl>
              <c:idx val="5"/>
              <c:layout>
                <c:manualLayout>
                  <c:x val="-0.3471992185841084"/>
                  <c:y val="0.69970429264157896"/>
                </c:manualLayout>
              </c:layout>
              <c:numFmt formatCode="General" sourceLinked="0"/>
              <c:spPr/>
              <c:txPr>
                <a:bodyPr/>
                <a:lstStyle/>
                <a:p>
                  <a:pPr>
                    <a:defRPr sz="6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0.32511399259665646"/>
                  <c:y val="0.69337068777302591"/>
                </c:manualLayout>
              </c:layout>
              <c:numFmt formatCode="General" sourceLinked="0"/>
              <c:spPr/>
              <c:txPr>
                <a:bodyPr/>
                <a:lstStyle/>
                <a:p>
                  <a:pPr>
                    <a:defRPr sz="600" b="1">
                      <a:solidFill>
                        <a:schemeClr val="bg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b="1">
                    <a:solidFill>
                      <a:schemeClr val="tx1"/>
                    </a:solidFill>
                  </a:defRPr>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3</c:v>
                </c:pt>
                <c:pt idx="1">
                  <c:v>3</c:v>
                </c:pt>
                <c:pt idx="2">
                  <c:v>1</c:v>
                </c:pt>
                <c:pt idx="3">
                  <c:v>0</c:v>
                </c:pt>
                <c:pt idx="4">
                  <c:v>16</c:v>
                </c:pt>
                <c:pt idx="5">
                  <c:v>1</c:v>
                </c:pt>
                <c:pt idx="6">
                  <c:v>0</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Eventos'!$A$7:$A$12</c:f>
              <c:strCache>
                <c:ptCount val="6"/>
                <c:pt idx="0">
                  <c:v>BARRA</c:v>
                </c:pt>
                <c:pt idx="1">
                  <c:v>CELDA</c:v>
                </c:pt>
                <c:pt idx="2">
                  <c:v>CENTRAL TERMOELÉCTRICA</c:v>
                </c:pt>
                <c:pt idx="3">
                  <c:v>LINEA DE TRANSMISION</c:v>
                </c:pt>
                <c:pt idx="4">
                  <c:v>TRANSFORMADOR 2D</c:v>
                </c:pt>
                <c:pt idx="5">
                  <c:v>TRANSFORMADOR 3D</c:v>
                </c:pt>
              </c:strCache>
            </c:strRef>
          </c:cat>
          <c:val>
            <c:numRef>
              <c:f>'17. Eventos'!$J$7:$J$12</c:f>
              <c:numCache>
                <c:formatCode>#,##0.00</c:formatCode>
                <c:ptCount val="6"/>
                <c:pt idx="0">
                  <c:v>0.28999999999999998</c:v>
                </c:pt>
                <c:pt idx="1">
                  <c:v>0.05</c:v>
                </c:pt>
                <c:pt idx="2">
                  <c:v>2.29</c:v>
                </c:pt>
                <c:pt idx="3">
                  <c:v>118.19000000000001</c:v>
                </c:pt>
                <c:pt idx="4">
                  <c:v>12.690000000000001</c:v>
                </c:pt>
                <c:pt idx="5">
                  <c:v>7.24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generación'!$B$37:$C$37</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generación'!$D$36:$E$36</c:f>
              <c:strCache>
                <c:ptCount val="2"/>
                <c:pt idx="0">
                  <c:v>JUNIO 2019</c:v>
                </c:pt>
                <c:pt idx="1">
                  <c:v>JUNIO 2018</c:v>
                </c:pt>
              </c:strCache>
            </c:strRef>
          </c:cat>
          <c:val>
            <c:numRef>
              <c:f>'2. Oferta de generación'!$D$37:$E$37</c:f>
              <c:numCache>
                <c:formatCode>#,##0.0</c:formatCode>
                <c:ptCount val="2"/>
                <c:pt idx="0">
                  <c:v>5122.3492474999994</c:v>
                </c:pt>
                <c:pt idx="1">
                  <c:v>4904.5012475000012</c:v>
                </c:pt>
              </c:numCache>
            </c:numRef>
          </c:val>
          <c:extLst>
            <c:ext xmlns:c16="http://schemas.microsoft.com/office/drawing/2014/chart" uri="{C3380CC4-5D6E-409C-BE32-E72D297353CC}">
              <c16:uniqueId val="{00000004-54B0-402D-913D-0304413B844F}"/>
            </c:ext>
          </c:extLst>
        </c:ser>
        <c:ser>
          <c:idx val="1"/>
          <c:order val="1"/>
          <c:tx>
            <c:strRef>
              <c:f>'2. Oferta de generación'!$B$38:$C$38</c:f>
              <c:strCache>
                <c:ptCount val="2"/>
                <c:pt idx="0">
                  <c:v>TERMOELÉCTRICA</c:v>
                </c:pt>
              </c:strCache>
            </c:strRef>
          </c:tx>
          <c:spPr>
            <a:solidFill>
              <a:schemeClr val="accent2"/>
            </a:solidFill>
          </c:spPr>
          <c:invertIfNegative val="0"/>
          <c:cat>
            <c:strRef>
              <c:f>'2. Oferta de generación'!$D$36:$E$36</c:f>
              <c:strCache>
                <c:ptCount val="2"/>
                <c:pt idx="0">
                  <c:v>JUNIO 2019</c:v>
                </c:pt>
                <c:pt idx="1">
                  <c:v>JUNIO 2018</c:v>
                </c:pt>
              </c:strCache>
            </c:strRef>
          </c:cat>
          <c:val>
            <c:numRef>
              <c:f>'2. Oferta de generación'!$D$38:$E$38</c:f>
              <c:numCache>
                <c:formatCode>#,##0.0</c:formatCode>
                <c:ptCount val="2"/>
                <c:pt idx="0">
                  <c:v>7417.6745000000001</c:v>
                </c:pt>
                <c:pt idx="1">
                  <c:v>7393.5644999999995</c:v>
                </c:pt>
              </c:numCache>
            </c:numRef>
          </c:val>
          <c:extLst>
            <c:ext xmlns:c16="http://schemas.microsoft.com/office/drawing/2014/chart" uri="{C3380CC4-5D6E-409C-BE32-E72D297353CC}">
              <c16:uniqueId val="{00000005-54B0-402D-913D-0304413B844F}"/>
            </c:ext>
          </c:extLst>
        </c:ser>
        <c:ser>
          <c:idx val="2"/>
          <c:order val="2"/>
          <c:tx>
            <c:strRef>
              <c:f>'2. Oferta de generación'!$B$39:$C$39</c:f>
              <c:strCache>
                <c:ptCount val="2"/>
                <c:pt idx="0">
                  <c:v>EÓLICA</c:v>
                </c:pt>
              </c:strCache>
            </c:strRef>
          </c:tx>
          <c:spPr>
            <a:solidFill>
              <a:srgbClr val="6DA6D9"/>
            </a:solidFill>
          </c:spPr>
          <c:invertIfNegative val="0"/>
          <c:cat>
            <c:strRef>
              <c:f>'2. Oferta de generación'!$D$36:$E$36</c:f>
              <c:strCache>
                <c:ptCount val="2"/>
                <c:pt idx="0">
                  <c:v>JUNIO 2019</c:v>
                </c:pt>
                <c:pt idx="1">
                  <c:v>JUNIO 2018</c:v>
                </c:pt>
              </c:strCache>
            </c:strRef>
          </c:cat>
          <c:val>
            <c:numRef>
              <c:f>'2. Oferta de generación'!$D$39:$E$39</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generación'!$B$40:$C$40</c:f>
              <c:strCache>
                <c:ptCount val="2"/>
                <c:pt idx="0">
                  <c:v>SOLAR</c:v>
                </c:pt>
              </c:strCache>
            </c:strRef>
          </c:tx>
          <c:invertIfNegative val="0"/>
          <c:cat>
            <c:strRef>
              <c:f>'2. Oferta de generación'!$D$36:$E$36</c:f>
              <c:strCache>
                <c:ptCount val="2"/>
                <c:pt idx="0">
                  <c:v>JUNIO 2019</c:v>
                </c:pt>
                <c:pt idx="1">
                  <c:v>JUNIO 2018</c:v>
                </c:pt>
              </c:strCache>
            </c:strRef>
          </c:cat>
          <c:val>
            <c:numRef>
              <c:f>'2. Oferta de generación'!$D$40:$E$40</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74679285824352"/>
          <c:y val="0.20370370370370369"/>
          <c:w val="0.88274307198113822"/>
          <c:h val="0.4081784423871655"/>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0">
                  <c:v>BARRA</c:v>
                </c:pt>
                <c:pt idx="1">
                  <c:v>CELDA</c:v>
                </c:pt>
                <c:pt idx="2">
                  <c:v>CENTRAL TERMOELÉCTRICA</c:v>
                </c:pt>
                <c:pt idx="3">
                  <c:v>LINEA DE TRANSMISION</c:v>
                </c:pt>
                <c:pt idx="4">
                  <c:v>TRANSFORMADOR 2D</c:v>
                </c:pt>
                <c:pt idx="5">
                  <c:v>TRANSFORMADOR 3D</c:v>
                </c:pt>
              </c:strCache>
            </c:strRef>
          </c:cat>
          <c:val>
            <c:numRef>
              <c:f>'17. Eventos'!$B$7:$B$12</c:f>
              <c:numCache>
                <c:formatCode>General</c:formatCode>
                <c:ptCount val="6"/>
                <c:pt idx="3">
                  <c:v>3</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0">
                  <c:v>BARRA</c:v>
                </c:pt>
                <c:pt idx="1">
                  <c:v>CELDA</c:v>
                </c:pt>
                <c:pt idx="2">
                  <c:v>CENTRAL TERMOELÉCTRICA</c:v>
                </c:pt>
                <c:pt idx="3">
                  <c:v>LINEA DE TRANSMISION</c:v>
                </c:pt>
                <c:pt idx="4">
                  <c:v>TRANSFORMADOR 2D</c:v>
                </c:pt>
                <c:pt idx="5">
                  <c:v>TRANSFORMADOR 3D</c:v>
                </c:pt>
              </c:strCache>
            </c:strRef>
          </c:cat>
          <c:val>
            <c:numRef>
              <c:f>'17. Eventos'!$C$7:$C$12</c:f>
              <c:numCache>
                <c:formatCode>General</c:formatCode>
                <c:ptCount val="6"/>
                <c:pt idx="1">
                  <c:v>1</c:v>
                </c:pt>
                <c:pt idx="3">
                  <c:v>2</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0">
                  <c:v>BARRA</c:v>
                </c:pt>
                <c:pt idx="1">
                  <c:v>CELDA</c:v>
                </c:pt>
                <c:pt idx="2">
                  <c:v>CENTRAL TERMOELÉCTRICA</c:v>
                </c:pt>
                <c:pt idx="3">
                  <c:v>LINEA DE TRANSMISION</c:v>
                </c:pt>
                <c:pt idx="4">
                  <c:v>TRANSFORMADOR 2D</c:v>
                </c:pt>
                <c:pt idx="5">
                  <c:v>TRANSFORMADOR 3D</c:v>
                </c:pt>
              </c:strCache>
            </c:strRef>
          </c:cat>
          <c:val>
            <c:numRef>
              <c:f>'17. Eventos'!$D$7:$D$12</c:f>
              <c:numCache>
                <c:formatCode>General</c:formatCode>
                <c:ptCount val="6"/>
                <c:pt idx="0">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0">
                  <c:v>BARRA</c:v>
                </c:pt>
                <c:pt idx="1">
                  <c:v>CELDA</c:v>
                </c:pt>
                <c:pt idx="2">
                  <c:v>CENTRAL TERMOELÉCTRICA</c:v>
                </c:pt>
                <c:pt idx="3">
                  <c:v>LINEA DE TRANSMISION</c:v>
                </c:pt>
                <c:pt idx="4">
                  <c:v>TRANSFORMADOR 2D</c:v>
                </c:pt>
                <c:pt idx="5">
                  <c:v>TRANSFORMADOR 3D</c:v>
                </c:pt>
              </c:strCache>
            </c:strRef>
          </c:cat>
          <c:val>
            <c:numRef>
              <c:f>'17. Eventos'!$E$7:$E$12</c:f>
              <c:numCache>
                <c:formatCode>General</c:formatCode>
                <c:ptCount val="6"/>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Eventos'!$A$7:$A$12</c:f>
              <c:strCache>
                <c:ptCount val="6"/>
                <c:pt idx="0">
                  <c:v>BARRA</c:v>
                </c:pt>
                <c:pt idx="1">
                  <c:v>CELDA</c:v>
                </c:pt>
                <c:pt idx="2">
                  <c:v>CENTRAL TERMOELÉCTRICA</c:v>
                </c:pt>
                <c:pt idx="3">
                  <c:v>LINEA DE TRANSMISION</c:v>
                </c:pt>
                <c:pt idx="4">
                  <c:v>TRANSFORMADOR 2D</c:v>
                </c:pt>
                <c:pt idx="5">
                  <c:v>TRANSFORMADOR 3D</c:v>
                </c:pt>
              </c:strCache>
            </c:strRef>
          </c:cat>
          <c:val>
            <c:numRef>
              <c:f>'17. Eventos'!$F$7:$F$12</c:f>
              <c:numCache>
                <c:formatCode>General</c:formatCode>
                <c:ptCount val="6"/>
                <c:pt idx="2">
                  <c:v>3</c:v>
                </c:pt>
                <c:pt idx="3">
                  <c:v>9</c:v>
                </c:pt>
                <c:pt idx="4">
                  <c:v>2</c:v>
                </c:pt>
                <c:pt idx="5">
                  <c:v>2</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0">
                  <c:v>BARRA</c:v>
                </c:pt>
                <c:pt idx="1">
                  <c:v>CELDA</c:v>
                </c:pt>
                <c:pt idx="2">
                  <c:v>CENTRAL TERMOELÉCTRICA</c:v>
                </c:pt>
                <c:pt idx="3">
                  <c:v>LINEA DE TRANSMISION</c:v>
                </c:pt>
                <c:pt idx="4">
                  <c:v>TRANSFORMADOR 2D</c:v>
                </c:pt>
                <c:pt idx="5">
                  <c:v>TRANSFORMADOR 3D</c:v>
                </c:pt>
              </c:strCache>
            </c:strRef>
          </c:cat>
          <c:val>
            <c:numRef>
              <c:f>'17. Eventos'!$G$7:$G$12</c:f>
              <c:numCache>
                <c:formatCode>General</c:formatCode>
                <c:ptCount val="6"/>
                <c:pt idx="3">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0">
                  <c:v>BARRA</c:v>
                </c:pt>
                <c:pt idx="1">
                  <c:v>CELDA</c:v>
                </c:pt>
                <c:pt idx="2">
                  <c:v>CENTRAL TERMOELÉCTRICA</c:v>
                </c:pt>
                <c:pt idx="3">
                  <c:v>LINEA DE TRANSMISION</c:v>
                </c:pt>
                <c:pt idx="4">
                  <c:v>TRANSFORMADOR 2D</c:v>
                </c:pt>
                <c:pt idx="5">
                  <c:v>TRANSFORMADOR 3D</c:v>
                </c:pt>
              </c:strCache>
            </c:strRef>
          </c:cat>
          <c:val>
            <c:numRef>
              <c:f>'17. Eventos'!$H$7:$H$12</c:f>
              <c:numCache>
                <c:formatCode>General</c:formatCode>
                <c:ptCount val="6"/>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150"/>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generación'!$L$17:$L$21</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generación'!$L$17:$L$21</c:f>
              <c:strCache>
                <c:ptCount val="5"/>
                <c:pt idx="0">
                  <c:v>Central Solar</c:v>
                </c:pt>
                <c:pt idx="1">
                  <c:v>Central Hidroeléctrica</c:v>
                </c:pt>
                <c:pt idx="2">
                  <c:v>Turbina de Vapor</c:v>
                </c:pt>
                <c:pt idx="3">
                  <c:v>Central Eólica</c:v>
                </c:pt>
                <c:pt idx="4">
                  <c:v>Central a Biogás</c:v>
                </c:pt>
              </c:strCache>
            </c:strRef>
          </c:cat>
          <c:val>
            <c:numRef>
              <c:f>'2. Oferta de generación'!$M$17:$M$21</c:f>
              <c:numCache>
                <c:formatCode>#,##0.00</c:formatCode>
                <c:ptCount val="5"/>
                <c:pt idx="1">
                  <c:v>131.69999999999999</c:v>
                </c:pt>
                <c:pt idx="2">
                  <c:v>7.48</c:v>
                </c:pt>
                <c:pt idx="3" formatCode="General">
                  <c:v>0</c:v>
                </c:pt>
                <c:pt idx="4" formatCode="General">
                  <c:v>0</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2017</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15387.938461877231</c:v>
                </c:pt>
                <c:pt idx="1">
                  <c:v>8462.2872637061064</c:v>
                </c:pt>
                <c:pt idx="2">
                  <c:v>459.83840211906772</c:v>
                </c:pt>
                <c:pt idx="3">
                  <c:v>105.26838385322201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2018</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16327.994869525002</c:v>
                </c:pt>
                <c:pt idx="1">
                  <c:v>7804.0830211675002</c:v>
                </c:pt>
                <c:pt idx="2">
                  <c:v>658.58462278000013</c:v>
                </c:pt>
                <c:pt idx="3">
                  <c:v>330.79512248999998</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2019</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16593.078632462508</c:v>
                </c:pt>
                <c:pt idx="1">
                  <c:v>8618.5820859150026</c:v>
                </c:pt>
                <c:pt idx="2">
                  <c:v>795.12044744499997</c:v>
                </c:pt>
                <c:pt idx="3">
                  <c:v>341.36199789999995</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2019</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16593.078632462508</c:v>
                </c:pt>
                <c:pt idx="1">
                  <c:v>7996.0885491945328</c:v>
                </c:pt>
                <c:pt idx="2">
                  <c:v>250.84280231499991</c:v>
                </c:pt>
                <c:pt idx="3">
                  <c:v>107.077483865</c:v>
                </c:pt>
                <c:pt idx="4">
                  <c:v>0</c:v>
                </c:pt>
                <c:pt idx="5">
                  <c:v>18.283256609999999</c:v>
                </c:pt>
                <c:pt idx="6">
                  <c:v>41.949142722499985</c:v>
                </c:pt>
                <c:pt idx="7">
                  <c:v>8.9529357500000004E-2</c:v>
                </c:pt>
                <c:pt idx="8">
                  <c:v>96.16921034546877</c:v>
                </c:pt>
                <c:pt idx="9">
                  <c:v>76.464057187500003</c:v>
                </c:pt>
                <c:pt idx="10">
                  <c:v>31.618054317499997</c:v>
                </c:pt>
                <c:pt idx="11">
                  <c:v>341.36199789999995</c:v>
                </c:pt>
                <c:pt idx="12">
                  <c:v>795.12044744499997</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2018</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16327.994869525002</c:v>
                </c:pt>
                <c:pt idx="1">
                  <c:v>7316.9316987624998</c:v>
                </c:pt>
                <c:pt idx="2">
                  <c:v>220.17485597750002</c:v>
                </c:pt>
                <c:pt idx="3">
                  <c:v>113.07860665000001</c:v>
                </c:pt>
                <c:pt idx="4">
                  <c:v>0</c:v>
                </c:pt>
                <c:pt idx="5">
                  <c:v>26.9015129625</c:v>
                </c:pt>
                <c:pt idx="6">
                  <c:v>1.8026657475000003</c:v>
                </c:pt>
                <c:pt idx="7">
                  <c:v>1.4230004125</c:v>
                </c:pt>
                <c:pt idx="8">
                  <c:v>58.4930734625</c:v>
                </c:pt>
                <c:pt idx="9">
                  <c:v>42.383671962499996</c:v>
                </c:pt>
                <c:pt idx="10">
                  <c:v>22.89393523</c:v>
                </c:pt>
                <c:pt idx="11">
                  <c:v>330.79512248999998</c:v>
                </c:pt>
                <c:pt idx="12">
                  <c:v>658.58462278000013</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2017</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15387.938461877231</c:v>
                </c:pt>
                <c:pt idx="1">
                  <c:v>7437.7464964669171</c:v>
                </c:pt>
                <c:pt idx="2">
                  <c:v>178.84415006186688</c:v>
                </c:pt>
                <c:pt idx="3">
                  <c:v>41.372165856152698</c:v>
                </c:pt>
                <c:pt idx="4">
                  <c:v>9.7034091828799998</c:v>
                </c:pt>
                <c:pt idx="5">
                  <c:v>370.53524402526688</c:v>
                </c:pt>
                <c:pt idx="6">
                  <c:v>70.548883690095323</c:v>
                </c:pt>
                <c:pt idx="7">
                  <c:v>0.24963529262500003</c:v>
                </c:pt>
                <c:pt idx="8">
                  <c:v>294.33183354479905</c:v>
                </c:pt>
                <c:pt idx="9">
                  <c:v>39.466510054807202</c:v>
                </c:pt>
                <c:pt idx="10">
                  <c:v>19.488935530696626</c:v>
                </c:pt>
                <c:pt idx="11">
                  <c:v>105.26838385322201</c:v>
                </c:pt>
                <c:pt idx="12">
                  <c:v>459.83840211906772</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2017</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613.23662608277527</c:v>
                </c:pt>
                <c:pt idx="1">
                  <c:v>459.83840211906772</c:v>
                </c:pt>
                <c:pt idx="2">
                  <c:v>105.26838385322201</c:v>
                </c:pt>
                <c:pt idx="3">
                  <c:v>39.466510054807202</c:v>
                </c:pt>
                <c:pt idx="4">
                  <c:v>19.488935530696626</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2018</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673.57594439000013</c:v>
                </c:pt>
                <c:pt idx="1">
                  <c:v>658.58462278000013</c:v>
                </c:pt>
                <c:pt idx="2">
                  <c:v>330.79512248999998</c:v>
                </c:pt>
                <c:pt idx="3">
                  <c:v>42.383671962499996</c:v>
                </c:pt>
                <c:pt idx="4">
                  <c:v>22.89393523</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2019</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958.31141548750008</c:v>
                </c:pt>
                <c:pt idx="1">
                  <c:v>795.12044744499997</c:v>
                </c:pt>
                <c:pt idx="2">
                  <c:v>341.36199789999995</c:v>
                </c:pt>
                <c:pt idx="3">
                  <c:v>76.464057187500003</c:v>
                </c:pt>
                <c:pt idx="4">
                  <c:v>31.618054317499997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9893727276433857E-2"/>
                  <c:y val="-2.012856264644826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8,393%</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3929.3581011725</c:v>
                </c:pt>
                <c:pt idx="1">
                  <c:v>137.08940598750004</c:v>
                </c:pt>
                <c:pt idx="2">
                  <c:v>147.78231510000001</c:v>
                </c:pt>
                <c:pt idx="3">
                  <c:v>52.871938625000006</c:v>
                </c:pt>
                <c:pt idx="4">
                  <c:v>17.834231412499999</c:v>
                </c:pt>
                <c:pt idx="5">
                  <c:v>4.4198010925000002</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RER'!$L$6:$L$30</c:f>
              <c:strCache>
                <c:ptCount val="25"/>
                <c:pt idx="0">
                  <c:v>C.H. RENOVANDES H1</c:v>
                </c:pt>
                <c:pt idx="1">
                  <c:v>C.H. YARUCAYA</c:v>
                </c:pt>
                <c:pt idx="2">
                  <c:v>C.H. ZAÑA</c:v>
                </c:pt>
                <c:pt idx="3">
                  <c:v>C.H. CARHUAC</c:v>
                </c:pt>
                <c:pt idx="4">
                  <c:v>C.H. LAS PIZARRAS</c:v>
                </c:pt>
                <c:pt idx="5">
                  <c:v>C.H. CARHUAQUERO IV</c:v>
                </c:pt>
                <c:pt idx="6">
                  <c:v>C.H. POTRERO</c:v>
                </c:pt>
                <c:pt idx="7">
                  <c:v>C.H. ÁNGEL III</c:v>
                </c:pt>
                <c:pt idx="8">
                  <c:v>C.H. ÁNGEL II</c:v>
                </c:pt>
                <c:pt idx="9">
                  <c:v>C.H. LA JOYA</c:v>
                </c:pt>
                <c:pt idx="10">
                  <c:v>C.H. POECHOS II</c:v>
                </c:pt>
                <c:pt idx="11">
                  <c:v>C.H. RUNATULLO III</c:v>
                </c:pt>
                <c:pt idx="12">
                  <c:v>C.H. ÁNGEL I</c:v>
                </c:pt>
                <c:pt idx="13">
                  <c:v>C.H. RUNATULLO II</c:v>
                </c:pt>
                <c:pt idx="14">
                  <c:v>C.H. CAÑA BRAVA</c:v>
                </c:pt>
                <c:pt idx="15">
                  <c:v>C.H. HUASAHUASI II</c:v>
                </c:pt>
                <c:pt idx="16">
                  <c:v>C.H. IMPERIAL</c:v>
                </c:pt>
                <c:pt idx="17">
                  <c:v>C.H. HUASAHUASI I</c:v>
                </c:pt>
                <c:pt idx="18">
                  <c:v>C.H. SANTA CRUZ II</c:v>
                </c:pt>
                <c:pt idx="19">
                  <c:v>C.H. YANAPAMPA</c:v>
                </c:pt>
                <c:pt idx="20">
                  <c:v>C.H. SANTA CRUZ I</c:v>
                </c:pt>
                <c:pt idx="21">
                  <c:v>C.H. RONCADOR</c:v>
                </c:pt>
                <c:pt idx="22">
                  <c:v>C.H. CANCHAYLLO</c:v>
                </c:pt>
                <c:pt idx="23">
                  <c:v>C.H. HER 1</c:v>
                </c:pt>
                <c:pt idx="24">
                  <c:v>C.H. PURMACANA</c:v>
                </c:pt>
              </c:strCache>
            </c:strRef>
          </c:cat>
          <c:val>
            <c:numRef>
              <c:f>'6. FP RER'!$O$6:$O$30</c:f>
              <c:numCache>
                <c:formatCode>0.00</c:formatCode>
                <c:ptCount val="25"/>
                <c:pt idx="0">
                  <c:v>14.4065407175</c:v>
                </c:pt>
                <c:pt idx="1">
                  <c:v>12.1263112175</c:v>
                </c:pt>
                <c:pt idx="2">
                  <c:v>8.2182454450000009</c:v>
                </c:pt>
                <c:pt idx="3">
                  <c:v>8.1348132374999995</c:v>
                </c:pt>
                <c:pt idx="4">
                  <c:v>7.2777289625000003</c:v>
                </c:pt>
                <c:pt idx="5">
                  <c:v>6.0958465474999999</c:v>
                </c:pt>
                <c:pt idx="6">
                  <c:v>5.9306113324999998</c:v>
                </c:pt>
                <c:pt idx="7">
                  <c:v>5.7340693700000003</c:v>
                </c:pt>
                <c:pt idx="8">
                  <c:v>5.6947082025000002</c:v>
                </c:pt>
                <c:pt idx="9">
                  <c:v>5.6798131400000003</c:v>
                </c:pt>
                <c:pt idx="10">
                  <c:v>5.5286384099999992</c:v>
                </c:pt>
                <c:pt idx="11">
                  <c:v>5.3805592100000004</c:v>
                </c:pt>
                <c:pt idx="12">
                  <c:v>4.5843103900000006</c:v>
                </c:pt>
                <c:pt idx="13">
                  <c:v>3.6369585575000003</c:v>
                </c:pt>
                <c:pt idx="14">
                  <c:v>3.1279569275000001</c:v>
                </c:pt>
                <c:pt idx="15">
                  <c:v>2.5327437475000001</c:v>
                </c:pt>
                <c:pt idx="16">
                  <c:v>2.3144</c:v>
                </c:pt>
                <c:pt idx="17">
                  <c:v>2.1812907025000001</c:v>
                </c:pt>
                <c:pt idx="18">
                  <c:v>1.9347021025</c:v>
                </c:pt>
                <c:pt idx="19">
                  <c:v>1.8726233400000001</c:v>
                </c:pt>
                <c:pt idx="20">
                  <c:v>1.6002257824999999</c:v>
                </c:pt>
                <c:pt idx="21">
                  <c:v>1.2968324550000001</c:v>
                </c:pt>
                <c:pt idx="22">
                  <c:v>0.64195259750000011</c:v>
                </c:pt>
                <c:pt idx="23">
                  <c:v>0.28858421249999999</c:v>
                </c:pt>
                <c:pt idx="24">
                  <c:v>0.1493651225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RER'!$L$6:$L$30</c:f>
              <c:strCache>
                <c:ptCount val="25"/>
                <c:pt idx="0">
                  <c:v>C.H. RENOVANDES H1</c:v>
                </c:pt>
                <c:pt idx="1">
                  <c:v>C.H. YARUCAYA</c:v>
                </c:pt>
                <c:pt idx="2">
                  <c:v>C.H. ZAÑA</c:v>
                </c:pt>
                <c:pt idx="3">
                  <c:v>C.H. CARHUAC</c:v>
                </c:pt>
                <c:pt idx="4">
                  <c:v>C.H. LAS PIZARRAS</c:v>
                </c:pt>
                <c:pt idx="5">
                  <c:v>C.H. CARHUAQUERO IV</c:v>
                </c:pt>
                <c:pt idx="6">
                  <c:v>C.H. POTRERO</c:v>
                </c:pt>
                <c:pt idx="7">
                  <c:v>C.H. ÁNGEL III</c:v>
                </c:pt>
                <c:pt idx="8">
                  <c:v>C.H. ÁNGEL II</c:v>
                </c:pt>
                <c:pt idx="9">
                  <c:v>C.H. LA JOYA</c:v>
                </c:pt>
                <c:pt idx="10">
                  <c:v>C.H. POECHOS II</c:v>
                </c:pt>
                <c:pt idx="11">
                  <c:v>C.H. RUNATULLO III</c:v>
                </c:pt>
                <c:pt idx="12">
                  <c:v>C.H. ÁNGEL I</c:v>
                </c:pt>
                <c:pt idx="13">
                  <c:v>C.H. RUNATULLO II</c:v>
                </c:pt>
                <c:pt idx="14">
                  <c:v>C.H. CAÑA BRAVA</c:v>
                </c:pt>
                <c:pt idx="15">
                  <c:v>C.H. HUASAHUASI II</c:v>
                </c:pt>
                <c:pt idx="16">
                  <c:v>C.H. IMPERIAL</c:v>
                </c:pt>
                <c:pt idx="17">
                  <c:v>C.H. HUASAHUASI I</c:v>
                </c:pt>
                <c:pt idx="18">
                  <c:v>C.H. SANTA CRUZ II</c:v>
                </c:pt>
                <c:pt idx="19">
                  <c:v>C.H. YANAPAMPA</c:v>
                </c:pt>
                <c:pt idx="20">
                  <c:v>C.H. SANTA CRUZ I</c:v>
                </c:pt>
                <c:pt idx="21">
                  <c:v>C.H. RONCADOR</c:v>
                </c:pt>
                <c:pt idx="22">
                  <c:v>C.H. CANCHAYLLO</c:v>
                </c:pt>
                <c:pt idx="23">
                  <c:v>C.H. HER 1</c:v>
                </c:pt>
                <c:pt idx="24">
                  <c:v>C.H. PURMACANA</c:v>
                </c:pt>
              </c:strCache>
            </c:strRef>
          </c:cat>
          <c:val>
            <c:numRef>
              <c:f>'6. FP RER'!$P$6:$P$30</c:f>
              <c:numCache>
                <c:formatCode>0.00</c:formatCode>
                <c:ptCount val="25"/>
                <c:pt idx="0">
                  <c:v>1</c:v>
                </c:pt>
                <c:pt idx="1">
                  <c:v>1</c:v>
                </c:pt>
                <c:pt idx="2">
                  <c:v>0.86471437763047154</c:v>
                </c:pt>
                <c:pt idx="3">
                  <c:v>0.56491758593749997</c:v>
                </c:pt>
                <c:pt idx="4">
                  <c:v>0.52646979829480522</c:v>
                </c:pt>
                <c:pt idx="5">
                  <c:v>0.84808710189266201</c:v>
                </c:pt>
                <c:pt idx="6">
                  <c:v>0.41391759718732557</c:v>
                </c:pt>
                <c:pt idx="7">
                  <c:v>0.39503895020392416</c:v>
                </c:pt>
                <c:pt idx="8">
                  <c:v>0.39232722955935845</c:v>
                </c:pt>
                <c:pt idx="9">
                  <c:v>1</c:v>
                </c:pt>
                <c:pt idx="10">
                  <c:v>0.80270379033382111</c:v>
                </c:pt>
                <c:pt idx="11">
                  <c:v>0.37428623173283471</c:v>
                </c:pt>
                <c:pt idx="12">
                  <c:v>0.31582826209766318</c:v>
                </c:pt>
                <c:pt idx="13">
                  <c:v>0.2529839900766821</c:v>
                </c:pt>
                <c:pt idx="14">
                  <c:v>0.76620540062218312</c:v>
                </c:pt>
                <c:pt idx="15">
                  <c:v>0.34413027287277992</c:v>
                </c:pt>
                <c:pt idx="16">
                  <c:v>0.8109092947639871</c:v>
                </c:pt>
                <c:pt idx="17">
                  <c:v>0.30757060102932887</c:v>
                </c:pt>
                <c:pt idx="18">
                  <c:v>0.3619458854353747</c:v>
                </c:pt>
                <c:pt idx="19">
                  <c:v>0.66412826431677563</c:v>
                </c:pt>
                <c:pt idx="20">
                  <c:v>0.31942164544808532</c:v>
                </c:pt>
                <c:pt idx="21">
                  <c:v>0.51757361709770122</c:v>
                </c:pt>
                <c:pt idx="22">
                  <c:v>0.1718251743806343</c:v>
                </c:pt>
                <c:pt idx="23">
                  <c:v>0.57258772321428575</c:v>
                </c:pt>
                <c:pt idx="24">
                  <c:v>0.12103358169648647</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20"/>
        <c:minorUnit val="5"/>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julio  de 2019</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Junio </a:t>
          </a:r>
          <a:r>
            <a:rPr lang="es-PE" sz="2800" b="1">
              <a:solidFill>
                <a:srgbClr val="1F2532"/>
              </a:solidFill>
              <a:effectLst/>
              <a:ea typeface="Calibri" panose="020F0502020204030204" pitchFamily="34" charset="0"/>
              <a:cs typeface="Arial" panose="020B0604020202020204" pitchFamily="34" charset="0"/>
            </a:rPr>
            <a:t>2019</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INFSGI-MES-06-2019</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63</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0</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(9,41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(9,51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(9,35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(9,55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(9,32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(9,4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(9,04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(9,67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(9,32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(9,07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(9,11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(10,02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(8,91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(8,99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(9,06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(9,66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17</xdr:row>
      <xdr:rowOff>124238</xdr:rowOff>
    </xdr:from>
    <xdr:to>
      <xdr:col>7</xdr:col>
      <xdr:colOff>430696</xdr:colOff>
      <xdr:row>51</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359580</xdr:colOff>
      <xdr:row>15</xdr:row>
      <xdr:rowOff>8091</xdr:rowOff>
    </xdr:from>
    <xdr:to>
      <xdr:col>3</xdr:col>
      <xdr:colOff>315872</xdr:colOff>
      <xdr:row>30</xdr:row>
      <xdr:rowOff>65573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299358</xdr:colOff>
      <xdr:row>17</xdr:row>
      <xdr:rowOff>54428</xdr:rowOff>
    </xdr:from>
    <xdr:to>
      <xdr:col>9</xdr:col>
      <xdr:colOff>527957</xdr:colOff>
      <xdr:row>34</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0.02413</cdr:y>
    </cdr:from>
    <cdr:to>
      <cdr:x>0.20733</cdr:x>
      <cdr:y>0.15135</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0" y="48985"/>
          <a:ext cx="769624" cy="258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Edgar</a:t>
          </a:r>
          <a:r>
            <a:rPr lang="es-PE" sz="1200" baseline="0">
              <a:effectLst/>
              <a:latin typeface="Arial" panose="020B0604020202020204" pitchFamily="34" charset="0"/>
              <a:ea typeface="+mn-ea"/>
              <a:cs typeface="Arial" panose="020B0604020202020204" pitchFamily="34" charset="0"/>
            </a:rPr>
            <a:t> Egúsquiza Aranda</a:t>
          </a:r>
          <a:endParaRPr lang="es-PE" sz="120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17</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44</xdr:row>
      <xdr:rowOff>43543</xdr:rowOff>
    </xdr:from>
    <xdr:to>
      <xdr:col>9</xdr:col>
      <xdr:colOff>581525</xdr:colOff>
      <xdr:row>56</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19</xdr:row>
      <xdr:rowOff>70757</xdr:rowOff>
    </xdr:from>
    <xdr:to>
      <xdr:col>8</xdr:col>
      <xdr:colOff>429240</xdr:colOff>
      <xdr:row>29</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102578</xdr:colOff>
      <xdr:row>19</xdr:row>
      <xdr:rowOff>43962</xdr:rowOff>
    </xdr:from>
    <xdr:to>
      <xdr:col>1</xdr:col>
      <xdr:colOff>621076</xdr:colOff>
      <xdr:row>20</xdr:row>
      <xdr:rowOff>77635</xdr:rowOff>
    </xdr:to>
    <xdr:sp macro="" textlink="">
      <xdr:nvSpPr>
        <xdr:cNvPr id="8" name="Rectangle 7">
          <a:extLst>
            <a:ext uri="{FF2B5EF4-FFF2-40B4-BE49-F238E27FC236}">
              <a16:creationId xmlns:a16="http://schemas.microsoft.com/office/drawing/2014/main" id="{8CA9ED44-608B-4038-B248-4A8135E524E8}"/>
            </a:ext>
          </a:extLst>
        </xdr:cNvPr>
        <xdr:cNvSpPr/>
      </xdr:nvSpPr>
      <xdr:spPr>
        <a:xfrm>
          <a:off x="791309" y="2322635"/>
          <a:ext cx="518498" cy="22417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106368</xdr:colOff>
      <xdr:row>36</xdr:row>
      <xdr:rowOff>80597</xdr:rowOff>
    </xdr:from>
    <xdr:to>
      <xdr:col>10</xdr:col>
      <xdr:colOff>377464</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59</xdr:row>
      <xdr:rowOff>87924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7A5"/>
    <pageSetUpPr fitToPage="1"/>
  </sheetPr>
  <dimension ref="I11:I15"/>
  <sheetViews>
    <sheetView showGridLines="0" tabSelected="1" view="pageBreakPreview" zoomScaleNormal="70" zoomScaleSheetLayoutView="100" zoomScalePageLayoutView="85" workbookViewId="0">
      <selection activeCell="C12" sqref="C12"/>
    </sheetView>
  </sheetViews>
  <sheetFormatPr defaultColWidth="9.33203125" defaultRowHeight="11.25"/>
  <cols>
    <col min="9" max="9" width="14.6640625" customWidth="1"/>
    <col min="12" max="12" width="20.5" customWidth="1"/>
  </cols>
  <sheetData>
    <row r="11" spans="9:9" ht="15.75">
      <c r="I11" s="513"/>
    </row>
    <row r="12" spans="9:9" ht="15.75">
      <c r="I12" s="513"/>
    </row>
    <row r="13" spans="9:9" ht="15.75">
      <c r="I13" s="513"/>
    </row>
    <row r="14" spans="9:9" ht="15.75">
      <c r="I14" s="513"/>
    </row>
    <row r="15" spans="9:9" ht="15.75">
      <c r="I15" s="513"/>
    </row>
  </sheetData>
  <pageMargins left="0.59055118110236227" right="0.39370078740157483" top="1.3779527559055118" bottom="0.62992125984251968" header="0.31496062992125984" footer="0.31496062992125984"/>
  <pageSetup paperSize="9" scale="91" orientation="portrait" r:id="rId1"/>
  <headerFooter>
    <oddHeader>&amp;R&amp;7Informe de la Operación Mensual-Junio 2019
INFSGI-MES-06-2019
10/07/2019
Versión: 01</oddHeader>
    <oddFooter>&amp;LCOES, 2019&amp;C1&amp;RDirección Ejecutiva
Sub Dirección de Gestión de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7A5"/>
  </sheetPr>
  <dimension ref="A1:L62"/>
  <sheetViews>
    <sheetView showGridLines="0" view="pageBreakPreview" zoomScale="130" zoomScaleNormal="100" zoomScaleSheetLayoutView="130" workbookViewId="0">
      <selection activeCell="C12" sqref="C12"/>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32" t="s">
        <v>260</v>
      </c>
      <c r="B2" s="932"/>
      <c r="C2" s="932"/>
      <c r="D2" s="932"/>
      <c r="E2" s="932"/>
      <c r="F2" s="932"/>
      <c r="G2" s="932"/>
      <c r="H2" s="932"/>
      <c r="I2" s="932"/>
      <c r="J2" s="932"/>
      <c r="K2" s="932"/>
    </row>
    <row r="3" spans="1:12" ht="11.25" customHeight="1">
      <c r="A3" s="17"/>
      <c r="B3" s="17"/>
      <c r="C3" s="17"/>
      <c r="D3" s="17"/>
      <c r="E3" s="17"/>
      <c r="F3" s="17"/>
      <c r="G3" s="17"/>
      <c r="H3" s="17"/>
      <c r="I3" s="17"/>
      <c r="J3" s="17"/>
      <c r="K3" s="17"/>
      <c r="L3" s="36"/>
    </row>
    <row r="4" spans="1:12" ht="11.25" customHeight="1">
      <c r="A4" s="933" t="s">
        <v>449</v>
      </c>
      <c r="B4" s="933"/>
      <c r="C4" s="933"/>
      <c r="D4" s="933"/>
      <c r="E4" s="933"/>
      <c r="F4" s="933"/>
      <c r="G4" s="933"/>
      <c r="H4" s="933"/>
      <c r="I4" s="933"/>
      <c r="J4" s="933"/>
      <c r="K4" s="933"/>
      <c r="L4" s="36"/>
    </row>
    <row r="5" spans="1:12" ht="11.25" customHeight="1">
      <c r="A5" s="17"/>
      <c r="B5" s="67"/>
      <c r="C5" s="68"/>
      <c r="D5" s="69"/>
      <c r="E5" s="69"/>
      <c r="F5" s="69"/>
      <c r="G5" s="69"/>
      <c r="H5" s="70"/>
      <c r="I5" s="66"/>
      <c r="J5" s="66"/>
      <c r="K5" s="71"/>
      <c r="L5" s="8"/>
    </row>
    <row r="6" spans="1:12" ht="12.75" customHeight="1">
      <c r="A6" s="939" t="s">
        <v>218</v>
      </c>
      <c r="B6" s="934" t="s">
        <v>263</v>
      </c>
      <c r="C6" s="935"/>
      <c r="D6" s="935"/>
      <c r="E6" s="935" t="s">
        <v>34</v>
      </c>
      <c r="F6" s="935"/>
      <c r="G6" s="936" t="s">
        <v>262</v>
      </c>
      <c r="H6" s="936"/>
      <c r="I6" s="936"/>
      <c r="J6" s="936"/>
      <c r="K6" s="936"/>
      <c r="L6" s="15"/>
    </row>
    <row r="7" spans="1:12" ht="12.75" customHeight="1">
      <c r="A7" s="939"/>
      <c r="B7" s="655">
        <f>+'5. RER'!B5</f>
        <v>43559</v>
      </c>
      <c r="C7" s="655">
        <f>+'5. RER'!C5</f>
        <v>43589</v>
      </c>
      <c r="D7" s="655">
        <f>+'5. RER'!D5</f>
        <v>43617</v>
      </c>
      <c r="E7" s="655">
        <f>+'5. RER'!E5</f>
        <v>43252</v>
      </c>
      <c r="F7" s="937" t="s">
        <v>124</v>
      </c>
      <c r="G7" s="656">
        <v>2019</v>
      </c>
      <c r="H7" s="656">
        <v>2018</v>
      </c>
      <c r="I7" s="937" t="s">
        <v>512</v>
      </c>
      <c r="J7" s="656">
        <v>2017</v>
      </c>
      <c r="K7" s="937" t="s">
        <v>42</v>
      </c>
      <c r="L7" s="13"/>
    </row>
    <row r="8" spans="1:12" ht="12.75" customHeight="1">
      <c r="A8" s="939"/>
      <c r="B8" s="657">
        <v>43578.78125</v>
      </c>
      <c r="C8" s="657">
        <v>43594.791666666664</v>
      </c>
      <c r="D8" s="657">
        <v>43635.75</v>
      </c>
      <c r="E8" s="657">
        <v>43256.78125</v>
      </c>
      <c r="F8" s="938"/>
      <c r="G8" s="658">
        <v>43549.791666666664</v>
      </c>
      <c r="H8" s="658">
        <v>43214.78125</v>
      </c>
      <c r="I8" s="938"/>
      <c r="J8" s="658">
        <v>42801.8125</v>
      </c>
      <c r="K8" s="938"/>
      <c r="L8" s="14"/>
    </row>
    <row r="9" spans="1:12" ht="12.75" customHeight="1">
      <c r="A9" s="939"/>
      <c r="B9" s="659">
        <f>+B8</f>
        <v>43578.78125</v>
      </c>
      <c r="C9" s="659">
        <f t="shared" ref="C9:E9" si="0">+C8</f>
        <v>43594.791666666664</v>
      </c>
      <c r="D9" s="659">
        <f t="shared" si="0"/>
        <v>43635.75</v>
      </c>
      <c r="E9" s="659">
        <f t="shared" si="0"/>
        <v>43256.78125</v>
      </c>
      <c r="F9" s="938"/>
      <c r="G9" s="660">
        <v>43549.791666666664</v>
      </c>
      <c r="H9" s="660">
        <v>43214.78125</v>
      </c>
      <c r="I9" s="938"/>
      <c r="J9" s="660">
        <v>42801.8125</v>
      </c>
      <c r="K9" s="938"/>
      <c r="L9" s="14"/>
    </row>
    <row r="10" spans="1:12" ht="12.75" customHeight="1">
      <c r="A10" s="661" t="s">
        <v>36</v>
      </c>
      <c r="B10" s="662">
        <v>4439.8206699999992</v>
      </c>
      <c r="C10" s="663">
        <v>4336.5917100000006</v>
      </c>
      <c r="D10" s="664">
        <v>3797.8033799999985</v>
      </c>
      <c r="E10" s="662">
        <v>4072.4372500000009</v>
      </c>
      <c r="F10" s="665">
        <f>+IF(E10=0,"",D10/E10-1)</f>
        <v>-6.7437225705565429E-2</v>
      </c>
      <c r="G10" s="662">
        <v>4580.6239199999991</v>
      </c>
      <c r="H10" s="663">
        <v>4457.8647499999988</v>
      </c>
      <c r="I10" s="665">
        <f>+IF(H10=0,"",G10/H10-1)</f>
        <v>2.7537661388224111E-2</v>
      </c>
      <c r="J10" s="662">
        <v>4181.7234999999982</v>
      </c>
      <c r="K10" s="665">
        <f t="shared" ref="K10:K18" si="1">+IF(J10=0,"",H10/J10-1)</f>
        <v>6.6035272298611059E-2</v>
      </c>
      <c r="L10" s="14"/>
    </row>
    <row r="11" spans="1:12" ht="12.75" customHeight="1">
      <c r="A11" s="666" t="s">
        <v>37</v>
      </c>
      <c r="B11" s="667">
        <v>2325.2273300000002</v>
      </c>
      <c r="C11" s="668">
        <v>2160.5652599999999</v>
      </c>
      <c r="D11" s="669">
        <v>2827.5675700000006</v>
      </c>
      <c r="E11" s="667">
        <v>2235.7231999999999</v>
      </c>
      <c r="F11" s="670">
        <f>+IF(E11=0,"",D11/E11-1)</f>
        <v>0.2647216659021121</v>
      </c>
      <c r="G11" s="667">
        <v>2106.5043700000006</v>
      </c>
      <c r="H11" s="668">
        <v>1943.7948299999998</v>
      </c>
      <c r="I11" s="670">
        <f>+IF(H11=0,"",G11/H11-1)</f>
        <v>8.3707157509005592E-2</v>
      </c>
      <c r="J11" s="667">
        <v>2286.1302900000001</v>
      </c>
      <c r="K11" s="670">
        <f t="shared" si="1"/>
        <v>-0.14974450996841493</v>
      </c>
      <c r="L11" s="14"/>
    </row>
    <row r="12" spans="1:12" ht="12.75" customHeight="1">
      <c r="A12" s="671" t="s">
        <v>38</v>
      </c>
      <c r="B12" s="672">
        <v>152.69139000000001</v>
      </c>
      <c r="C12" s="673">
        <v>339.30074999999999</v>
      </c>
      <c r="D12" s="674">
        <v>168.39731</v>
      </c>
      <c r="E12" s="672">
        <v>234.07465999999999</v>
      </c>
      <c r="F12" s="675">
        <f>+IF(E12=0,"",D12/E12-1)</f>
        <v>-0.2805829131611256</v>
      </c>
      <c r="G12" s="672">
        <v>303.54068999999998</v>
      </c>
      <c r="H12" s="673">
        <v>309.01528000000002</v>
      </c>
      <c r="I12" s="675">
        <f>+IF(H12=0,"",G12/H12-1)</f>
        <v>-1.7716243675717336E-2</v>
      </c>
      <c r="J12" s="672">
        <v>91.209550000000007</v>
      </c>
      <c r="K12" s="675">
        <f t="shared" si="1"/>
        <v>2.3879706675452295</v>
      </c>
      <c r="L12" s="13"/>
    </row>
    <row r="13" spans="1:12" ht="12.75" customHeight="1">
      <c r="A13" s="676" t="s">
        <v>30</v>
      </c>
      <c r="B13" s="677">
        <v>0</v>
      </c>
      <c r="C13" s="678">
        <v>0</v>
      </c>
      <c r="D13" s="679">
        <v>0</v>
      </c>
      <c r="E13" s="677">
        <v>0</v>
      </c>
      <c r="F13" s="680" t="str">
        <f>+IF(E13=0,"",D13/E13-1)</f>
        <v/>
      </c>
      <c r="G13" s="677">
        <v>0</v>
      </c>
      <c r="H13" s="678">
        <v>0</v>
      </c>
      <c r="I13" s="680" t="str">
        <f>+IF(H13=0,"",G13/H13-1)</f>
        <v/>
      </c>
      <c r="J13" s="677">
        <v>0</v>
      </c>
      <c r="K13" s="680" t="str">
        <f t="shared" si="1"/>
        <v/>
      </c>
      <c r="L13" s="14"/>
    </row>
    <row r="14" spans="1:12" ht="12.75" customHeight="1">
      <c r="A14" s="681" t="s">
        <v>43</v>
      </c>
      <c r="B14" s="651">
        <f>+SUM(B10:B13)</f>
        <v>6917.7393899999988</v>
      </c>
      <c r="C14" s="652">
        <f t="shared" ref="C14:J14" si="2">+SUM(C10:C13)</f>
        <v>6836.4577200000003</v>
      </c>
      <c r="D14" s="653">
        <f t="shared" si="2"/>
        <v>6793.7682599999989</v>
      </c>
      <c r="E14" s="651">
        <f t="shared" si="2"/>
        <v>6542.2351100000014</v>
      </c>
      <c r="F14" s="713">
        <f>+IF(E14=0,"",D14/E14-1)</f>
        <v>3.8447586454898541E-2</v>
      </c>
      <c r="G14" s="710">
        <f t="shared" si="2"/>
        <v>6990.6689799999995</v>
      </c>
      <c r="H14" s="652">
        <f t="shared" si="2"/>
        <v>6710.6748599999983</v>
      </c>
      <c r="I14" s="713">
        <f>+IF(H14=0,"",G14/H14-1)</f>
        <v>4.1723690365174537E-2</v>
      </c>
      <c r="J14" s="651">
        <f t="shared" si="2"/>
        <v>6559.0633399999979</v>
      </c>
      <c r="K14" s="713">
        <f>+IF(J14=0,"",H14/J14-1)</f>
        <v>2.3114812609813962E-2</v>
      </c>
      <c r="L14" s="14"/>
    </row>
    <row r="15" spans="1:12" ht="6.75" customHeight="1">
      <c r="A15" s="682"/>
      <c r="B15" s="682"/>
      <c r="C15" s="682"/>
      <c r="D15" s="682"/>
      <c r="E15" s="682"/>
      <c r="F15" s="683"/>
      <c r="G15" s="682"/>
      <c r="H15" s="682"/>
      <c r="I15" s="683"/>
      <c r="J15" s="682"/>
      <c r="K15" s="683"/>
      <c r="L15" s="14"/>
    </row>
    <row r="16" spans="1:12" ht="12.75" customHeight="1">
      <c r="A16" s="684" t="s">
        <v>39</v>
      </c>
      <c r="B16" s="685">
        <v>0</v>
      </c>
      <c r="C16" s="686">
        <v>48.289400000000001</v>
      </c>
      <c r="D16" s="687">
        <v>0</v>
      </c>
      <c r="E16" s="685">
        <v>0</v>
      </c>
      <c r="F16" s="687">
        <v>0</v>
      </c>
      <c r="G16" s="685">
        <v>0</v>
      </c>
      <c r="H16" s="686">
        <v>0</v>
      </c>
      <c r="I16" s="687">
        <v>0</v>
      </c>
      <c r="J16" s="685">
        <v>36.515999999999998</v>
      </c>
      <c r="K16" s="688">
        <f t="shared" si="1"/>
        <v>-1</v>
      </c>
      <c r="L16" s="15"/>
    </row>
    <row r="17" spans="1:12" ht="12.75" customHeight="1">
      <c r="A17" s="689" t="s">
        <v>40</v>
      </c>
      <c r="B17" s="690">
        <v>0</v>
      </c>
      <c r="C17" s="691">
        <v>0</v>
      </c>
      <c r="D17" s="692">
        <v>0</v>
      </c>
      <c r="E17" s="690">
        <v>0</v>
      </c>
      <c r="F17" s="692">
        <v>0</v>
      </c>
      <c r="G17" s="690">
        <v>0</v>
      </c>
      <c r="H17" s="691">
        <v>0</v>
      </c>
      <c r="I17" s="692">
        <v>0</v>
      </c>
      <c r="J17" s="690">
        <v>0</v>
      </c>
      <c r="K17" s="693" t="str">
        <f t="shared" si="1"/>
        <v/>
      </c>
      <c r="L17" s="15"/>
    </row>
    <row r="18" spans="1:12" ht="24" customHeight="1">
      <c r="A18" s="694" t="s">
        <v>41</v>
      </c>
      <c r="B18" s="695">
        <f t="shared" ref="B18:J18" si="3">+B17-B16</f>
        <v>0</v>
      </c>
      <c r="C18" s="696">
        <f t="shared" si="3"/>
        <v>-48.289400000000001</v>
      </c>
      <c r="D18" s="697">
        <f t="shared" si="3"/>
        <v>0</v>
      </c>
      <c r="E18" s="695">
        <f t="shared" si="3"/>
        <v>0</v>
      </c>
      <c r="F18" s="697">
        <f t="shared" si="3"/>
        <v>0</v>
      </c>
      <c r="G18" s="695">
        <f t="shared" si="3"/>
        <v>0</v>
      </c>
      <c r="H18" s="696">
        <f t="shared" si="3"/>
        <v>0</v>
      </c>
      <c r="I18" s="697">
        <f t="shared" si="3"/>
        <v>0</v>
      </c>
      <c r="J18" s="695">
        <f t="shared" si="3"/>
        <v>-36.515999999999998</v>
      </c>
      <c r="K18" s="698">
        <f t="shared" si="1"/>
        <v>-1</v>
      </c>
      <c r="L18" s="15"/>
    </row>
    <row r="19" spans="1:12" ht="6" customHeight="1">
      <c r="A19" s="699"/>
      <c r="B19" s="699"/>
      <c r="C19" s="699"/>
      <c r="D19" s="699"/>
      <c r="E19" s="699"/>
      <c r="F19" s="700"/>
      <c r="G19" s="699"/>
      <c r="H19" s="699"/>
      <c r="I19" s="700"/>
      <c r="J19" s="699"/>
      <c r="K19" s="700"/>
      <c r="L19" s="15"/>
    </row>
    <row r="20" spans="1:12" ht="24" customHeight="1">
      <c r="A20" s="701" t="s">
        <v>261</v>
      </c>
      <c r="B20" s="702">
        <f>+B14-B18</f>
        <v>6917.7393899999988</v>
      </c>
      <c r="C20" s="703">
        <f t="shared" ref="C20:D20" si="4">+C14-C18</f>
        <v>6884.74712</v>
      </c>
      <c r="D20" s="708">
        <f t="shared" si="4"/>
        <v>6793.7682599999989</v>
      </c>
      <c r="E20" s="702">
        <f>+E14-E18</f>
        <v>6542.2351100000014</v>
      </c>
      <c r="F20" s="654">
        <f>+IF(E20=0,"",D20/E20-1)</f>
        <v>3.8447586454898541E-2</v>
      </c>
      <c r="G20" s="709">
        <f>+G14-G18</f>
        <v>6990.6689799999995</v>
      </c>
      <c r="H20" s="702">
        <f>+H14-H18</f>
        <v>6710.6748599999983</v>
      </c>
      <c r="I20" s="654">
        <f>+IF(H20=0,"",G20/H20-1)</f>
        <v>4.1723690365174537E-2</v>
      </c>
      <c r="J20" s="702">
        <f>+J14-J18</f>
        <v>6595.5793399999975</v>
      </c>
      <c r="K20" s="654">
        <f>+IF(J20=0,"",H20/J20-1)</f>
        <v>1.7450403378818313E-2</v>
      </c>
      <c r="L20" s="15"/>
    </row>
    <row r="21" spans="1:12" ht="11.25" customHeight="1">
      <c r="A21" s="271" t="s">
        <v>474</v>
      </c>
      <c r="B21" s="138"/>
      <c r="C21" s="138"/>
      <c r="D21" s="138"/>
      <c r="E21" s="138"/>
      <c r="F21" s="138"/>
      <c r="G21" s="138"/>
      <c r="H21" s="138"/>
      <c r="I21" s="138"/>
      <c r="J21" s="138"/>
      <c r="K21" s="138"/>
      <c r="L21" s="16"/>
    </row>
    <row r="22" spans="1:12" ht="17.25" customHeight="1">
      <c r="A22" s="930"/>
      <c r="B22" s="930"/>
      <c r="C22" s="930"/>
      <c r="D22" s="930"/>
      <c r="E22" s="930"/>
      <c r="F22" s="930"/>
      <c r="G22" s="930"/>
      <c r="H22" s="930"/>
      <c r="I22" s="930"/>
      <c r="J22" s="930"/>
      <c r="K22" s="930"/>
      <c r="L22" s="15"/>
    </row>
    <row r="23" spans="1:12" ht="11.25" customHeight="1">
      <c r="A23" s="153"/>
      <c r="B23" s="153"/>
      <c r="C23" s="153"/>
      <c r="D23" s="153"/>
      <c r="E23" s="153"/>
      <c r="F23" s="153"/>
      <c r="G23" s="153"/>
      <c r="H23" s="153"/>
      <c r="I23" s="153"/>
      <c r="J23" s="153"/>
      <c r="K23" s="153"/>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4"/>
      <c r="B52" s="154"/>
      <c r="C52" s="154"/>
      <c r="D52" s="154"/>
      <c r="E52" s="154"/>
      <c r="F52" s="154"/>
      <c r="G52" s="154"/>
      <c r="H52" s="154"/>
      <c r="I52" s="154"/>
      <c r="J52" s="154"/>
      <c r="K52" s="154"/>
      <c r="L52" s="15"/>
    </row>
    <row r="53" spans="1:12" ht="11.25" customHeight="1">
      <c r="L53" s="11"/>
    </row>
    <row r="54" spans="1:12" ht="11.25" customHeight="1">
      <c r="A54" s="155"/>
      <c r="B54" s="138"/>
      <c r="C54" s="138"/>
      <c r="D54" s="138"/>
      <c r="E54" s="138"/>
      <c r="F54" s="138"/>
      <c r="G54" s="138"/>
      <c r="H54" s="138"/>
      <c r="I54" s="138"/>
      <c r="J54" s="138"/>
      <c r="K54" s="138"/>
      <c r="L54" s="11"/>
    </row>
    <row r="55" spans="1:12" ht="11.25" customHeight="1">
      <c r="A55" s="155"/>
      <c r="B55" s="156"/>
      <c r="C55" s="156"/>
      <c r="D55" s="156"/>
      <c r="E55" s="156"/>
      <c r="F55" s="156"/>
      <c r="G55" s="138"/>
      <c r="H55" s="138"/>
      <c r="I55" s="138"/>
      <c r="J55" s="138"/>
      <c r="K55" s="138"/>
      <c r="L55" s="11"/>
    </row>
    <row r="56" spans="1:12" ht="11.25" customHeight="1">
      <c r="A56" s="132"/>
      <c r="B56" s="157"/>
      <c r="C56" s="157"/>
      <c r="D56" s="158"/>
      <c r="E56" s="158"/>
      <c r="F56" s="158"/>
      <c r="G56" s="138"/>
      <c r="H56" s="138"/>
      <c r="I56" s="138"/>
      <c r="J56" s="138"/>
      <c r="K56" s="138"/>
      <c r="L56" s="11"/>
    </row>
    <row r="57" spans="1:12" ht="11.25" customHeight="1">
      <c r="L57" s="11"/>
    </row>
    <row r="58" spans="1:12" ht="12">
      <c r="A58" s="931" t="str">
        <f>"Gráfico N° 11: Comparación de la máxima potencia coincidente de potencia (MW) por tipo de generación en el SEIN en "&amp;'1. Resumen'!Q4</f>
        <v>Gráfico N° 11: Comparación de la máxima potencia coincidente de potencia (MW) por tipo de generación en el SEIN en junio</v>
      </c>
      <c r="B58" s="931"/>
      <c r="C58" s="931"/>
      <c r="D58" s="931"/>
      <c r="E58" s="931"/>
      <c r="F58" s="931"/>
      <c r="G58" s="931"/>
      <c r="H58" s="931"/>
      <c r="I58" s="931"/>
      <c r="J58" s="931"/>
      <c r="K58" s="931"/>
      <c r="L58" s="11"/>
    </row>
    <row r="59" spans="1:12" ht="12">
      <c r="A59" s="132"/>
      <c r="B59" s="157"/>
      <c r="C59" s="157"/>
      <c r="D59" s="158"/>
      <c r="E59" s="158"/>
      <c r="F59" s="158"/>
      <c r="G59" s="138"/>
      <c r="H59" s="138"/>
      <c r="I59" s="138"/>
      <c r="J59" s="138"/>
      <c r="K59" s="138"/>
      <c r="L59" s="11"/>
    </row>
    <row r="60" spans="1:12" ht="12">
      <c r="A60" s="132"/>
      <c r="B60" s="157"/>
      <c r="C60" s="157"/>
      <c r="D60" s="158"/>
      <c r="E60" s="158"/>
      <c r="F60" s="158"/>
      <c r="G60" s="138"/>
      <c r="H60" s="138"/>
      <c r="I60" s="138"/>
      <c r="J60" s="138"/>
      <c r="K60" s="138"/>
      <c r="L60" s="11"/>
    </row>
    <row r="61" spans="1:12" ht="12.75">
      <c r="A61" s="17"/>
      <c r="B61" s="151"/>
      <c r="C61" s="151"/>
      <c r="D61" s="152"/>
      <c r="E61" s="152"/>
      <c r="F61" s="152"/>
      <c r="G61" s="73"/>
      <c r="H61" s="73"/>
      <c r="I61" s="73"/>
      <c r="J61" s="73"/>
      <c r="K61" s="73"/>
      <c r="L61" s="11"/>
    </row>
    <row r="62" spans="1:12" ht="12.75">
      <c r="A62" s="17"/>
      <c r="B62" s="151"/>
      <c r="C62" s="151"/>
      <c r="D62" s="152"/>
      <c r="E62" s="152"/>
      <c r="F62" s="152"/>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7A5"/>
  </sheetPr>
  <dimension ref="A1:O73"/>
  <sheetViews>
    <sheetView showGridLines="0" view="pageBreakPreview" zoomScale="145" zoomScaleNormal="100" zoomScaleSheetLayoutView="145" zoomScalePageLayoutView="145" workbookViewId="0">
      <selection activeCell="C12" sqref="C12"/>
    </sheetView>
  </sheetViews>
  <sheetFormatPr defaultColWidth="9.33203125" defaultRowHeight="11.25"/>
  <cols>
    <col min="1" max="1" width="26.5" customWidth="1"/>
    <col min="2" max="2" width="11.33203125" customWidth="1"/>
    <col min="3" max="3" width="10.83203125" customWidth="1"/>
    <col min="4" max="4" width="8.6640625" customWidth="1"/>
    <col min="10" max="10" width="11.83203125" customWidth="1"/>
    <col min="11" max="11" width="9.33203125" customWidth="1"/>
    <col min="12" max="12" width="27.83203125" style="829" customWidth="1"/>
    <col min="13" max="15" width="9.33203125" style="830"/>
  </cols>
  <sheetData>
    <row r="1" spans="1:15" ht="16.5" customHeight="1">
      <c r="A1" s="942" t="s">
        <v>265</v>
      </c>
      <c r="B1" s="942"/>
      <c r="C1" s="942"/>
      <c r="D1" s="942"/>
      <c r="E1" s="942"/>
      <c r="F1" s="942"/>
      <c r="G1" s="942"/>
      <c r="H1" s="942"/>
      <c r="I1" s="942"/>
      <c r="J1" s="942"/>
    </row>
    <row r="2" spans="1:15" ht="7.5" customHeight="1">
      <c r="A2" s="74"/>
      <c r="B2" s="73"/>
      <c r="C2" s="73"/>
      <c r="D2" s="73"/>
      <c r="E2" s="73"/>
      <c r="F2" s="73"/>
      <c r="G2" s="73"/>
      <c r="H2" s="73"/>
      <c r="I2" s="73"/>
      <c r="J2" s="73"/>
      <c r="K2" s="36"/>
      <c r="L2" s="831"/>
    </row>
    <row r="3" spans="1:15" ht="11.25" customHeight="1">
      <c r="A3" s="943" t="s">
        <v>125</v>
      </c>
      <c r="B3" s="945" t="str">
        <f>+'1. Resumen'!Q4</f>
        <v>junio</v>
      </c>
      <c r="C3" s="946"/>
      <c r="D3" s="947"/>
      <c r="E3" s="138"/>
      <c r="F3" s="138"/>
      <c r="G3" s="948" t="s">
        <v>516</v>
      </c>
      <c r="H3" s="948"/>
      <c r="I3" s="948"/>
      <c r="J3" s="138"/>
      <c r="K3" s="148"/>
      <c r="L3" s="831"/>
    </row>
    <row r="4" spans="1:15" ht="11.25" customHeight="1">
      <c r="A4" s="943"/>
      <c r="B4" s="537">
        <v>2019</v>
      </c>
      <c r="C4" s="538">
        <v>2018</v>
      </c>
      <c r="D4" s="947" t="s">
        <v>35</v>
      </c>
      <c r="E4" s="138"/>
      <c r="F4" s="138"/>
      <c r="G4" s="138"/>
      <c r="H4" s="138"/>
      <c r="I4" s="138"/>
      <c r="J4" s="138"/>
      <c r="K4" s="24"/>
      <c r="L4" s="832"/>
    </row>
    <row r="5" spans="1:15" ht="11.25" customHeight="1">
      <c r="A5" s="943"/>
      <c r="B5" s="539">
        <f>+'8. Max Potencia'!D8</f>
        <v>43635.75</v>
      </c>
      <c r="C5" s="539">
        <f>+'8. Max Potencia'!E8</f>
        <v>43256.78125</v>
      </c>
      <c r="D5" s="947"/>
      <c r="E5" s="138"/>
      <c r="F5" s="138"/>
      <c r="G5" s="138"/>
      <c r="H5" s="138"/>
      <c r="I5" s="138"/>
      <c r="J5" s="138"/>
      <c r="K5" s="24"/>
      <c r="L5" s="833"/>
    </row>
    <row r="6" spans="1:15" ht="11.25" customHeight="1" thickBot="1">
      <c r="A6" s="944"/>
      <c r="B6" s="540">
        <f>+'8. Max Potencia'!D9</f>
        <v>43635.75</v>
      </c>
      <c r="C6" s="540">
        <f>+'8. Max Potencia'!E9</f>
        <v>43256.78125</v>
      </c>
      <c r="D6" s="949"/>
      <c r="E6" s="138"/>
      <c r="F6" s="138"/>
      <c r="G6" s="138"/>
      <c r="H6" s="138"/>
      <c r="I6" s="138"/>
      <c r="J6" s="138"/>
      <c r="K6" s="25"/>
      <c r="L6" s="832" t="s">
        <v>264</v>
      </c>
      <c r="M6" s="830">
        <v>2019</v>
      </c>
      <c r="N6" s="830">
        <v>2018</v>
      </c>
    </row>
    <row r="7" spans="1:15" ht="9.75" customHeight="1">
      <c r="A7" s="407" t="s">
        <v>486</v>
      </c>
      <c r="B7" s="408">
        <v>1299.22794</v>
      </c>
      <c r="C7" s="408">
        <v>1168.3217300000001</v>
      </c>
      <c r="D7" s="409">
        <f>IF(C7=0,"",B7/C7-1)</f>
        <v>0.11204637099405823</v>
      </c>
      <c r="E7" s="138"/>
      <c r="F7" s="138"/>
      <c r="G7" s="138"/>
      <c r="H7" s="138"/>
      <c r="I7" s="138"/>
      <c r="J7" s="138"/>
      <c r="K7" s="23"/>
      <c r="L7" s="834" t="s">
        <v>122</v>
      </c>
      <c r="M7" s="835">
        <v>0</v>
      </c>
      <c r="N7" s="835">
        <v>18.205300000000001</v>
      </c>
      <c r="O7" s="836"/>
    </row>
    <row r="8" spans="1:15" ht="9.75" customHeight="1">
      <c r="A8" s="410" t="s">
        <v>89</v>
      </c>
      <c r="B8" s="411">
        <v>876.0515200000001</v>
      </c>
      <c r="C8" s="411">
        <v>749.13831999999991</v>
      </c>
      <c r="D8" s="412">
        <f t="shared" ref="D8:D61" si="0">IF(C8=0,"",B8/C8-1)</f>
        <v>0.16941223885063073</v>
      </c>
      <c r="E8" s="138"/>
      <c r="F8" s="138"/>
      <c r="G8" s="138"/>
      <c r="H8" s="138"/>
      <c r="I8" s="138"/>
      <c r="J8" s="138"/>
      <c r="K8" s="26"/>
      <c r="L8" s="834" t="s">
        <v>248</v>
      </c>
      <c r="M8" s="835">
        <v>0</v>
      </c>
      <c r="N8" s="835">
        <v>0</v>
      </c>
      <c r="O8" s="836"/>
    </row>
    <row r="9" spans="1:15" ht="9.75" customHeight="1">
      <c r="A9" s="413" t="s">
        <v>90</v>
      </c>
      <c r="B9" s="414">
        <v>865.56577000000016</v>
      </c>
      <c r="C9" s="414">
        <v>839.44848000000002</v>
      </c>
      <c r="D9" s="415">
        <f t="shared" si="0"/>
        <v>3.1112439443573781E-2</v>
      </c>
      <c r="E9" s="441"/>
      <c r="F9" s="138"/>
      <c r="G9" s="138"/>
      <c r="H9" s="138"/>
      <c r="I9" s="138"/>
      <c r="J9" s="138"/>
      <c r="K9" s="25"/>
      <c r="L9" s="834" t="s">
        <v>115</v>
      </c>
      <c r="M9" s="835">
        <v>0</v>
      </c>
      <c r="N9" s="835">
        <v>5.04</v>
      </c>
      <c r="O9" s="836"/>
    </row>
    <row r="10" spans="1:15" ht="9.75" customHeight="1">
      <c r="A10" s="410" t="s">
        <v>88</v>
      </c>
      <c r="B10" s="411">
        <v>784.70128999999997</v>
      </c>
      <c r="C10" s="411">
        <v>465.27108000000004</v>
      </c>
      <c r="D10" s="412">
        <f t="shared" si="0"/>
        <v>0.68654645373617451</v>
      </c>
      <c r="E10" s="138"/>
      <c r="F10" s="138"/>
      <c r="G10" s="138"/>
      <c r="H10" s="138"/>
      <c r="I10" s="138"/>
      <c r="J10" s="138"/>
      <c r="K10" s="25"/>
      <c r="L10" s="834" t="s">
        <v>112</v>
      </c>
      <c r="M10" s="837">
        <v>0</v>
      </c>
      <c r="N10" s="837">
        <v>0</v>
      </c>
      <c r="O10" s="836"/>
    </row>
    <row r="11" spans="1:15" ht="9.75" customHeight="1">
      <c r="A11" s="413" t="s">
        <v>252</v>
      </c>
      <c r="B11" s="414">
        <v>543.88617999999997</v>
      </c>
      <c r="C11" s="414">
        <v>550.50249999999994</v>
      </c>
      <c r="D11" s="415">
        <f t="shared" si="0"/>
        <v>-1.2018692013206045E-2</v>
      </c>
      <c r="E11" s="138"/>
      <c r="F11" s="138"/>
      <c r="G11" s="138"/>
      <c r="H11" s="138"/>
      <c r="I11" s="138"/>
      <c r="J11" s="138"/>
      <c r="K11" s="25"/>
      <c r="L11" s="834" t="s">
        <v>113</v>
      </c>
      <c r="M11" s="837">
        <v>0</v>
      </c>
      <c r="N11" s="837">
        <v>0</v>
      </c>
      <c r="O11" s="836"/>
    </row>
    <row r="12" spans="1:15" ht="9.75" customHeight="1">
      <c r="A12" s="410" t="s">
        <v>91</v>
      </c>
      <c r="B12" s="411">
        <v>287.90769999999998</v>
      </c>
      <c r="C12" s="411">
        <v>364.10663</v>
      </c>
      <c r="D12" s="412">
        <f t="shared" si="0"/>
        <v>-0.20927641443936362</v>
      </c>
      <c r="E12" s="138"/>
      <c r="F12" s="138"/>
      <c r="G12" s="138"/>
      <c r="H12" s="138"/>
      <c r="I12" s="138"/>
      <c r="J12" s="138"/>
      <c r="K12" s="23"/>
      <c r="L12" s="834" t="s">
        <v>490</v>
      </c>
      <c r="M12" s="835">
        <v>0</v>
      </c>
      <c r="N12" s="835"/>
      <c r="O12" s="836"/>
    </row>
    <row r="13" spans="1:15" ht="9.75" customHeight="1">
      <c r="A13" s="413" t="s">
        <v>101</v>
      </c>
      <c r="B13" s="414">
        <v>287.08664999999996</v>
      </c>
      <c r="C13" s="414">
        <v>290.56951000000004</v>
      </c>
      <c r="D13" s="415">
        <f t="shared" si="0"/>
        <v>-1.19863229972067E-2</v>
      </c>
      <c r="E13" s="138"/>
      <c r="F13" s="138"/>
      <c r="G13" s="138"/>
      <c r="H13" s="138"/>
      <c r="I13" s="138"/>
      <c r="J13" s="138"/>
      <c r="K13" s="26"/>
      <c r="L13" s="834" t="s">
        <v>119</v>
      </c>
      <c r="M13" s="837">
        <v>0</v>
      </c>
      <c r="N13" s="837">
        <v>0</v>
      </c>
      <c r="O13" s="836"/>
    </row>
    <row r="14" spans="1:15" ht="9.75" customHeight="1">
      <c r="A14" s="410" t="s">
        <v>249</v>
      </c>
      <c r="B14" s="411">
        <v>232.74938</v>
      </c>
      <c r="C14" s="411">
        <v>442.48277999999999</v>
      </c>
      <c r="D14" s="412">
        <f t="shared" si="0"/>
        <v>-0.47399223083890407</v>
      </c>
      <c r="E14" s="138"/>
      <c r="F14" s="138"/>
      <c r="G14" s="138"/>
      <c r="H14" s="138"/>
      <c r="I14" s="138"/>
      <c r="J14" s="138"/>
      <c r="K14" s="26"/>
      <c r="L14" s="834" t="s">
        <v>111</v>
      </c>
      <c r="M14" s="837">
        <v>0</v>
      </c>
      <c r="N14" s="837">
        <v>0</v>
      </c>
      <c r="O14" s="836"/>
    </row>
    <row r="15" spans="1:15" ht="9.75" customHeight="1">
      <c r="A15" s="413" t="s">
        <v>254</v>
      </c>
      <c r="B15" s="414">
        <v>216.11092000000002</v>
      </c>
      <c r="C15" s="414">
        <v>243.65327000000002</v>
      </c>
      <c r="D15" s="415">
        <f t="shared" si="0"/>
        <v>-0.1130391149685781</v>
      </c>
      <c r="E15" s="138"/>
      <c r="F15" s="138"/>
      <c r="G15" s="138"/>
      <c r="H15" s="138"/>
      <c r="I15" s="138"/>
      <c r="J15" s="138"/>
      <c r="K15" s="26"/>
      <c r="L15" s="834" t="s">
        <v>255</v>
      </c>
      <c r="M15" s="837">
        <v>0</v>
      </c>
      <c r="N15" s="837">
        <v>9.4545200000000005</v>
      </c>
      <c r="O15" s="836"/>
    </row>
    <row r="16" spans="1:15" ht="9.75" customHeight="1">
      <c r="A16" s="410" t="s">
        <v>95</v>
      </c>
      <c r="B16" s="411">
        <v>167.84417999999999</v>
      </c>
      <c r="C16" s="411">
        <v>196.94517999999999</v>
      </c>
      <c r="D16" s="412">
        <f t="shared" si="0"/>
        <v>-0.14776193050269115</v>
      </c>
      <c r="E16" s="138"/>
      <c r="F16" s="138"/>
      <c r="G16" s="138"/>
      <c r="H16" s="138"/>
      <c r="I16" s="138"/>
      <c r="J16" s="138"/>
      <c r="K16" s="26"/>
      <c r="L16" s="834" t="s">
        <v>100</v>
      </c>
      <c r="M16" s="837">
        <v>0</v>
      </c>
      <c r="N16" s="837">
        <v>24.39481</v>
      </c>
      <c r="O16" s="836"/>
    </row>
    <row r="17" spans="1:15" ht="9.75" customHeight="1">
      <c r="A17" s="413" t="s">
        <v>92</v>
      </c>
      <c r="B17" s="414">
        <v>143.25579000000002</v>
      </c>
      <c r="C17" s="414">
        <v>144.12690000000006</v>
      </c>
      <c r="D17" s="415">
        <f t="shared" si="0"/>
        <v>-6.044048682099179E-3</v>
      </c>
      <c r="E17" s="138"/>
      <c r="F17" s="138"/>
      <c r="G17" s="138"/>
      <c r="H17" s="138"/>
      <c r="I17" s="138"/>
      <c r="J17" s="138"/>
      <c r="K17" s="26"/>
      <c r="L17" s="834" t="s">
        <v>108</v>
      </c>
      <c r="M17" s="835">
        <v>0</v>
      </c>
      <c r="N17" s="835">
        <v>0</v>
      </c>
      <c r="O17" s="836"/>
    </row>
    <row r="18" spans="1:15" ht="9.75" customHeight="1">
      <c r="A18" s="410" t="s">
        <v>93</v>
      </c>
      <c r="B18" s="411">
        <v>136.76603</v>
      </c>
      <c r="C18" s="411">
        <v>162.91494999999998</v>
      </c>
      <c r="D18" s="412">
        <f t="shared" si="0"/>
        <v>-0.1605065710666822</v>
      </c>
      <c r="E18" s="138"/>
      <c r="F18" s="138"/>
      <c r="G18" s="138"/>
      <c r="H18" s="138"/>
      <c r="I18" s="138"/>
      <c r="J18" s="138"/>
      <c r="K18" s="26"/>
      <c r="L18" s="834" t="s">
        <v>256</v>
      </c>
      <c r="M18" s="837">
        <v>0</v>
      </c>
      <c r="N18" s="837">
        <v>0</v>
      </c>
      <c r="O18" s="836"/>
    </row>
    <row r="19" spans="1:15" ht="9.75" customHeight="1">
      <c r="A19" s="413" t="s">
        <v>94</v>
      </c>
      <c r="B19" s="414">
        <v>122.62738</v>
      </c>
      <c r="C19" s="414">
        <v>159.65100999999999</v>
      </c>
      <c r="D19" s="415">
        <f t="shared" si="0"/>
        <v>-0.23190351254276431</v>
      </c>
      <c r="E19" s="138"/>
      <c r="F19" s="138"/>
      <c r="G19" s="138"/>
      <c r="H19" s="138"/>
      <c r="I19" s="138"/>
      <c r="J19" s="138"/>
      <c r="K19" s="26"/>
      <c r="L19" s="834" t="s">
        <v>257</v>
      </c>
      <c r="M19" s="837">
        <v>0</v>
      </c>
      <c r="N19" s="837">
        <v>0</v>
      </c>
      <c r="O19" s="836"/>
    </row>
    <row r="20" spans="1:15" ht="9.75" customHeight="1">
      <c r="A20" s="410" t="s">
        <v>99</v>
      </c>
      <c r="B20" s="411">
        <v>106.94519</v>
      </c>
      <c r="C20" s="411">
        <v>114.7818</v>
      </c>
      <c r="D20" s="412">
        <f t="shared" si="0"/>
        <v>-6.8273977233324512E-2</v>
      </c>
      <c r="E20" s="138"/>
      <c r="F20" s="138"/>
      <c r="G20" s="138"/>
      <c r="H20" s="138"/>
      <c r="I20" s="138"/>
      <c r="J20" s="138"/>
      <c r="K20" s="29"/>
      <c r="L20" s="834" t="s">
        <v>121</v>
      </c>
      <c r="M20" s="837">
        <v>0</v>
      </c>
      <c r="N20" s="837">
        <v>0</v>
      </c>
      <c r="O20" s="836"/>
    </row>
    <row r="21" spans="1:15" ht="9.75" customHeight="1">
      <c r="A21" s="413" t="s">
        <v>96</v>
      </c>
      <c r="B21" s="414">
        <v>106.34021999999999</v>
      </c>
      <c r="C21" s="414">
        <v>110.12584000000001</v>
      </c>
      <c r="D21" s="415">
        <f t="shared" si="0"/>
        <v>-3.4375401813053319E-2</v>
      </c>
      <c r="E21" s="138"/>
      <c r="F21" s="138"/>
      <c r="G21" s="138"/>
      <c r="H21" s="138"/>
      <c r="I21" s="138"/>
      <c r="J21" s="138"/>
      <c r="K21" s="26"/>
      <c r="L21" s="834" t="s">
        <v>110</v>
      </c>
      <c r="M21" s="835">
        <v>0</v>
      </c>
      <c r="N21" s="835">
        <v>0</v>
      </c>
      <c r="O21" s="836"/>
    </row>
    <row r="22" spans="1:15" ht="9.75" customHeight="1">
      <c r="A22" s="410" t="s">
        <v>97</v>
      </c>
      <c r="B22" s="411">
        <v>85.119879999999995</v>
      </c>
      <c r="C22" s="411">
        <v>0</v>
      </c>
      <c r="D22" s="412" t="str">
        <f t="shared" si="0"/>
        <v/>
      </c>
      <c r="E22" s="138"/>
      <c r="F22" s="138"/>
      <c r="G22" s="138"/>
      <c r="H22" s="138"/>
      <c r="I22" s="138"/>
      <c r="J22" s="138"/>
      <c r="K22" s="26"/>
      <c r="L22" s="834" t="s">
        <v>106</v>
      </c>
      <c r="M22" s="835">
        <v>0</v>
      </c>
      <c r="N22" s="835">
        <v>0</v>
      </c>
      <c r="O22" s="836"/>
    </row>
    <row r="23" spans="1:15" ht="9.75" customHeight="1">
      <c r="A23" s="413" t="s">
        <v>250</v>
      </c>
      <c r="B23" s="414">
        <v>81.902439999999999</v>
      </c>
      <c r="C23" s="414">
        <v>70.294110000000003</v>
      </c>
      <c r="D23" s="415">
        <f t="shared" si="0"/>
        <v>0.16513944055910224</v>
      </c>
      <c r="E23" s="138"/>
      <c r="F23" s="138"/>
      <c r="G23" s="138"/>
      <c r="H23" s="138"/>
      <c r="I23" s="138"/>
      <c r="J23" s="138"/>
      <c r="K23" s="26"/>
      <c r="L23" s="834" t="s">
        <v>120</v>
      </c>
      <c r="M23" s="837">
        <v>0.23782</v>
      </c>
      <c r="N23" s="837">
        <v>0.88224000000000002</v>
      </c>
      <c r="O23" s="836"/>
    </row>
    <row r="24" spans="1:15" ht="9.75" customHeight="1">
      <c r="A24" s="410" t="s">
        <v>535</v>
      </c>
      <c r="B24" s="411">
        <v>71.596620000000001</v>
      </c>
      <c r="C24" s="411">
        <v>89.023700000000005</v>
      </c>
      <c r="D24" s="412">
        <f t="shared" si="0"/>
        <v>-0.1957577588889251</v>
      </c>
      <c r="E24" s="138"/>
      <c r="F24" s="138"/>
      <c r="G24" s="138"/>
      <c r="H24" s="138"/>
      <c r="I24" s="138"/>
      <c r="J24" s="138"/>
      <c r="K24" s="29"/>
      <c r="L24" s="834" t="s">
        <v>118</v>
      </c>
      <c r="M24" s="837">
        <v>1.6800600000000001</v>
      </c>
      <c r="N24" s="837">
        <v>3.512</v>
      </c>
      <c r="O24" s="836"/>
    </row>
    <row r="25" spans="1:15" ht="9.75" customHeight="1">
      <c r="A25" s="413" t="s">
        <v>98</v>
      </c>
      <c r="B25" s="414">
        <v>61.452120000000001</v>
      </c>
      <c r="C25" s="414">
        <v>85.443529999999996</v>
      </c>
      <c r="D25" s="415">
        <f t="shared" si="0"/>
        <v>-0.28078673715844837</v>
      </c>
      <c r="E25" s="138"/>
      <c r="F25" s="138"/>
      <c r="G25" s="138"/>
      <c r="H25" s="138"/>
      <c r="I25" s="138"/>
      <c r="J25" s="138"/>
      <c r="K25" s="26"/>
      <c r="L25" s="834" t="s">
        <v>116</v>
      </c>
      <c r="M25" s="835">
        <v>2.7240599999999997</v>
      </c>
      <c r="N25" s="835">
        <v>3.4587300000000001</v>
      </c>
      <c r="O25" s="836"/>
    </row>
    <row r="26" spans="1:15" ht="9.75" customHeight="1">
      <c r="A26" s="410" t="s">
        <v>102</v>
      </c>
      <c r="B26" s="411">
        <v>41.265819999999998</v>
      </c>
      <c r="C26" s="411">
        <v>47.538539999999998</v>
      </c>
      <c r="D26" s="412">
        <f t="shared" si="0"/>
        <v>-0.13195020293008575</v>
      </c>
      <c r="E26" s="138"/>
      <c r="F26" s="138"/>
      <c r="G26" s="138"/>
      <c r="H26" s="138"/>
      <c r="I26" s="138"/>
      <c r="J26" s="138"/>
      <c r="K26" s="26"/>
      <c r="L26" s="834" t="s">
        <v>117</v>
      </c>
      <c r="M26" s="837">
        <v>3.6</v>
      </c>
      <c r="N26" s="837">
        <v>3.6</v>
      </c>
      <c r="O26" s="836"/>
    </row>
    <row r="27" spans="1:15" ht="9.75" customHeight="1">
      <c r="A27" s="413" t="s">
        <v>109</v>
      </c>
      <c r="B27" s="414">
        <v>30.290699999999998</v>
      </c>
      <c r="C27" s="414">
        <v>6.4319299999999995</v>
      </c>
      <c r="D27" s="415">
        <f t="shared" si="0"/>
        <v>3.7094262530842217</v>
      </c>
      <c r="E27" s="138"/>
      <c r="F27" s="138"/>
      <c r="G27" s="138"/>
      <c r="H27" s="138"/>
      <c r="I27" s="138"/>
      <c r="J27" s="138"/>
      <c r="K27" s="26"/>
      <c r="L27" s="834" t="s">
        <v>487</v>
      </c>
      <c r="M27" s="837">
        <v>3.7716000000000003</v>
      </c>
      <c r="N27" s="837">
        <v>4.2178000000000004</v>
      </c>
      <c r="O27" s="836"/>
    </row>
    <row r="28" spans="1:15" ht="9.75" customHeight="1">
      <c r="A28" s="410" t="s">
        <v>103</v>
      </c>
      <c r="B28" s="411">
        <v>28.782550000000001</v>
      </c>
      <c r="C28" s="411">
        <v>28.139520000000001</v>
      </c>
      <c r="D28" s="412">
        <f t="shared" si="0"/>
        <v>2.2851491425582182E-2</v>
      </c>
      <c r="E28" s="138"/>
      <c r="F28" s="138"/>
      <c r="G28" s="138"/>
      <c r="H28" s="138"/>
      <c r="I28" s="138"/>
      <c r="J28" s="138"/>
      <c r="K28" s="26"/>
      <c r="L28" s="834" t="s">
        <v>536</v>
      </c>
      <c r="M28" s="837">
        <v>4.6315499999999998</v>
      </c>
      <c r="N28" s="837"/>
      <c r="O28" s="836"/>
    </row>
    <row r="29" spans="1:15" ht="9.75" customHeight="1">
      <c r="A29" s="416" t="s">
        <v>114</v>
      </c>
      <c r="B29" s="417">
        <v>24.50949</v>
      </c>
      <c r="C29" s="417">
        <v>6.6779099999999998</v>
      </c>
      <c r="D29" s="418">
        <f t="shared" si="0"/>
        <v>2.6702336509476767</v>
      </c>
      <c r="E29" s="138"/>
      <c r="F29" s="138"/>
      <c r="G29" s="138"/>
      <c r="H29" s="138"/>
      <c r="I29" s="138"/>
      <c r="J29" s="138"/>
      <c r="K29" s="26"/>
      <c r="L29" s="834" t="s">
        <v>105</v>
      </c>
      <c r="M29" s="837">
        <v>8.13354</v>
      </c>
      <c r="N29" s="837">
        <v>18.366520000000001</v>
      </c>
      <c r="O29" s="836"/>
    </row>
    <row r="30" spans="1:15" ht="9.75" customHeight="1">
      <c r="A30" s="419" t="s">
        <v>500</v>
      </c>
      <c r="B30" s="420">
        <v>19.996739999999999</v>
      </c>
      <c r="C30" s="420"/>
      <c r="D30" s="421" t="str">
        <f t="shared" si="0"/>
        <v/>
      </c>
      <c r="E30" s="138"/>
      <c r="F30" s="138"/>
      <c r="G30" s="138"/>
      <c r="H30" s="138"/>
      <c r="I30" s="138"/>
      <c r="J30" s="138"/>
      <c r="K30" s="26"/>
      <c r="L30" s="834" t="s">
        <v>258</v>
      </c>
      <c r="M30" s="837">
        <v>9.9815799999999992</v>
      </c>
      <c r="N30" s="837">
        <v>19.817319999999999</v>
      </c>
      <c r="O30" s="836"/>
    </row>
    <row r="31" spans="1:15" ht="9.75" customHeight="1">
      <c r="A31" s="422" t="s">
        <v>470</v>
      </c>
      <c r="B31" s="423">
        <v>19.914870000000001</v>
      </c>
      <c r="C31" s="423">
        <v>20.011279999999999</v>
      </c>
      <c r="D31" s="424">
        <f t="shared" si="0"/>
        <v>-4.8177827705173648E-3</v>
      </c>
      <c r="E31" s="138"/>
      <c r="F31" s="138"/>
      <c r="G31" s="138"/>
      <c r="H31" s="138"/>
      <c r="I31" s="138"/>
      <c r="J31" s="138"/>
      <c r="K31" s="26"/>
      <c r="L31" s="834" t="s">
        <v>585</v>
      </c>
      <c r="M31" s="837">
        <v>10.07152</v>
      </c>
      <c r="N31" s="837"/>
      <c r="O31" s="836"/>
    </row>
    <row r="32" spans="1:15" ht="9.75" customHeight="1">
      <c r="A32" s="419" t="s">
        <v>514</v>
      </c>
      <c r="B32" s="420">
        <v>18.66602</v>
      </c>
      <c r="C32" s="420">
        <v>19.49907</v>
      </c>
      <c r="D32" s="421">
        <f t="shared" si="0"/>
        <v>-4.272255035752992E-2</v>
      </c>
      <c r="E32" s="138"/>
      <c r="F32" s="138"/>
      <c r="G32" s="138"/>
      <c r="H32" s="138"/>
      <c r="I32" s="138"/>
      <c r="J32" s="138"/>
      <c r="K32" s="26"/>
      <c r="L32" s="834" t="s">
        <v>507</v>
      </c>
      <c r="M32" s="837">
        <v>10.28848</v>
      </c>
      <c r="N32" s="837"/>
      <c r="O32" s="836"/>
    </row>
    <row r="33" spans="1:15" ht="9.75" customHeight="1">
      <c r="A33" s="422" t="s">
        <v>123</v>
      </c>
      <c r="B33" s="423">
        <v>17.947790000000001</v>
      </c>
      <c r="C33" s="423">
        <v>0</v>
      </c>
      <c r="D33" s="424" t="str">
        <f t="shared" si="0"/>
        <v/>
      </c>
      <c r="E33" s="138"/>
      <c r="F33" s="138"/>
      <c r="G33" s="138"/>
      <c r="H33" s="138"/>
      <c r="I33" s="138"/>
      <c r="J33" s="138"/>
      <c r="K33" s="26"/>
      <c r="L33" s="834" t="s">
        <v>251</v>
      </c>
      <c r="M33" s="837">
        <v>12.047560000000001</v>
      </c>
      <c r="N33" s="837">
        <v>18.997679999999999</v>
      </c>
      <c r="O33" s="836"/>
    </row>
    <row r="34" spans="1:15" ht="9.75" customHeight="1">
      <c r="A34" s="419" t="s">
        <v>253</v>
      </c>
      <c r="B34" s="420">
        <v>17.051090000000002</v>
      </c>
      <c r="C34" s="420">
        <v>18.352620000000002</v>
      </c>
      <c r="D34" s="421">
        <f t="shared" si="0"/>
        <v>-7.0917939781894868E-2</v>
      </c>
      <c r="E34" s="138"/>
      <c r="F34" s="138"/>
      <c r="G34" s="138"/>
      <c r="H34" s="138"/>
      <c r="I34" s="138"/>
      <c r="J34" s="138"/>
      <c r="K34" s="26"/>
      <c r="L34" s="834" t="s">
        <v>107</v>
      </c>
      <c r="M34" s="837">
        <v>14.48222</v>
      </c>
      <c r="N34" s="837">
        <v>0</v>
      </c>
      <c r="O34" s="836"/>
    </row>
    <row r="35" spans="1:15" ht="21.75" customHeight="1">
      <c r="A35" s="608" t="s">
        <v>104</v>
      </c>
      <c r="B35" s="423">
        <v>16.555999999999997</v>
      </c>
      <c r="C35" s="423">
        <v>18.835999999999999</v>
      </c>
      <c r="D35" s="424">
        <f t="shared" si="0"/>
        <v>-0.12104480781482274</v>
      </c>
      <c r="E35" s="138"/>
      <c r="F35" s="138"/>
      <c r="G35" s="138"/>
      <c r="H35" s="138"/>
      <c r="I35" s="138"/>
      <c r="J35" s="138"/>
      <c r="K35" s="26"/>
      <c r="L35" s="834" t="s">
        <v>104</v>
      </c>
      <c r="M35" s="837">
        <v>16.555999999999997</v>
      </c>
      <c r="N35" s="837">
        <v>18.835999999999999</v>
      </c>
      <c r="O35" s="836"/>
    </row>
    <row r="36" spans="1:15" ht="9.75" customHeight="1">
      <c r="A36" s="419" t="s">
        <v>107</v>
      </c>
      <c r="B36" s="420">
        <v>14.48222</v>
      </c>
      <c r="C36" s="420">
        <v>0</v>
      </c>
      <c r="D36" s="421" t="str">
        <f t="shared" si="0"/>
        <v/>
      </c>
      <c r="E36" s="138"/>
      <c r="F36" s="138"/>
      <c r="G36" s="138"/>
      <c r="H36" s="138"/>
      <c r="I36" s="138"/>
      <c r="J36" s="138"/>
      <c r="K36" s="34"/>
      <c r="L36" s="834" t="s">
        <v>253</v>
      </c>
      <c r="M36" s="837">
        <v>17.051090000000002</v>
      </c>
      <c r="N36" s="837">
        <v>18.352620000000002</v>
      </c>
      <c r="O36" s="836"/>
    </row>
    <row r="37" spans="1:15" ht="9.75" customHeight="1">
      <c r="A37" s="422" t="s">
        <v>251</v>
      </c>
      <c r="B37" s="423">
        <v>12.047560000000001</v>
      </c>
      <c r="C37" s="423">
        <v>18.997679999999999</v>
      </c>
      <c r="D37" s="424">
        <f t="shared" si="0"/>
        <v>-0.36584046051938968</v>
      </c>
      <c r="E37" s="138"/>
      <c r="F37" s="138"/>
      <c r="G37" s="138"/>
      <c r="H37" s="138"/>
      <c r="I37" s="138"/>
      <c r="J37" s="138"/>
      <c r="K37" s="34"/>
      <c r="L37" s="834" t="s">
        <v>123</v>
      </c>
      <c r="M37" s="835">
        <v>17.947790000000001</v>
      </c>
      <c r="N37" s="835">
        <v>0</v>
      </c>
      <c r="O37" s="836"/>
    </row>
    <row r="38" spans="1:15" ht="9.75" customHeight="1">
      <c r="A38" s="419" t="s">
        <v>507</v>
      </c>
      <c r="B38" s="420">
        <v>10.28848</v>
      </c>
      <c r="C38" s="420"/>
      <c r="D38" s="421" t="str">
        <f t="shared" si="0"/>
        <v/>
      </c>
      <c r="E38" s="138"/>
      <c r="F38" s="138"/>
      <c r="G38" s="138"/>
      <c r="H38" s="138"/>
      <c r="I38" s="138"/>
      <c r="J38" s="138"/>
      <c r="K38" s="29"/>
      <c r="L38" s="834" t="s">
        <v>514</v>
      </c>
      <c r="M38" s="837">
        <v>18.66602</v>
      </c>
      <c r="N38" s="837">
        <v>19.49907</v>
      </c>
      <c r="O38" s="836"/>
    </row>
    <row r="39" spans="1:15" ht="9.75" customHeight="1">
      <c r="A39" s="422" t="s">
        <v>585</v>
      </c>
      <c r="B39" s="423">
        <v>10.07152</v>
      </c>
      <c r="C39" s="423"/>
      <c r="D39" s="424" t="str">
        <f t="shared" si="0"/>
        <v/>
      </c>
      <c r="E39" s="138"/>
      <c r="F39" s="138"/>
      <c r="G39" s="138"/>
      <c r="H39" s="138"/>
      <c r="I39" s="138"/>
      <c r="J39" s="138"/>
      <c r="K39" s="29"/>
      <c r="L39" s="834" t="s">
        <v>470</v>
      </c>
      <c r="M39" s="837">
        <v>19.914870000000001</v>
      </c>
      <c r="N39" s="837">
        <v>20.011279999999999</v>
      </c>
      <c r="O39" s="836"/>
    </row>
    <row r="40" spans="1:15" ht="9.75" customHeight="1">
      <c r="A40" s="419" t="s">
        <v>258</v>
      </c>
      <c r="B40" s="420">
        <v>9.9815799999999992</v>
      </c>
      <c r="C40" s="420">
        <v>19.817319999999999</v>
      </c>
      <c r="D40" s="421">
        <f t="shared" si="0"/>
        <v>-0.4963203904463368</v>
      </c>
      <c r="E40" s="138"/>
      <c r="F40" s="138"/>
      <c r="G40" s="138"/>
      <c r="H40" s="138"/>
      <c r="I40" s="138"/>
      <c r="J40" s="138"/>
      <c r="K40" s="29"/>
      <c r="L40" s="834" t="s">
        <v>500</v>
      </c>
      <c r="M40" s="837">
        <v>19.996739999999999</v>
      </c>
      <c r="N40" s="837"/>
      <c r="O40" s="836"/>
    </row>
    <row r="41" spans="1:15" ht="9.75" customHeight="1">
      <c r="A41" s="422" t="s">
        <v>105</v>
      </c>
      <c r="B41" s="423">
        <v>8.13354</v>
      </c>
      <c r="C41" s="423">
        <v>18.366520000000001</v>
      </c>
      <c r="D41" s="424">
        <f t="shared" si="0"/>
        <v>-0.55715399542210498</v>
      </c>
      <c r="E41" s="138"/>
      <c r="F41" s="138"/>
      <c r="G41" s="138"/>
      <c r="H41" s="138"/>
      <c r="I41" s="138"/>
      <c r="J41" s="138"/>
      <c r="K41" s="34"/>
      <c r="L41" s="834" t="s">
        <v>114</v>
      </c>
      <c r="M41" s="837">
        <v>24.50949</v>
      </c>
      <c r="N41" s="837">
        <v>6.6779099999999998</v>
      </c>
      <c r="O41" s="836"/>
    </row>
    <row r="42" spans="1:15" ht="9.75" customHeight="1">
      <c r="A42" s="419" t="s">
        <v>536</v>
      </c>
      <c r="B42" s="420">
        <v>4.6315499999999998</v>
      </c>
      <c r="C42" s="420"/>
      <c r="D42" s="421" t="str">
        <f t="shared" si="0"/>
        <v/>
      </c>
      <c r="E42" s="138"/>
      <c r="F42" s="138"/>
      <c r="G42" s="138"/>
      <c r="H42" s="138"/>
      <c r="I42" s="138"/>
      <c r="J42" s="138"/>
      <c r="K42" s="34"/>
      <c r="L42" s="834" t="s">
        <v>103</v>
      </c>
      <c r="M42" s="837">
        <v>28.782550000000001</v>
      </c>
      <c r="N42" s="837">
        <v>28.139520000000001</v>
      </c>
      <c r="O42" s="836"/>
    </row>
    <row r="43" spans="1:15" ht="9.75" customHeight="1">
      <c r="A43" s="422" t="s">
        <v>487</v>
      </c>
      <c r="B43" s="423">
        <v>3.7716000000000003</v>
      </c>
      <c r="C43" s="423">
        <v>4.2178000000000004</v>
      </c>
      <c r="D43" s="424">
        <f t="shared" si="0"/>
        <v>-0.10578974820996734</v>
      </c>
      <c r="E43" s="138"/>
      <c r="F43" s="138"/>
      <c r="G43" s="138"/>
      <c r="H43" s="138"/>
      <c r="I43" s="138"/>
      <c r="J43" s="138"/>
      <c r="K43" s="34"/>
      <c r="L43" s="834" t="s">
        <v>109</v>
      </c>
      <c r="M43" s="837">
        <v>30.290699999999998</v>
      </c>
      <c r="N43" s="837">
        <v>6.4319299999999995</v>
      </c>
      <c r="O43" s="836"/>
    </row>
    <row r="44" spans="1:15" ht="9.75" customHeight="1">
      <c r="A44" s="419" t="s">
        <v>117</v>
      </c>
      <c r="B44" s="420">
        <v>3.6</v>
      </c>
      <c r="C44" s="420">
        <v>3.6</v>
      </c>
      <c r="D44" s="421">
        <f t="shared" si="0"/>
        <v>0</v>
      </c>
      <c r="E44" s="138"/>
      <c r="F44" s="138"/>
      <c r="G44" s="138"/>
      <c r="H44" s="138"/>
      <c r="I44" s="138"/>
      <c r="J44" s="138"/>
      <c r="L44" s="834" t="s">
        <v>102</v>
      </c>
      <c r="M44" s="837">
        <v>41.265819999999998</v>
      </c>
      <c r="N44" s="837">
        <v>47.538539999999998</v>
      </c>
      <c r="O44" s="836"/>
    </row>
    <row r="45" spans="1:15" ht="9.75" customHeight="1">
      <c r="A45" s="422" t="s">
        <v>116</v>
      </c>
      <c r="B45" s="423">
        <v>2.7240599999999997</v>
      </c>
      <c r="C45" s="423">
        <v>3.4587300000000001</v>
      </c>
      <c r="D45" s="424">
        <f t="shared" si="0"/>
        <v>-0.21241033558560518</v>
      </c>
      <c r="E45" s="138"/>
      <c r="F45" s="138"/>
      <c r="G45" s="138"/>
      <c r="H45" s="138"/>
      <c r="I45" s="138"/>
      <c r="J45" s="138"/>
      <c r="L45" s="834" t="s">
        <v>98</v>
      </c>
      <c r="M45" s="837">
        <v>61.452120000000001</v>
      </c>
      <c r="N45" s="837">
        <v>85.443529999999996</v>
      </c>
      <c r="O45" s="836"/>
    </row>
    <row r="46" spans="1:15" ht="9.75" customHeight="1">
      <c r="A46" s="419" t="s">
        <v>118</v>
      </c>
      <c r="B46" s="420">
        <v>1.6800600000000001</v>
      </c>
      <c r="C46" s="420">
        <v>3.512</v>
      </c>
      <c r="D46" s="421">
        <f t="shared" si="0"/>
        <v>-0.52162300683371288</v>
      </c>
      <c r="E46" s="138"/>
      <c r="F46" s="138"/>
      <c r="G46" s="138"/>
      <c r="H46" s="138"/>
      <c r="I46" s="138"/>
      <c r="J46" s="138"/>
      <c r="L46" s="834" t="s">
        <v>535</v>
      </c>
      <c r="M46" s="837">
        <v>71.596620000000001</v>
      </c>
      <c r="N46" s="837">
        <v>89.023700000000005</v>
      </c>
      <c r="O46" s="836"/>
    </row>
    <row r="47" spans="1:15" ht="9.75" customHeight="1">
      <c r="A47" s="422" t="s">
        <v>120</v>
      </c>
      <c r="B47" s="423">
        <v>0.23782</v>
      </c>
      <c r="C47" s="423">
        <v>0.88224000000000002</v>
      </c>
      <c r="D47" s="424">
        <f t="shared" si="0"/>
        <v>-0.73043616249546606</v>
      </c>
      <c r="E47" s="138"/>
      <c r="F47" s="138"/>
      <c r="G47" s="138"/>
      <c r="H47" s="138"/>
      <c r="I47" s="138"/>
      <c r="J47" s="138"/>
      <c r="L47" s="834" t="s">
        <v>250</v>
      </c>
      <c r="M47" s="837">
        <v>81.902439999999999</v>
      </c>
      <c r="N47" s="837">
        <v>70.294110000000003</v>
      </c>
      <c r="O47" s="836"/>
    </row>
    <row r="48" spans="1:15" ht="9.75" customHeight="1">
      <c r="A48" s="419" t="s">
        <v>122</v>
      </c>
      <c r="B48" s="420">
        <v>0</v>
      </c>
      <c r="C48" s="420">
        <v>18.205300000000001</v>
      </c>
      <c r="D48" s="421">
        <f t="shared" si="0"/>
        <v>-1</v>
      </c>
      <c r="E48" s="138"/>
      <c r="F48" s="138"/>
      <c r="G48" s="138"/>
      <c r="H48" s="138"/>
      <c r="I48" s="138"/>
      <c r="J48" s="138"/>
      <c r="L48" s="834" t="s">
        <v>97</v>
      </c>
      <c r="M48" s="837">
        <v>85.119879999999995</v>
      </c>
      <c r="N48" s="837">
        <v>0</v>
      </c>
      <c r="O48" s="836"/>
    </row>
    <row r="49" spans="1:15" ht="9.75" customHeight="1">
      <c r="A49" s="422" t="s">
        <v>248</v>
      </c>
      <c r="B49" s="423">
        <v>0</v>
      </c>
      <c r="C49" s="423">
        <v>0</v>
      </c>
      <c r="D49" s="424" t="str">
        <f t="shared" si="0"/>
        <v/>
      </c>
      <c r="E49" s="138"/>
      <c r="F49" s="138"/>
      <c r="G49" s="138"/>
      <c r="H49" s="138"/>
      <c r="I49" s="138"/>
      <c r="J49" s="138"/>
      <c r="L49" s="834" t="s">
        <v>96</v>
      </c>
      <c r="M49" s="837">
        <v>106.34021999999999</v>
      </c>
      <c r="N49" s="837">
        <v>110.12584000000001</v>
      </c>
      <c r="O49" s="836"/>
    </row>
    <row r="50" spans="1:15" ht="9.75" customHeight="1">
      <c r="A50" s="419" t="s">
        <v>115</v>
      </c>
      <c r="B50" s="420">
        <v>0</v>
      </c>
      <c r="C50" s="420">
        <v>5.04</v>
      </c>
      <c r="D50" s="421">
        <f t="shared" si="0"/>
        <v>-1</v>
      </c>
      <c r="E50" s="138"/>
      <c r="F50" s="138"/>
      <c r="G50" s="138"/>
      <c r="H50" s="138"/>
      <c r="I50" s="138"/>
      <c r="J50" s="138"/>
      <c r="L50" s="834" t="s">
        <v>99</v>
      </c>
      <c r="M50" s="837">
        <v>106.94519</v>
      </c>
      <c r="N50" s="837">
        <v>114.7818</v>
      </c>
      <c r="O50" s="836"/>
    </row>
    <row r="51" spans="1:15" ht="9.75" customHeight="1">
      <c r="A51" s="422" t="s">
        <v>112</v>
      </c>
      <c r="B51" s="423">
        <v>0</v>
      </c>
      <c r="C51" s="423">
        <v>0</v>
      </c>
      <c r="D51" s="424" t="str">
        <f t="shared" si="0"/>
        <v/>
      </c>
      <c r="E51" s="138"/>
      <c r="F51" s="138"/>
      <c r="G51" s="138"/>
      <c r="H51" s="138"/>
      <c r="I51" s="138"/>
      <c r="J51" s="138"/>
      <c r="L51" s="834" t="s">
        <v>94</v>
      </c>
      <c r="M51" s="837">
        <v>122.62738</v>
      </c>
      <c r="N51" s="837">
        <v>159.65100999999999</v>
      </c>
      <c r="O51" s="836"/>
    </row>
    <row r="52" spans="1:15" ht="9.75" customHeight="1">
      <c r="A52" s="419" t="s">
        <v>113</v>
      </c>
      <c r="B52" s="420">
        <v>0</v>
      </c>
      <c r="C52" s="420">
        <v>0</v>
      </c>
      <c r="D52" s="421" t="str">
        <f t="shared" si="0"/>
        <v/>
      </c>
      <c r="E52" s="138"/>
      <c r="F52" s="138"/>
      <c r="G52" s="138"/>
      <c r="H52" s="138"/>
      <c r="I52" s="138"/>
      <c r="J52" s="138"/>
      <c r="L52" s="834" t="s">
        <v>93</v>
      </c>
      <c r="M52" s="837">
        <v>136.76603</v>
      </c>
      <c r="N52" s="837">
        <v>162.91494999999998</v>
      </c>
      <c r="O52" s="836"/>
    </row>
    <row r="53" spans="1:15" ht="9.75" customHeight="1">
      <c r="A53" s="422" t="s">
        <v>490</v>
      </c>
      <c r="B53" s="423">
        <v>0</v>
      </c>
      <c r="C53" s="423"/>
      <c r="D53" s="424" t="str">
        <f t="shared" si="0"/>
        <v/>
      </c>
      <c r="E53" s="138"/>
      <c r="F53" s="138"/>
      <c r="G53" s="138"/>
      <c r="H53" s="138"/>
      <c r="I53" s="138"/>
      <c r="J53" s="138"/>
      <c r="L53" s="834" t="s">
        <v>92</v>
      </c>
      <c r="M53" s="837">
        <v>143.25579000000002</v>
      </c>
      <c r="N53" s="837">
        <v>144.12690000000006</v>
      </c>
      <c r="O53" s="836"/>
    </row>
    <row r="54" spans="1:15" ht="9.75" customHeight="1">
      <c r="A54" s="419" t="s">
        <v>119</v>
      </c>
      <c r="B54" s="420">
        <v>0</v>
      </c>
      <c r="C54" s="420">
        <v>0</v>
      </c>
      <c r="D54" s="421" t="str">
        <f t="shared" si="0"/>
        <v/>
      </c>
      <c r="E54" s="138"/>
      <c r="F54" s="138"/>
      <c r="G54" s="138"/>
      <c r="H54" s="138"/>
      <c r="I54" s="138"/>
      <c r="J54" s="138"/>
      <c r="L54" s="834" t="s">
        <v>95</v>
      </c>
      <c r="M54" s="837">
        <v>167.84417999999999</v>
      </c>
      <c r="N54" s="837">
        <v>196.94517999999999</v>
      </c>
      <c r="O54" s="836"/>
    </row>
    <row r="55" spans="1:15" ht="9.75" customHeight="1">
      <c r="A55" s="422" t="s">
        <v>111</v>
      </c>
      <c r="B55" s="423">
        <v>0</v>
      </c>
      <c r="C55" s="423">
        <v>0</v>
      </c>
      <c r="D55" s="424" t="str">
        <f t="shared" si="0"/>
        <v/>
      </c>
      <c r="E55" s="138"/>
      <c r="F55" s="138"/>
      <c r="G55" s="138"/>
      <c r="H55" s="138"/>
      <c r="I55" s="138"/>
      <c r="J55" s="138"/>
      <c r="L55" s="834" t="s">
        <v>254</v>
      </c>
      <c r="M55" s="837">
        <v>216.11092000000002</v>
      </c>
      <c r="N55" s="837">
        <v>243.65327000000002</v>
      </c>
      <c r="O55" s="836"/>
    </row>
    <row r="56" spans="1:15" ht="9.75" customHeight="1">
      <c r="A56" s="419" t="s">
        <v>255</v>
      </c>
      <c r="B56" s="420">
        <v>0</v>
      </c>
      <c r="C56" s="420">
        <v>9.4545200000000005</v>
      </c>
      <c r="D56" s="421">
        <f t="shared" si="0"/>
        <v>-1</v>
      </c>
      <c r="E56" s="138"/>
      <c r="F56" s="138"/>
      <c r="G56" s="138"/>
      <c r="H56" s="138"/>
      <c r="I56" s="138"/>
      <c r="J56" s="138"/>
      <c r="L56" s="834" t="s">
        <v>249</v>
      </c>
      <c r="M56" s="837">
        <v>232.74938</v>
      </c>
      <c r="N56" s="837">
        <v>442.48277999999999</v>
      </c>
      <c r="O56" s="836"/>
    </row>
    <row r="57" spans="1:15" ht="9.75" customHeight="1">
      <c r="A57" s="422" t="s">
        <v>100</v>
      </c>
      <c r="B57" s="423">
        <v>0</v>
      </c>
      <c r="C57" s="423">
        <v>24.39481</v>
      </c>
      <c r="D57" s="424">
        <f t="shared" si="0"/>
        <v>-1</v>
      </c>
      <c r="E57" s="138"/>
      <c r="F57" s="138"/>
      <c r="G57" s="138"/>
      <c r="H57" s="138"/>
      <c r="I57" s="138"/>
      <c r="J57" s="138"/>
      <c r="L57" s="834" t="s">
        <v>101</v>
      </c>
      <c r="M57" s="837">
        <v>287.08664999999996</v>
      </c>
      <c r="N57" s="837">
        <v>290.56951000000004</v>
      </c>
      <c r="O57" s="836"/>
    </row>
    <row r="58" spans="1:15" ht="9.75" customHeight="1">
      <c r="A58" s="419" t="s">
        <v>108</v>
      </c>
      <c r="B58" s="420">
        <v>0</v>
      </c>
      <c r="C58" s="420">
        <v>0</v>
      </c>
      <c r="D58" s="421" t="str">
        <f t="shared" si="0"/>
        <v/>
      </c>
      <c r="E58" s="138"/>
      <c r="F58" s="138"/>
      <c r="G58" s="138"/>
      <c r="H58" s="138"/>
      <c r="I58" s="138"/>
      <c r="J58" s="138"/>
      <c r="L58" s="834" t="s">
        <v>91</v>
      </c>
      <c r="M58" s="837">
        <v>287.90769999999998</v>
      </c>
      <c r="N58" s="837">
        <v>364.10663</v>
      </c>
      <c r="O58" s="836"/>
    </row>
    <row r="59" spans="1:15" ht="9.75" customHeight="1">
      <c r="A59" s="402" t="s">
        <v>256</v>
      </c>
      <c r="B59" s="403">
        <v>0</v>
      </c>
      <c r="C59" s="403">
        <v>0</v>
      </c>
      <c r="D59" s="424" t="str">
        <f t="shared" si="0"/>
        <v/>
      </c>
      <c r="E59" s="138"/>
      <c r="F59" s="138"/>
      <c r="G59" s="138"/>
      <c r="H59" s="138"/>
      <c r="I59" s="138"/>
      <c r="J59" s="138"/>
      <c r="L59" s="834" t="s">
        <v>252</v>
      </c>
      <c r="M59" s="837">
        <v>543.88617999999997</v>
      </c>
      <c r="N59" s="837">
        <v>550.50249999999994</v>
      </c>
      <c r="O59" s="836"/>
    </row>
    <row r="60" spans="1:15" ht="9.75" customHeight="1">
      <c r="A60" s="425" t="s">
        <v>257</v>
      </c>
      <c r="B60" s="426">
        <v>0</v>
      </c>
      <c r="C60" s="426">
        <v>0</v>
      </c>
      <c r="D60" s="427" t="str">
        <f t="shared" si="0"/>
        <v/>
      </c>
      <c r="E60" s="138"/>
      <c r="F60" s="138"/>
      <c r="G60" s="138"/>
      <c r="H60" s="138"/>
      <c r="I60" s="138"/>
      <c r="J60" s="138"/>
      <c r="L60" s="834" t="s">
        <v>88</v>
      </c>
      <c r="M60" s="837">
        <v>784.70128999999997</v>
      </c>
      <c r="N60" s="837">
        <v>465.27108000000004</v>
      </c>
      <c r="O60" s="836"/>
    </row>
    <row r="61" spans="1:15" ht="9.75" customHeight="1">
      <c r="A61" s="402" t="s">
        <v>121</v>
      </c>
      <c r="B61" s="403">
        <v>0</v>
      </c>
      <c r="C61" s="403">
        <v>0</v>
      </c>
      <c r="D61" s="415" t="str">
        <f t="shared" si="0"/>
        <v/>
      </c>
      <c r="E61" s="138"/>
      <c r="F61" s="138"/>
      <c r="G61" s="138"/>
      <c r="H61" s="138"/>
      <c r="I61" s="138"/>
      <c r="J61" s="138"/>
      <c r="L61" s="834" t="s">
        <v>90</v>
      </c>
      <c r="M61" s="837">
        <v>865.56577000000016</v>
      </c>
      <c r="N61" s="837">
        <v>839.44848000000002</v>
      </c>
      <c r="O61" s="836"/>
    </row>
    <row r="62" spans="1:15" ht="9.75" customHeight="1">
      <c r="A62" s="425" t="s">
        <v>110</v>
      </c>
      <c r="B62" s="426">
        <v>0</v>
      </c>
      <c r="C62" s="426">
        <v>0</v>
      </c>
      <c r="D62" s="427"/>
      <c r="E62" s="138"/>
      <c r="F62" s="138"/>
      <c r="G62" s="138"/>
      <c r="H62" s="138"/>
      <c r="I62" s="138"/>
      <c r="J62" s="138"/>
      <c r="L62" s="834" t="s">
        <v>89</v>
      </c>
      <c r="M62" s="837">
        <v>876.0515200000001</v>
      </c>
      <c r="N62" s="837">
        <v>749.13831999999991</v>
      </c>
      <c r="O62" s="836"/>
    </row>
    <row r="63" spans="1:15" ht="9.75" customHeight="1">
      <c r="A63" s="402" t="s">
        <v>106</v>
      </c>
      <c r="B63" s="403">
        <v>0</v>
      </c>
      <c r="C63" s="403">
        <v>0</v>
      </c>
      <c r="D63" s="415"/>
      <c r="E63" s="138"/>
      <c r="F63" s="138"/>
      <c r="G63" s="138"/>
      <c r="H63" s="138"/>
      <c r="I63" s="138"/>
      <c r="J63" s="138"/>
      <c r="L63" s="834" t="s">
        <v>486</v>
      </c>
      <c r="M63" s="837">
        <v>1299.22794</v>
      </c>
      <c r="N63" s="837">
        <v>1168.3217300000001</v>
      </c>
      <c r="O63" s="836"/>
    </row>
    <row r="64" spans="1:15" ht="9.75" customHeight="1">
      <c r="A64" s="404" t="s">
        <v>43</v>
      </c>
      <c r="B64" s="704">
        <f>SUM(B7:B61)</f>
        <v>6793.7682599999989</v>
      </c>
      <c r="C64" s="405">
        <f>SUM(C7:C61)</f>
        <v>6542.2351099999978</v>
      </c>
      <c r="D64" s="406">
        <f>IF(C64=0,"",B64/C64-1)</f>
        <v>3.8447586454898985E-2</v>
      </c>
      <c r="E64" s="132"/>
      <c r="F64" s="132"/>
      <c r="G64" s="132"/>
      <c r="H64" s="159"/>
      <c r="I64" s="159"/>
      <c r="J64" s="159"/>
      <c r="L64" s="834"/>
      <c r="M64" s="838"/>
      <c r="N64" s="838"/>
    </row>
    <row r="65" spans="1:10" ht="32.25" customHeight="1">
      <c r="A65" s="927" t="str">
        <f>"Cuadro N° 8: Participación de las empresas generadoras del COES en la máxima potencia coincidente (MW) en "&amp;'1. Resumen'!Q4</f>
        <v>Cuadro N° 8: Participación de las empresas generadoras del COES en la máxima potencia coincidente (MW) en junio</v>
      </c>
      <c r="B65" s="927"/>
      <c r="C65" s="927"/>
      <c r="D65" s="927"/>
      <c r="E65" s="150"/>
      <c r="F65" s="927" t="str">
        <f>"Gráfico N° 12: Comparación de la máxima potencia coincidente  (MW) de las empresas generadoras del COES en "&amp;'1. Resumen'!Q4</f>
        <v>Gráfico N° 12: Comparación de la máxima potencia coincidente  (MW) de las empresas generadoras del COES en junio</v>
      </c>
      <c r="G65" s="927"/>
      <c r="H65" s="927"/>
      <c r="I65" s="927"/>
      <c r="J65" s="927"/>
    </row>
    <row r="66" spans="1:10" ht="7.5" customHeight="1">
      <c r="A66" s="808"/>
      <c r="B66" s="808"/>
      <c r="C66" s="808"/>
      <c r="D66" s="808"/>
      <c r="E66" s="150"/>
      <c r="F66" s="808"/>
      <c r="G66" s="808"/>
      <c r="H66" s="808"/>
      <c r="I66" s="808"/>
      <c r="J66" s="808"/>
    </row>
    <row r="67" spans="1:10" ht="12.75" customHeight="1">
      <c r="A67" s="929"/>
      <c r="B67" s="929"/>
      <c r="C67" s="929"/>
      <c r="D67" s="929"/>
      <c r="E67" s="929"/>
      <c r="F67" s="929"/>
      <c r="G67" s="929"/>
      <c r="H67" s="929"/>
      <c r="I67" s="929"/>
      <c r="J67" s="929"/>
    </row>
    <row r="68" spans="1:10" ht="12.75" customHeight="1">
      <c r="A68" s="929"/>
      <c r="B68" s="929"/>
      <c r="C68" s="929"/>
      <c r="D68" s="929"/>
      <c r="E68" s="929"/>
      <c r="F68" s="929"/>
      <c r="G68" s="929"/>
      <c r="H68" s="929"/>
      <c r="I68" s="929"/>
      <c r="J68" s="929"/>
    </row>
    <row r="69" spans="1:10">
      <c r="A69" s="929"/>
      <c r="B69" s="929"/>
      <c r="C69" s="929"/>
      <c r="D69" s="929"/>
      <c r="E69" s="929"/>
      <c r="F69" s="929"/>
      <c r="G69" s="929"/>
      <c r="H69" s="929"/>
      <c r="I69" s="929"/>
      <c r="J69" s="929"/>
    </row>
    <row r="70" spans="1:10">
      <c r="A70" s="922"/>
      <c r="B70" s="922"/>
      <c r="C70" s="922"/>
      <c r="D70" s="922"/>
      <c r="E70" s="922"/>
      <c r="F70" s="922"/>
      <c r="G70" s="922"/>
      <c r="H70" s="922"/>
      <c r="I70" s="922"/>
      <c r="J70" s="922"/>
    </row>
    <row r="71" spans="1:10">
      <c r="A71" s="921"/>
      <c r="B71" s="921"/>
      <c r="C71" s="921"/>
      <c r="D71" s="921"/>
      <c r="E71" s="921"/>
      <c r="F71" s="921"/>
      <c r="G71" s="921"/>
      <c r="H71" s="921"/>
      <c r="I71" s="921"/>
      <c r="J71" s="921"/>
    </row>
    <row r="72" spans="1:10">
      <c r="A72" s="941"/>
      <c r="B72" s="941"/>
      <c r="C72" s="941"/>
      <c r="D72" s="941"/>
      <c r="E72" s="941"/>
      <c r="F72" s="941"/>
      <c r="G72" s="941"/>
      <c r="H72" s="941"/>
      <c r="I72" s="941"/>
      <c r="J72" s="941"/>
    </row>
    <row r="73" spans="1:10">
      <c r="A73" s="940"/>
      <c r="B73" s="940"/>
      <c r="C73" s="940"/>
      <c r="D73" s="940"/>
      <c r="E73" s="940"/>
      <c r="F73" s="940"/>
      <c r="G73" s="940"/>
      <c r="H73" s="940"/>
      <c r="I73" s="940"/>
      <c r="J73" s="940"/>
    </row>
  </sheetData>
  <mergeCells count="14">
    <mergeCell ref="A67:J67"/>
    <mergeCell ref="A65:D65"/>
    <mergeCell ref="F65:J65"/>
    <mergeCell ref="A1:J1"/>
    <mergeCell ref="A3:A6"/>
    <mergeCell ref="B3:D3"/>
    <mergeCell ref="G3:I3"/>
    <mergeCell ref="D4:D6"/>
    <mergeCell ref="A73:J73"/>
    <mergeCell ref="A68:J68"/>
    <mergeCell ref="A69:J69"/>
    <mergeCell ref="A70:J70"/>
    <mergeCell ref="A71:J71"/>
    <mergeCell ref="A72:J72"/>
  </mergeCells>
  <pageMargins left="0.70866141732283472" right="0.59055118110236227"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77A5"/>
  </sheetPr>
  <dimension ref="A1:AL65"/>
  <sheetViews>
    <sheetView showGridLines="0" view="pageBreakPreview" zoomScale="145" zoomScaleNormal="100" zoomScaleSheetLayoutView="145" zoomScalePageLayoutView="130" workbookViewId="0">
      <selection activeCell="C12" sqref="C12"/>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33" customWidth="1"/>
    <col min="12" max="31" width="9.33203125" style="333"/>
    <col min="32" max="16384" width="9.33203125" style="46"/>
  </cols>
  <sheetData>
    <row r="1" spans="1:38" ht="11.25" customHeight="1"/>
    <row r="2" spans="1:38" ht="17.25" customHeight="1">
      <c r="A2" s="932" t="s">
        <v>266</v>
      </c>
      <c r="B2" s="932"/>
      <c r="C2" s="932"/>
      <c r="D2" s="932"/>
      <c r="E2" s="932"/>
      <c r="F2" s="932"/>
      <c r="G2" s="932"/>
      <c r="H2" s="932"/>
    </row>
    <row r="3" spans="1:38" ht="11.25" customHeight="1">
      <c r="A3" s="77"/>
      <c r="B3" s="77"/>
      <c r="C3" s="77"/>
      <c r="D3" s="77"/>
      <c r="E3" s="77"/>
      <c r="F3" s="82"/>
      <c r="G3" s="82"/>
      <c r="H3" s="82"/>
      <c r="I3" s="36"/>
      <c r="J3" s="344"/>
    </row>
    <row r="4" spans="1:38" ht="15.75" customHeight="1">
      <c r="A4" s="950" t="s">
        <v>567</v>
      </c>
      <c r="B4" s="950"/>
      <c r="C4" s="950"/>
      <c r="D4" s="950"/>
      <c r="E4" s="950"/>
      <c r="F4" s="950"/>
      <c r="G4" s="950"/>
      <c r="H4" s="950"/>
      <c r="I4" s="36"/>
      <c r="J4" s="344"/>
    </row>
    <row r="5" spans="1:38" ht="11.25" customHeight="1">
      <c r="A5" s="77"/>
      <c r="B5" s="165"/>
      <c r="C5" s="79"/>
      <c r="D5" s="79"/>
      <c r="E5" s="80"/>
      <c r="F5" s="76"/>
      <c r="G5" s="76"/>
      <c r="H5" s="81"/>
      <c r="I5" s="166"/>
      <c r="J5" s="345"/>
    </row>
    <row r="6" spans="1:38" ht="42.75" customHeight="1">
      <c r="A6" s="77"/>
      <c r="C6" s="541" t="s">
        <v>126</v>
      </c>
      <c r="D6" s="542" t="s">
        <v>702</v>
      </c>
      <c r="E6" s="542" t="s">
        <v>703</v>
      </c>
      <c r="F6" s="543" t="s">
        <v>127</v>
      </c>
      <c r="G6" s="170"/>
      <c r="H6" s="171"/>
    </row>
    <row r="7" spans="1:38" ht="11.25" customHeight="1">
      <c r="A7" s="77"/>
      <c r="C7" s="613" t="s">
        <v>128</v>
      </c>
      <c r="D7" s="614">
        <v>22.548000340000002</v>
      </c>
      <c r="E7" s="615">
        <v>18.07600021</v>
      </c>
      <c r="F7" s="616">
        <f>IF(E7=0,"",(D7-E7)/E7)</f>
        <v>0.24739987154492302</v>
      </c>
      <c r="G7" s="137"/>
      <c r="H7" s="275"/>
    </row>
    <row r="8" spans="1:38" ht="11.25" customHeight="1">
      <c r="A8" s="77"/>
      <c r="C8" s="617" t="s">
        <v>129</v>
      </c>
      <c r="D8" s="618">
        <v>118.237999</v>
      </c>
      <c r="E8" s="619">
        <v>112.34899900000001</v>
      </c>
      <c r="F8" s="620">
        <f t="shared" ref="F8:F20" si="0">IF(E8=0,"",(D8-E8)/E8)</f>
        <v>5.2417022424917158E-2</v>
      </c>
      <c r="G8" s="137"/>
      <c r="H8" s="275"/>
    </row>
    <row r="9" spans="1:38" ht="11.25" customHeight="1">
      <c r="A9" s="77"/>
      <c r="C9" s="621" t="s">
        <v>130</v>
      </c>
      <c r="D9" s="622">
        <v>89.009002690000003</v>
      </c>
      <c r="E9" s="623">
        <v>98.206001279999995</v>
      </c>
      <c r="F9" s="624">
        <f t="shared" si="0"/>
        <v>-9.3650066901491844E-2</v>
      </c>
      <c r="G9" s="137"/>
      <c r="H9" s="275"/>
      <c r="M9" s="346" t="s">
        <v>272</v>
      </c>
      <c r="N9" s="347"/>
      <c r="O9" s="347"/>
      <c r="P9" s="347"/>
      <c r="Q9" s="347"/>
      <c r="R9" s="347"/>
      <c r="S9" s="347"/>
      <c r="T9" s="347"/>
      <c r="U9" s="347"/>
      <c r="V9" s="347"/>
      <c r="W9" s="347"/>
      <c r="X9" s="347"/>
      <c r="Y9" s="347"/>
      <c r="Z9" s="347"/>
      <c r="AA9" s="347"/>
      <c r="AB9" s="347"/>
      <c r="AC9" s="347"/>
      <c r="AD9" s="347"/>
      <c r="AE9" s="347"/>
      <c r="AF9" s="218"/>
      <c r="AG9" s="218"/>
      <c r="AH9" s="218"/>
      <c r="AI9" s="218"/>
      <c r="AJ9" s="218"/>
      <c r="AK9" s="218"/>
      <c r="AL9" s="218"/>
    </row>
    <row r="10" spans="1:38" ht="11.25" customHeight="1">
      <c r="A10" s="77"/>
      <c r="C10" s="617" t="s">
        <v>131</v>
      </c>
      <c r="D10" s="618">
        <v>80.058998110000005</v>
      </c>
      <c r="E10" s="619">
        <v>78.761001590000006</v>
      </c>
      <c r="F10" s="620">
        <f t="shared" si="0"/>
        <v>1.6480193164084899E-2</v>
      </c>
      <c r="G10" s="137"/>
      <c r="H10" s="275"/>
      <c r="M10" s="346" t="s">
        <v>273</v>
      </c>
      <c r="N10" s="347"/>
      <c r="O10" s="347"/>
      <c r="P10" s="347"/>
      <c r="Q10" s="347"/>
      <c r="R10" s="347"/>
      <c r="S10" s="347"/>
      <c r="T10" s="347"/>
      <c r="AD10" s="347"/>
      <c r="AE10" s="347"/>
      <c r="AF10" s="218"/>
      <c r="AG10" s="218"/>
      <c r="AH10" s="218"/>
      <c r="AI10" s="218"/>
      <c r="AJ10" s="218"/>
      <c r="AK10" s="218"/>
      <c r="AL10" s="218"/>
    </row>
    <row r="11" spans="1:38" ht="11.25" customHeight="1">
      <c r="A11" s="77"/>
      <c r="C11" s="621" t="s">
        <v>132</v>
      </c>
      <c r="D11" s="622">
        <v>29.291439059999998</v>
      </c>
      <c r="E11" s="623">
        <v>27.541000369999999</v>
      </c>
      <c r="F11" s="624">
        <f>IF(E11=0,"",(D11-E11)/E11)</f>
        <v>6.3557556605922202E-2</v>
      </c>
      <c r="G11" s="137"/>
      <c r="H11" s="275"/>
      <c r="M11" s="347"/>
      <c r="N11" s="348">
        <v>2016</v>
      </c>
      <c r="O11" s="348">
        <v>2017</v>
      </c>
      <c r="P11" s="348">
        <v>2018</v>
      </c>
      <c r="Q11" s="348">
        <v>2019</v>
      </c>
      <c r="R11" s="347"/>
      <c r="S11" s="347"/>
      <c r="T11" s="347"/>
      <c r="AD11" s="347"/>
      <c r="AE11" s="347"/>
      <c r="AF11" s="218"/>
      <c r="AG11" s="218"/>
      <c r="AH11" s="218"/>
      <c r="AI11" s="218"/>
      <c r="AJ11" s="218"/>
      <c r="AK11" s="218"/>
      <c r="AL11" s="218"/>
    </row>
    <row r="12" spans="1:38" ht="11.25" customHeight="1">
      <c r="A12" s="77"/>
      <c r="C12" s="617" t="s">
        <v>133</v>
      </c>
      <c r="D12" s="618">
        <v>11.3125</v>
      </c>
      <c r="E12" s="619">
        <v>25.75</v>
      </c>
      <c r="F12" s="620">
        <f t="shared" si="0"/>
        <v>-0.56067961165048541</v>
      </c>
      <c r="G12" s="137"/>
      <c r="H12" s="275"/>
      <c r="M12" s="349">
        <v>1</v>
      </c>
      <c r="N12" s="350">
        <v>138.54</v>
      </c>
      <c r="O12" s="350">
        <v>93.1</v>
      </c>
      <c r="P12" s="350">
        <v>104.46</v>
      </c>
      <c r="Q12" s="637">
        <v>117.2900009</v>
      </c>
      <c r="R12" s="347"/>
      <c r="S12" s="347"/>
      <c r="T12" s="347"/>
      <c r="AD12" s="347"/>
      <c r="AE12" s="347"/>
      <c r="AF12" s="218"/>
      <c r="AG12" s="218"/>
      <c r="AH12" s="218"/>
      <c r="AI12" s="218"/>
      <c r="AJ12" s="218"/>
      <c r="AK12" s="218"/>
      <c r="AL12" s="218"/>
    </row>
    <row r="13" spans="1:38" ht="11.25" customHeight="1">
      <c r="A13" s="77"/>
      <c r="C13" s="621" t="s">
        <v>134</v>
      </c>
      <c r="D13" s="622">
        <v>103.9400024</v>
      </c>
      <c r="E13" s="623">
        <v>99.989997860000003</v>
      </c>
      <c r="F13" s="624">
        <f t="shared" si="0"/>
        <v>3.9503996645049978E-2</v>
      </c>
      <c r="G13" s="137"/>
      <c r="H13" s="275"/>
      <c r="M13" s="349">
        <v>2</v>
      </c>
      <c r="N13" s="350">
        <v>140.53</v>
      </c>
      <c r="O13" s="350">
        <v>93.1</v>
      </c>
      <c r="P13" s="350">
        <v>103.4720001</v>
      </c>
      <c r="Q13" s="637">
        <v>116.0110016</v>
      </c>
      <c r="R13" s="347"/>
      <c r="S13" s="347"/>
      <c r="T13" s="347"/>
      <c r="AD13" s="347"/>
      <c r="AE13" s="347"/>
      <c r="AF13" s="218"/>
      <c r="AG13" s="218"/>
      <c r="AH13" s="218"/>
      <c r="AI13" s="218"/>
      <c r="AJ13" s="218"/>
      <c r="AK13" s="218"/>
      <c r="AL13" s="218"/>
    </row>
    <row r="14" spans="1:38" ht="11.25" customHeight="1">
      <c r="A14" s="77"/>
      <c r="C14" s="617" t="s">
        <v>135</v>
      </c>
      <c r="D14" s="618">
        <v>231.6340027</v>
      </c>
      <c r="E14" s="619">
        <v>221.80799870000001</v>
      </c>
      <c r="F14" s="620">
        <f t="shared" si="0"/>
        <v>4.4299592699945239E-2</v>
      </c>
      <c r="G14" s="137"/>
      <c r="H14" s="275"/>
      <c r="M14" s="349">
        <v>3</v>
      </c>
      <c r="N14" s="350">
        <v>140.53</v>
      </c>
      <c r="O14" s="350">
        <v>98.74</v>
      </c>
      <c r="P14" s="350">
        <v>106.08699799999999</v>
      </c>
      <c r="Q14" s="637">
        <v>117.6</v>
      </c>
      <c r="R14" s="347"/>
      <c r="S14" s="347"/>
      <c r="T14" s="347"/>
      <c r="AD14" s="347"/>
      <c r="AE14" s="347"/>
      <c r="AF14" s="218"/>
      <c r="AG14" s="218"/>
      <c r="AH14" s="218"/>
      <c r="AI14" s="218"/>
      <c r="AJ14" s="218"/>
      <c r="AK14" s="218"/>
      <c r="AL14" s="218"/>
    </row>
    <row r="15" spans="1:38" ht="11.25" customHeight="1">
      <c r="A15" s="77"/>
      <c r="C15" s="621" t="s">
        <v>136</v>
      </c>
      <c r="D15" s="622">
        <v>48.180000309999997</v>
      </c>
      <c r="E15" s="623">
        <v>30.700000760000002</v>
      </c>
      <c r="F15" s="624">
        <f t="shared" si="0"/>
        <v>0.56938107873844868</v>
      </c>
      <c r="G15" s="137"/>
      <c r="H15" s="275"/>
      <c r="M15" s="349">
        <v>4</v>
      </c>
      <c r="N15" s="350">
        <v>137.43800000000002</v>
      </c>
      <c r="O15" s="350">
        <v>98.74</v>
      </c>
      <c r="P15" s="350">
        <v>112.7200012</v>
      </c>
      <c r="Q15" s="637">
        <v>128.32000729999999</v>
      </c>
      <c r="R15" s="347"/>
      <c r="S15" s="347"/>
      <c r="T15" s="347"/>
      <c r="AD15" s="347"/>
      <c r="AE15" s="347"/>
      <c r="AF15" s="218"/>
      <c r="AG15" s="218"/>
      <c r="AH15" s="218"/>
      <c r="AI15" s="218"/>
      <c r="AJ15" s="218"/>
      <c r="AK15" s="218"/>
      <c r="AL15" s="218"/>
    </row>
    <row r="16" spans="1:38" ht="11.25" customHeight="1">
      <c r="A16" s="77"/>
      <c r="C16" s="617" t="s">
        <v>137</v>
      </c>
      <c r="D16" s="618">
        <v>291.33300780000002</v>
      </c>
      <c r="E16" s="619">
        <v>282.71701050000001</v>
      </c>
      <c r="F16" s="620">
        <f t="shared" si="0"/>
        <v>3.0475694705324435E-2</v>
      </c>
      <c r="G16" s="137"/>
      <c r="H16" s="275"/>
      <c r="M16" s="349">
        <v>5</v>
      </c>
      <c r="N16" s="350">
        <v>137.43800000000002</v>
      </c>
      <c r="O16" s="350">
        <v>125.15</v>
      </c>
      <c r="P16" s="350">
        <v>122.3190002</v>
      </c>
      <c r="Q16" s="637">
        <v>139.2400055</v>
      </c>
      <c r="R16" s="347"/>
      <c r="S16" s="347"/>
      <c r="T16" s="347"/>
      <c r="AD16" s="347"/>
      <c r="AE16" s="347"/>
      <c r="AF16" s="218"/>
      <c r="AG16" s="218"/>
      <c r="AH16" s="218"/>
      <c r="AI16" s="218"/>
      <c r="AJ16" s="218"/>
      <c r="AK16" s="218"/>
      <c r="AL16" s="218"/>
    </row>
    <row r="17" spans="1:38" ht="11.25" customHeight="1">
      <c r="A17" s="77"/>
      <c r="C17" s="621" t="s">
        <v>138</v>
      </c>
      <c r="D17" s="622">
        <v>182.8999939</v>
      </c>
      <c r="E17" s="623">
        <v>204.03999329999999</v>
      </c>
      <c r="F17" s="624">
        <f t="shared" si="0"/>
        <v>-0.10360713631723097</v>
      </c>
      <c r="G17" s="137"/>
      <c r="H17" s="275"/>
      <c r="M17" s="349">
        <v>6</v>
      </c>
      <c r="N17" s="350">
        <v>137.43800000000002</v>
      </c>
      <c r="O17" s="350">
        <v>125.15</v>
      </c>
      <c r="P17" s="350">
        <v>126.1559982</v>
      </c>
      <c r="Q17" s="637">
        <v>150.94</v>
      </c>
      <c r="R17" s="347"/>
      <c r="S17" s="347"/>
      <c r="T17" s="347"/>
      <c r="AD17" s="347"/>
      <c r="AE17" s="347"/>
      <c r="AF17" s="218"/>
      <c r="AG17" s="218"/>
      <c r="AH17" s="218"/>
      <c r="AI17" s="218"/>
      <c r="AJ17" s="218"/>
      <c r="AK17" s="218"/>
      <c r="AL17" s="218"/>
    </row>
    <row r="18" spans="1:38" ht="11.25" customHeight="1">
      <c r="A18" s="77"/>
      <c r="C18" s="617" t="s">
        <v>139</v>
      </c>
      <c r="D18" s="618">
        <v>21.17700005</v>
      </c>
      <c r="E18" s="619">
        <v>27.43600082</v>
      </c>
      <c r="F18" s="620">
        <f t="shared" si="0"/>
        <v>-0.22813094412205226</v>
      </c>
      <c r="G18" s="137"/>
      <c r="H18" s="275"/>
      <c r="M18" s="349">
        <v>7</v>
      </c>
      <c r="N18" s="350">
        <v>151.05499267578099</v>
      </c>
      <c r="O18" s="350">
        <v>142.99</v>
      </c>
      <c r="P18" s="350">
        <v>142.9900055</v>
      </c>
      <c r="Q18" s="637">
        <v>162.4909973</v>
      </c>
      <c r="R18" s="347"/>
      <c r="S18" s="347"/>
      <c r="T18" s="347"/>
      <c r="AD18" s="347"/>
      <c r="AE18" s="347"/>
      <c r="AF18" s="218"/>
      <c r="AG18" s="218"/>
      <c r="AH18" s="218"/>
      <c r="AI18" s="218"/>
      <c r="AJ18" s="218"/>
      <c r="AK18" s="218"/>
      <c r="AL18" s="218"/>
    </row>
    <row r="19" spans="1:38" ht="12.75" customHeight="1">
      <c r="A19" s="77"/>
      <c r="C19" s="621" t="s">
        <v>140</v>
      </c>
      <c r="D19" s="622">
        <v>53.02254868</v>
      </c>
      <c r="E19" s="623">
        <v>58.19900131</v>
      </c>
      <c r="F19" s="624">
        <f t="shared" si="0"/>
        <v>-8.8944011297158801E-2</v>
      </c>
      <c r="G19" s="137"/>
      <c r="H19" s="275"/>
      <c r="M19" s="349">
        <v>8</v>
      </c>
      <c r="N19" s="350">
        <v>151.05499267578099</v>
      </c>
      <c r="O19" s="350">
        <v>142.99</v>
      </c>
      <c r="P19" s="350">
        <v>134.13600159999999</v>
      </c>
      <c r="Q19" s="637">
        <v>169.03700259999999</v>
      </c>
      <c r="R19" s="347"/>
      <c r="S19" s="347"/>
      <c r="T19" s="347"/>
      <c r="AD19" s="347"/>
      <c r="AE19" s="347"/>
      <c r="AF19" s="218"/>
      <c r="AG19" s="218"/>
      <c r="AH19" s="218"/>
      <c r="AI19" s="218"/>
      <c r="AJ19" s="218"/>
      <c r="AK19" s="218"/>
      <c r="AL19" s="218"/>
    </row>
    <row r="20" spans="1:38" ht="13.5" customHeight="1">
      <c r="A20" s="77"/>
      <c r="C20" s="617" t="s">
        <v>141</v>
      </c>
      <c r="D20" s="618">
        <v>23.650850299999998</v>
      </c>
      <c r="E20" s="619">
        <v>24.881000520000001</v>
      </c>
      <c r="F20" s="620">
        <f t="shared" si="0"/>
        <v>-4.9441348590912787E-2</v>
      </c>
      <c r="G20" s="137"/>
      <c r="H20" s="275"/>
      <c r="M20" s="349">
        <v>9</v>
      </c>
      <c r="N20" s="350">
        <v>165.00500489999999</v>
      </c>
      <c r="O20" s="350">
        <v>159.53</v>
      </c>
      <c r="P20" s="350">
        <v>153.34500120000001</v>
      </c>
      <c r="Q20" s="637">
        <v>182.64300539999999</v>
      </c>
      <c r="R20" s="347"/>
      <c r="S20" s="347"/>
      <c r="T20" s="347"/>
      <c r="AD20" s="347"/>
      <c r="AE20" s="347"/>
      <c r="AF20" s="218"/>
      <c r="AG20" s="218"/>
      <c r="AH20" s="218"/>
      <c r="AI20" s="218"/>
      <c r="AJ20" s="218"/>
      <c r="AK20" s="218"/>
      <c r="AL20" s="218"/>
    </row>
    <row r="21" spans="1:38" ht="11.25" customHeight="1">
      <c r="A21" s="77"/>
      <c r="C21" s="621" t="s">
        <v>142</v>
      </c>
      <c r="D21" s="622">
        <v>6.7030000689999998</v>
      </c>
      <c r="E21" s="623">
        <v>6.7030000689999998</v>
      </c>
      <c r="F21" s="624">
        <f t="shared" ref="F21:F27" si="1">IF(E21=0,"",(D21-E21)/E21)</f>
        <v>0</v>
      </c>
      <c r="M21" s="349">
        <v>10</v>
      </c>
      <c r="N21" s="350">
        <v>165.00500489999999</v>
      </c>
      <c r="O21" s="350">
        <v>159.53</v>
      </c>
      <c r="P21" s="350">
        <v>153.0590057</v>
      </c>
      <c r="Q21" s="637">
        <v>190.99600219999999</v>
      </c>
      <c r="R21" s="347"/>
      <c r="S21" s="347"/>
      <c r="T21" s="347"/>
      <c r="AD21" s="347"/>
      <c r="AE21" s="347"/>
      <c r="AF21" s="218"/>
      <c r="AG21" s="218"/>
      <c r="AH21" s="218"/>
      <c r="AI21" s="218"/>
      <c r="AJ21" s="218"/>
      <c r="AK21" s="218"/>
      <c r="AL21" s="218"/>
    </row>
    <row r="22" spans="1:38" ht="11.25" customHeight="1">
      <c r="A22" s="77"/>
      <c r="C22" s="617" t="s">
        <v>143</v>
      </c>
      <c r="D22" s="618">
        <v>0</v>
      </c>
      <c r="E22" s="619">
        <v>6.5999999049999998</v>
      </c>
      <c r="F22" s="620">
        <f t="shared" si="1"/>
        <v>-1</v>
      </c>
      <c r="G22" s="137"/>
      <c r="H22" s="275"/>
      <c r="M22" s="349">
        <v>11</v>
      </c>
      <c r="N22" s="350">
        <v>186.45199584960901</v>
      </c>
      <c r="O22" s="350">
        <v>184.94</v>
      </c>
      <c r="P22" s="350">
        <v>162.93200680000001</v>
      </c>
      <c r="Q22" s="392">
        <v>200.89500427246</v>
      </c>
      <c r="AF22" s="276"/>
      <c r="AG22" s="276"/>
      <c r="AH22" s="276"/>
      <c r="AI22" s="276"/>
      <c r="AJ22" s="276"/>
      <c r="AK22" s="276"/>
      <c r="AL22" s="276"/>
    </row>
    <row r="23" spans="1:38" ht="11.25" customHeight="1">
      <c r="A23" s="77"/>
      <c r="C23" s="621" t="s">
        <v>496</v>
      </c>
      <c r="D23" s="622">
        <v>0.62199997900000004</v>
      </c>
      <c r="E23" s="623">
        <v>0.13899999900000001</v>
      </c>
      <c r="F23" s="624">
        <f t="shared" si="1"/>
        <v>3.4748200249987047</v>
      </c>
      <c r="G23" s="137"/>
      <c r="H23" s="275"/>
      <c r="M23" s="349">
        <v>12</v>
      </c>
      <c r="N23" s="350">
        <v>186.45199584960901</v>
      </c>
      <c r="O23" s="350">
        <v>184.94</v>
      </c>
      <c r="P23" s="350">
        <v>172.76199339999999</v>
      </c>
      <c r="Q23" s="392">
        <v>209.09500120000001</v>
      </c>
      <c r="AF23" s="276"/>
      <c r="AG23" s="276"/>
      <c r="AH23" s="276"/>
      <c r="AI23" s="276"/>
      <c r="AJ23" s="276"/>
      <c r="AK23" s="276"/>
      <c r="AL23" s="276"/>
    </row>
    <row r="24" spans="1:38" ht="11.25" customHeight="1">
      <c r="A24" s="77"/>
      <c r="C24" s="617" t="s">
        <v>144</v>
      </c>
      <c r="D24" s="618">
        <v>204.22900390000001</v>
      </c>
      <c r="E24" s="619">
        <v>209.85200499999999</v>
      </c>
      <c r="F24" s="620">
        <f t="shared" si="1"/>
        <v>-2.6795079227382088E-2</v>
      </c>
      <c r="G24" s="137"/>
      <c r="H24" s="275"/>
      <c r="M24" s="349">
        <v>13</v>
      </c>
      <c r="N24" s="350">
        <v>195.64999389648401</v>
      </c>
      <c r="O24" s="350">
        <v>203.73</v>
      </c>
      <c r="P24" s="350">
        <v>182.13900760000001</v>
      </c>
      <c r="Q24" s="392">
        <v>215.7310028</v>
      </c>
      <c r="AF24" s="276"/>
      <c r="AG24" s="276"/>
      <c r="AH24" s="276"/>
      <c r="AI24" s="276"/>
      <c r="AJ24" s="276"/>
      <c r="AK24" s="276"/>
      <c r="AL24" s="276"/>
    </row>
    <row r="25" spans="1:38" ht="11.25" customHeight="1">
      <c r="A25" s="77"/>
      <c r="C25" s="621" t="s">
        <v>145</v>
      </c>
      <c r="D25" s="622">
        <v>44.576999659999998</v>
      </c>
      <c r="E25" s="623">
        <v>47.099998470000003</v>
      </c>
      <c r="F25" s="624">
        <f t="shared" si="1"/>
        <v>-5.356685545556885E-2</v>
      </c>
      <c r="G25" s="137"/>
      <c r="H25" s="275"/>
      <c r="M25" s="349">
        <v>14</v>
      </c>
      <c r="N25" s="350">
        <v>195.64999389648401</v>
      </c>
      <c r="O25" s="350">
        <v>203.73</v>
      </c>
      <c r="P25" s="350">
        <v>191.4750061</v>
      </c>
      <c r="Q25" s="392">
        <v>219.1710052</v>
      </c>
      <c r="AF25" s="276"/>
      <c r="AG25" s="276"/>
      <c r="AH25" s="276"/>
      <c r="AI25" s="276"/>
      <c r="AJ25" s="276"/>
      <c r="AK25" s="276"/>
      <c r="AL25" s="276"/>
    </row>
    <row r="26" spans="1:38" ht="11.25" customHeight="1">
      <c r="A26" s="77"/>
      <c r="C26" s="617" t="s">
        <v>146</v>
      </c>
      <c r="D26" s="619">
        <v>67.44</v>
      </c>
      <c r="E26" s="619">
        <v>67.331999999999994</v>
      </c>
      <c r="F26" s="620">
        <f t="shared" si="1"/>
        <v>1.6039921582606206E-3</v>
      </c>
      <c r="G26" s="137"/>
      <c r="H26" s="137"/>
      <c r="M26" s="349">
        <v>15</v>
      </c>
      <c r="N26" s="350">
        <v>201.93600463867099</v>
      </c>
      <c r="O26" s="350">
        <v>203.73</v>
      </c>
      <c r="P26" s="350">
        <v>198.43899540000001</v>
      </c>
      <c r="Q26" s="392">
        <v>220.17399599999999</v>
      </c>
      <c r="AF26" s="276"/>
      <c r="AG26" s="276"/>
      <c r="AH26" s="276"/>
      <c r="AI26" s="276"/>
      <c r="AJ26" s="276"/>
      <c r="AK26" s="276"/>
      <c r="AL26" s="276"/>
    </row>
    <row r="27" spans="1:38" ht="11.25" customHeight="1">
      <c r="A27" s="77"/>
      <c r="C27" s="621" t="s">
        <v>147</v>
      </c>
      <c r="D27" s="622">
        <v>369.18200680000001</v>
      </c>
      <c r="E27" s="623">
        <v>379.19699100000003</v>
      </c>
      <c r="F27" s="624">
        <f t="shared" si="1"/>
        <v>-2.6411032887125454E-2</v>
      </c>
      <c r="G27" s="137"/>
      <c r="H27" s="137"/>
      <c r="M27" s="349">
        <v>16</v>
      </c>
      <c r="N27" s="350">
        <v>201.93600463867099</v>
      </c>
      <c r="O27" s="350">
        <v>222.8</v>
      </c>
      <c r="P27" s="350">
        <v>201.52999879999999</v>
      </c>
      <c r="Q27" s="392">
        <v>220.3150024</v>
      </c>
      <c r="AF27" s="276"/>
      <c r="AG27" s="276"/>
      <c r="AH27" s="276"/>
      <c r="AI27" s="276"/>
      <c r="AJ27" s="276"/>
      <c r="AK27" s="276"/>
      <c r="AL27" s="276"/>
    </row>
    <row r="28" spans="1:38" ht="26.25" customHeight="1">
      <c r="A28" s="77"/>
      <c r="C28" s="951" t="str">
        <f>"Cuadro N°9: Volumen útil de los principales embalses y lagunas del SEIN al término del periodo mensual ("&amp;'1. Resumen'!Q7&amp;" de "&amp;'1. Resumen'!Q4&amp;") "</f>
        <v xml:space="preserve">Cuadro N°9: Volumen útil de los principales embalses y lagunas del SEIN al término del periodo mensual (30 de junio) </v>
      </c>
      <c r="D28" s="951"/>
      <c r="E28" s="951"/>
      <c r="F28" s="951"/>
      <c r="G28" s="137"/>
      <c r="H28" s="137"/>
      <c r="M28" s="349">
        <v>17</v>
      </c>
      <c r="N28" s="350">
        <v>201.93600463867099</v>
      </c>
      <c r="O28" s="350">
        <v>222.8</v>
      </c>
      <c r="P28" s="350">
        <v>206.03700259999999</v>
      </c>
      <c r="Q28" s="392">
        <v>220.56</v>
      </c>
      <c r="AF28" s="276"/>
      <c r="AG28" s="276"/>
      <c r="AH28" s="276"/>
      <c r="AI28" s="276"/>
      <c r="AJ28" s="276"/>
      <c r="AK28" s="276"/>
      <c r="AL28" s="276"/>
    </row>
    <row r="29" spans="1:38" ht="12" customHeight="1">
      <c r="A29" s="75"/>
      <c r="G29" s="137"/>
      <c r="H29" s="137"/>
      <c r="I29" s="168"/>
      <c r="J29" s="351"/>
      <c r="M29" s="349">
        <v>18</v>
      </c>
      <c r="N29" s="350">
        <v>207.58900451660099</v>
      </c>
      <c r="O29" s="350">
        <v>225.58</v>
      </c>
      <c r="P29" s="350">
        <v>213.67399599999999</v>
      </c>
      <c r="Q29" s="864">
        <v>224.15199279999999</v>
      </c>
      <c r="AF29" s="276"/>
      <c r="AG29" s="276"/>
      <c r="AH29" s="276"/>
      <c r="AI29" s="276"/>
      <c r="AJ29" s="276"/>
      <c r="AK29" s="276"/>
      <c r="AL29" s="276"/>
    </row>
    <row r="30" spans="1:38" ht="11.25" customHeight="1">
      <c r="A30" s="75"/>
      <c r="B30" s="174"/>
      <c r="C30" s="174"/>
      <c r="D30" s="174"/>
      <c r="E30" s="174"/>
      <c r="F30" s="172"/>
      <c r="G30" s="137"/>
      <c r="H30" s="137"/>
      <c r="M30" s="349">
        <v>19</v>
      </c>
      <c r="N30" s="350">
        <v>207.58900451660099</v>
      </c>
      <c r="O30" s="350">
        <v>225.58</v>
      </c>
      <c r="P30" s="350">
        <v>216.75700380000001</v>
      </c>
      <c r="Q30" s="864">
        <v>224.378006</v>
      </c>
      <c r="AF30" s="276"/>
      <c r="AG30" s="276"/>
      <c r="AH30" s="276"/>
      <c r="AI30" s="276"/>
      <c r="AJ30" s="276"/>
      <c r="AK30" s="276"/>
      <c r="AL30" s="276"/>
    </row>
    <row r="31" spans="1:38" ht="11.25" customHeight="1">
      <c r="A31" s="75"/>
      <c r="B31" s="174"/>
      <c r="C31" s="174"/>
      <c r="D31" s="174"/>
      <c r="E31" s="174"/>
      <c r="F31" s="172"/>
      <c r="G31" s="172"/>
      <c r="H31" s="172"/>
      <c r="I31" s="168"/>
      <c r="J31" s="351"/>
      <c r="M31" s="349">
        <v>20</v>
      </c>
      <c r="N31" s="350">
        <v>205.7</v>
      </c>
      <c r="O31" s="350">
        <v>226.61</v>
      </c>
      <c r="P31" s="350">
        <v>217.29400630000001</v>
      </c>
      <c r="Q31" s="864">
        <v>224.60401920000001</v>
      </c>
      <c r="AF31" s="276"/>
      <c r="AG31" s="276"/>
      <c r="AH31" s="276"/>
      <c r="AI31" s="276"/>
      <c r="AJ31" s="276"/>
      <c r="AK31" s="276"/>
      <c r="AL31" s="276"/>
    </row>
    <row r="32" spans="1:38" ht="13.5" customHeight="1">
      <c r="A32" s="950" t="s">
        <v>566</v>
      </c>
      <c r="B32" s="950"/>
      <c r="C32" s="950"/>
      <c r="D32" s="950"/>
      <c r="E32" s="950"/>
      <c r="F32" s="950"/>
      <c r="G32" s="950"/>
      <c r="H32" s="950"/>
      <c r="I32" s="56"/>
      <c r="J32" s="351"/>
      <c r="M32" s="349">
        <v>21</v>
      </c>
      <c r="N32" s="350">
        <v>205.7</v>
      </c>
      <c r="O32" s="350">
        <v>226.61</v>
      </c>
      <c r="P32" s="350">
        <v>218.3190002</v>
      </c>
      <c r="Q32" s="864">
        <v>223.4909973</v>
      </c>
      <c r="AF32" s="276"/>
      <c r="AG32" s="276"/>
      <c r="AH32" s="276"/>
      <c r="AI32" s="276"/>
      <c r="AJ32" s="276"/>
      <c r="AK32" s="276"/>
      <c r="AL32" s="276"/>
    </row>
    <row r="33" spans="1:38" ht="11.25" customHeight="1">
      <c r="A33" s="75"/>
      <c r="B33" s="82"/>
      <c r="C33" s="82"/>
      <c r="D33" s="82"/>
      <c r="E33" s="82"/>
      <c r="F33" s="82"/>
      <c r="G33" s="82"/>
      <c r="H33" s="82"/>
      <c r="I33" s="56"/>
      <c r="J33" s="351"/>
      <c r="M33" s="349">
        <v>22</v>
      </c>
      <c r="N33" s="350">
        <v>204.65</v>
      </c>
      <c r="O33" s="350">
        <v>227.42</v>
      </c>
      <c r="P33" s="350">
        <v>218.79899599999999</v>
      </c>
      <c r="Q33" s="864">
        <v>222.62600710000001</v>
      </c>
      <c r="AF33" s="276"/>
      <c r="AG33" s="276"/>
      <c r="AH33" s="276"/>
      <c r="AI33" s="276"/>
      <c r="AJ33" s="276"/>
      <c r="AK33" s="276"/>
      <c r="AL33" s="276"/>
    </row>
    <row r="34" spans="1:38" ht="11.25" customHeight="1">
      <c r="A34" s="75"/>
      <c r="B34" s="82"/>
      <c r="C34" s="82"/>
      <c r="D34" s="82"/>
      <c r="E34" s="82"/>
      <c r="F34" s="82"/>
      <c r="G34" s="82"/>
      <c r="H34" s="82"/>
      <c r="I34" s="56"/>
      <c r="J34" s="351"/>
      <c r="M34" s="349">
        <v>23</v>
      </c>
      <c r="N34" s="350">
        <v>204.65</v>
      </c>
      <c r="O34" s="350">
        <v>227.42</v>
      </c>
      <c r="P34" s="350">
        <v>217.8880005</v>
      </c>
      <c r="Q34" s="864">
        <v>221.62399289999999</v>
      </c>
      <c r="AF34" s="276"/>
      <c r="AG34" s="276"/>
      <c r="AH34" s="276"/>
      <c r="AI34" s="276"/>
      <c r="AJ34" s="276"/>
      <c r="AK34" s="276"/>
      <c r="AL34" s="276"/>
    </row>
    <row r="35" spans="1:38" ht="11.25" customHeight="1">
      <c r="A35" s="75"/>
      <c r="B35" s="82"/>
      <c r="C35" s="82"/>
      <c r="D35" s="82"/>
      <c r="E35" s="82"/>
      <c r="F35" s="82"/>
      <c r="G35" s="82"/>
      <c r="H35" s="82"/>
      <c r="I35" s="169"/>
      <c r="J35" s="351"/>
      <c r="M35" s="349">
        <v>24</v>
      </c>
      <c r="N35" s="350">
        <v>200.38</v>
      </c>
      <c r="O35" s="350">
        <v>227.45</v>
      </c>
      <c r="P35" s="350">
        <v>216.04899599999999</v>
      </c>
      <c r="Q35" s="864">
        <v>218.3840027</v>
      </c>
      <c r="AF35" s="276"/>
      <c r="AG35" s="276"/>
      <c r="AH35" s="276"/>
      <c r="AI35" s="276"/>
      <c r="AJ35" s="276"/>
      <c r="AK35" s="276"/>
      <c r="AL35" s="276"/>
    </row>
    <row r="36" spans="1:38" ht="11.25" customHeight="1">
      <c r="A36" s="75"/>
      <c r="B36" s="82"/>
      <c r="C36" s="82"/>
      <c r="D36" s="82"/>
      <c r="E36" s="82"/>
      <c r="F36" s="82"/>
      <c r="G36" s="82"/>
      <c r="H36" s="82"/>
      <c r="I36" s="56"/>
      <c r="J36" s="351"/>
      <c r="M36" s="349">
        <v>25</v>
      </c>
      <c r="N36" s="350">
        <v>200.38</v>
      </c>
      <c r="O36" s="350">
        <v>227.45</v>
      </c>
      <c r="P36" s="350">
        <v>212.24600219999999</v>
      </c>
      <c r="Q36" s="864">
        <v>215.08099369999999</v>
      </c>
      <c r="AF36" s="276"/>
      <c r="AG36" s="276"/>
      <c r="AH36" s="276"/>
      <c r="AI36" s="276"/>
      <c r="AJ36" s="276"/>
      <c r="AK36" s="276"/>
      <c r="AL36" s="276"/>
    </row>
    <row r="37" spans="1:38" ht="11.25" customHeight="1">
      <c r="A37" s="75"/>
      <c r="B37" s="82"/>
      <c r="C37" s="82"/>
      <c r="D37" s="82"/>
      <c r="E37" s="82"/>
      <c r="F37" s="82"/>
      <c r="G37" s="82"/>
      <c r="H37" s="82"/>
      <c r="I37" s="56"/>
      <c r="J37" s="352"/>
      <c r="M37" s="349">
        <v>26</v>
      </c>
      <c r="N37" s="350">
        <v>193.55099487304599</v>
      </c>
      <c r="O37" s="350">
        <v>225.56</v>
      </c>
      <c r="P37" s="350">
        <v>210.22099299999999</v>
      </c>
      <c r="Q37" s="864">
        <v>210.41900630000001</v>
      </c>
      <c r="AF37" s="276"/>
      <c r="AG37" s="276"/>
      <c r="AH37" s="276"/>
      <c r="AI37" s="276"/>
      <c r="AJ37" s="276"/>
      <c r="AK37" s="276"/>
      <c r="AL37" s="276"/>
    </row>
    <row r="38" spans="1:38" ht="11.25" customHeight="1">
      <c r="A38" s="75"/>
      <c r="B38" s="82"/>
      <c r="C38" s="82"/>
      <c r="D38" s="82"/>
      <c r="E38" s="82"/>
      <c r="F38" s="82"/>
      <c r="G38" s="82"/>
      <c r="H38" s="82"/>
      <c r="I38" s="56"/>
      <c r="J38" s="352"/>
      <c r="M38" s="349">
        <v>27</v>
      </c>
      <c r="N38" s="350">
        <v>193.55099487304599</v>
      </c>
      <c r="O38" s="350">
        <v>225.56</v>
      </c>
      <c r="P38" s="350">
        <v>209.85200499999999</v>
      </c>
      <c r="AF38" s="276"/>
      <c r="AG38" s="276"/>
      <c r="AH38" s="276"/>
      <c r="AI38" s="276"/>
      <c r="AJ38" s="276"/>
      <c r="AK38" s="276"/>
      <c r="AL38" s="276"/>
    </row>
    <row r="39" spans="1:38" ht="11.25" customHeight="1">
      <c r="A39" s="75"/>
      <c r="B39" s="82"/>
      <c r="C39" s="82"/>
      <c r="D39" s="82"/>
      <c r="E39" s="82"/>
      <c r="F39" s="82"/>
      <c r="G39" s="82"/>
      <c r="H39" s="82"/>
      <c r="I39" s="56"/>
      <c r="J39" s="353"/>
      <c r="M39" s="349">
        <v>28</v>
      </c>
      <c r="N39" s="350">
        <v>186.01199339999999</v>
      </c>
      <c r="O39" s="354">
        <v>225.56</v>
      </c>
      <c r="P39" s="354">
        <v>203.92900090000001</v>
      </c>
      <c r="AF39" s="276"/>
      <c r="AG39" s="276"/>
      <c r="AH39" s="276"/>
      <c r="AI39" s="276"/>
      <c r="AJ39" s="276"/>
      <c r="AK39" s="276"/>
      <c r="AL39" s="276"/>
    </row>
    <row r="40" spans="1:38" ht="11.25" customHeight="1">
      <c r="A40" s="75"/>
      <c r="B40" s="82"/>
      <c r="C40" s="82"/>
      <c r="D40" s="82"/>
      <c r="E40" s="82"/>
      <c r="F40" s="82"/>
      <c r="G40" s="82"/>
      <c r="H40" s="82"/>
      <c r="I40" s="56"/>
      <c r="J40" s="353"/>
      <c r="M40" s="349">
        <v>29</v>
      </c>
      <c r="N40" s="350">
        <v>186.01199339999999</v>
      </c>
      <c r="O40" s="350">
        <v>222.04</v>
      </c>
      <c r="P40" s="350">
        <v>200.56300350000001</v>
      </c>
      <c r="AF40" s="276"/>
      <c r="AG40" s="276"/>
      <c r="AH40" s="276"/>
      <c r="AI40" s="276"/>
      <c r="AJ40" s="276"/>
      <c r="AK40" s="276"/>
      <c r="AL40" s="276"/>
    </row>
    <row r="41" spans="1:38" ht="11.25" customHeight="1">
      <c r="A41" s="75"/>
      <c r="B41" s="82"/>
      <c r="C41" s="82"/>
      <c r="D41" s="82"/>
      <c r="E41" s="82"/>
      <c r="F41" s="82"/>
      <c r="G41" s="82"/>
      <c r="H41" s="82"/>
      <c r="I41" s="56"/>
      <c r="J41" s="353"/>
      <c r="M41" s="349">
        <v>30</v>
      </c>
      <c r="N41" s="350">
        <v>186.01199339999999</v>
      </c>
      <c r="O41" s="350">
        <v>222.04</v>
      </c>
      <c r="P41" s="350">
        <v>194.94900509999999</v>
      </c>
      <c r="AF41" s="276"/>
      <c r="AG41" s="276"/>
      <c r="AH41" s="276"/>
      <c r="AI41" s="276"/>
      <c r="AJ41" s="276"/>
      <c r="AK41" s="276"/>
      <c r="AL41" s="276"/>
    </row>
    <row r="42" spans="1:38" ht="11.25" customHeight="1">
      <c r="A42" s="75"/>
      <c r="B42" s="82"/>
      <c r="C42" s="82"/>
      <c r="D42" s="82"/>
      <c r="E42" s="82"/>
      <c r="F42" s="82"/>
      <c r="G42" s="82"/>
      <c r="H42" s="82"/>
      <c r="I42" s="169"/>
      <c r="J42" s="352"/>
      <c r="M42" s="349">
        <v>31</v>
      </c>
      <c r="N42" s="350">
        <v>178.58200070000001</v>
      </c>
      <c r="O42" s="350">
        <v>213.13</v>
      </c>
      <c r="P42" s="350">
        <v>188.386</v>
      </c>
      <c r="AF42" s="276"/>
      <c r="AG42" s="276"/>
      <c r="AH42" s="276"/>
      <c r="AI42" s="276"/>
      <c r="AJ42" s="276"/>
      <c r="AK42" s="276"/>
      <c r="AL42" s="276"/>
    </row>
    <row r="43" spans="1:38" ht="11.25" customHeight="1">
      <c r="A43" s="75"/>
      <c r="B43" s="82"/>
      <c r="C43" s="82"/>
      <c r="D43" s="82"/>
      <c r="E43" s="82"/>
      <c r="F43" s="82"/>
      <c r="G43" s="82"/>
      <c r="H43" s="82"/>
      <c r="I43" s="56"/>
      <c r="J43" s="352"/>
      <c r="M43" s="349">
        <v>32</v>
      </c>
      <c r="N43" s="350">
        <v>178.58200070000001</v>
      </c>
      <c r="O43" s="350">
        <v>213.13</v>
      </c>
      <c r="P43" s="350">
        <v>184.72900390000001</v>
      </c>
      <c r="AF43" s="276"/>
      <c r="AG43" s="276"/>
      <c r="AH43" s="276"/>
      <c r="AI43" s="276"/>
      <c r="AJ43" s="276"/>
      <c r="AK43" s="276"/>
      <c r="AL43" s="276"/>
    </row>
    <row r="44" spans="1:38" ht="11.25" customHeight="1">
      <c r="A44" s="75"/>
      <c r="B44" s="82"/>
      <c r="C44" s="82"/>
      <c r="D44" s="82"/>
      <c r="E44" s="82"/>
      <c r="F44" s="82"/>
      <c r="G44" s="82"/>
      <c r="H44" s="82"/>
      <c r="I44" s="56"/>
      <c r="J44" s="352"/>
      <c r="M44" s="349">
        <v>33</v>
      </c>
      <c r="N44" s="350">
        <v>169.01100159999999</v>
      </c>
      <c r="O44" s="350">
        <v>205.97</v>
      </c>
      <c r="P44" s="350">
        <v>178.8809967</v>
      </c>
      <c r="AF44" s="276"/>
      <c r="AG44" s="276"/>
      <c r="AH44" s="276"/>
      <c r="AI44" s="276"/>
      <c r="AJ44" s="276"/>
      <c r="AK44" s="276"/>
      <c r="AL44" s="276"/>
    </row>
    <row r="45" spans="1:38" ht="11.25" customHeight="1">
      <c r="A45" s="75"/>
      <c r="B45" s="82"/>
      <c r="C45" s="82"/>
      <c r="D45" s="82"/>
      <c r="E45" s="82"/>
      <c r="F45" s="82"/>
      <c r="G45" s="82"/>
      <c r="H45" s="82"/>
      <c r="I45" s="59"/>
      <c r="J45" s="355"/>
      <c r="M45" s="349">
        <v>34</v>
      </c>
      <c r="N45" s="350">
        <v>169.01100159999999</v>
      </c>
      <c r="O45" s="350">
        <v>199.49</v>
      </c>
      <c r="P45" s="350">
        <v>176.98599239999999</v>
      </c>
      <c r="AF45" s="276"/>
      <c r="AG45" s="276"/>
      <c r="AH45" s="276"/>
      <c r="AI45" s="276"/>
      <c r="AJ45" s="276"/>
      <c r="AK45" s="276"/>
      <c r="AL45" s="276"/>
    </row>
    <row r="46" spans="1:38" ht="11.25" customHeight="1">
      <c r="A46" s="75"/>
      <c r="B46" s="82"/>
      <c r="C46" s="82"/>
      <c r="D46" s="82"/>
      <c r="E46" s="82"/>
      <c r="F46" s="82"/>
      <c r="G46" s="82"/>
      <c r="H46" s="82"/>
      <c r="I46" s="59"/>
      <c r="J46" s="355"/>
      <c r="M46" s="349">
        <v>35</v>
      </c>
      <c r="N46" s="356">
        <v>158.09199523925699</v>
      </c>
      <c r="O46" s="350">
        <v>193.4</v>
      </c>
      <c r="P46" s="350">
        <v>173.36999510000001</v>
      </c>
      <c r="AF46" s="276"/>
      <c r="AG46" s="276"/>
      <c r="AH46" s="276"/>
      <c r="AI46" s="276"/>
      <c r="AJ46" s="276"/>
      <c r="AK46" s="276"/>
      <c r="AL46" s="276"/>
    </row>
    <row r="47" spans="1:38" ht="11.25" customHeight="1">
      <c r="A47" s="75"/>
      <c r="B47" s="82"/>
      <c r="C47" s="82"/>
      <c r="D47" s="82"/>
      <c r="E47" s="82"/>
      <c r="F47" s="82"/>
      <c r="G47" s="82"/>
      <c r="H47" s="82"/>
      <c r="I47" s="59"/>
      <c r="J47" s="355"/>
      <c r="M47" s="349">
        <v>36</v>
      </c>
      <c r="N47" s="356">
        <v>158.09199523925699</v>
      </c>
      <c r="O47" s="350">
        <v>187.93</v>
      </c>
      <c r="P47" s="350">
        <v>167.63</v>
      </c>
      <c r="AF47" s="276"/>
      <c r="AG47" s="276"/>
      <c r="AH47" s="276"/>
      <c r="AI47" s="276"/>
      <c r="AJ47" s="276"/>
      <c r="AK47" s="276"/>
      <c r="AL47" s="276"/>
    </row>
    <row r="48" spans="1:38" ht="11.25" customHeight="1">
      <c r="A48" s="75"/>
      <c r="B48" s="82"/>
      <c r="C48" s="82"/>
      <c r="D48" s="82"/>
      <c r="E48" s="82"/>
      <c r="F48" s="82"/>
      <c r="G48" s="82"/>
      <c r="H48" s="82"/>
      <c r="I48" s="59"/>
      <c r="J48" s="355"/>
      <c r="M48" s="349">
        <v>37</v>
      </c>
      <c r="N48" s="350">
        <v>147.0650024</v>
      </c>
      <c r="O48" s="350">
        <v>182.85</v>
      </c>
      <c r="P48" s="350">
        <v>162.30700680000001</v>
      </c>
      <c r="AF48" s="276"/>
      <c r="AG48" s="276"/>
      <c r="AH48" s="276"/>
      <c r="AI48" s="276"/>
      <c r="AJ48" s="276"/>
      <c r="AK48" s="276"/>
      <c r="AL48" s="276"/>
    </row>
    <row r="49" spans="1:38" ht="11.25" customHeight="1">
      <c r="A49" s="75"/>
      <c r="B49" s="82"/>
      <c r="C49" s="82"/>
      <c r="D49" s="82"/>
      <c r="E49" s="82"/>
      <c r="F49" s="82"/>
      <c r="G49" s="82"/>
      <c r="H49" s="82"/>
      <c r="I49" s="59"/>
      <c r="J49" s="355"/>
      <c r="M49" s="349">
        <v>38</v>
      </c>
      <c r="N49" s="350">
        <v>147.0650024</v>
      </c>
      <c r="O49" s="350">
        <v>179.77</v>
      </c>
      <c r="P49" s="350">
        <v>159.02699279999999</v>
      </c>
      <c r="AF49" s="276"/>
      <c r="AG49" s="276"/>
      <c r="AH49" s="276"/>
      <c r="AI49" s="276"/>
      <c r="AJ49" s="276"/>
      <c r="AK49" s="276"/>
      <c r="AL49" s="276"/>
    </row>
    <row r="50" spans="1:38" ht="12.75">
      <c r="A50" s="75"/>
      <c r="B50" s="82"/>
      <c r="C50" s="82"/>
      <c r="D50" s="82"/>
      <c r="E50" s="82"/>
      <c r="F50" s="82"/>
      <c r="G50" s="82"/>
      <c r="H50" s="82"/>
      <c r="I50" s="59"/>
      <c r="J50" s="355"/>
      <c r="M50" s="349">
        <v>39</v>
      </c>
      <c r="N50" s="350">
        <v>139.11000060000001</v>
      </c>
      <c r="O50" s="350">
        <v>173.62</v>
      </c>
      <c r="P50" s="350">
        <v>153.61700440000001</v>
      </c>
      <c r="AF50" s="276"/>
      <c r="AG50" s="276"/>
      <c r="AH50" s="276"/>
      <c r="AI50" s="276"/>
      <c r="AJ50" s="276"/>
      <c r="AK50" s="276"/>
      <c r="AL50" s="276"/>
    </row>
    <row r="51" spans="1:38" ht="10.5" customHeight="1">
      <c r="A51" s="75"/>
      <c r="B51" s="82"/>
      <c r="C51" s="82"/>
      <c r="D51" s="82"/>
      <c r="E51" s="82"/>
      <c r="F51" s="82"/>
      <c r="G51" s="82"/>
      <c r="H51" s="82"/>
      <c r="I51" s="59"/>
      <c r="J51" s="355"/>
      <c r="M51" s="349">
        <v>40</v>
      </c>
      <c r="N51" s="350">
        <v>139.11000060000001</v>
      </c>
      <c r="O51" s="350">
        <v>163</v>
      </c>
      <c r="P51" s="350">
        <v>151.72999569999999</v>
      </c>
      <c r="AF51" s="276"/>
      <c r="AG51" s="276"/>
      <c r="AH51" s="276"/>
      <c r="AI51" s="276"/>
      <c r="AJ51" s="276"/>
      <c r="AK51" s="276"/>
      <c r="AL51" s="276"/>
    </row>
    <row r="52" spans="1:38" ht="12.75">
      <c r="A52" s="75"/>
      <c r="B52" s="82"/>
      <c r="C52" s="82"/>
      <c r="D52" s="82"/>
      <c r="E52" s="82"/>
      <c r="F52" s="82"/>
      <c r="G52" s="82"/>
      <c r="H52" s="82"/>
      <c r="I52" s="59"/>
      <c r="J52" s="355"/>
      <c r="M52" s="349">
        <v>41</v>
      </c>
      <c r="N52" s="350">
        <v>139.11000060000001</v>
      </c>
      <c r="O52" s="350">
        <v>156.5</v>
      </c>
      <c r="P52" s="350">
        <v>147.996002197265</v>
      </c>
      <c r="AF52" s="276"/>
      <c r="AG52" s="276"/>
      <c r="AH52" s="276"/>
      <c r="AI52" s="276"/>
      <c r="AJ52" s="276"/>
      <c r="AK52" s="276"/>
      <c r="AL52" s="276"/>
    </row>
    <row r="53" spans="1:38" ht="12.75">
      <c r="A53" s="75"/>
      <c r="B53" s="82"/>
      <c r="C53" s="82"/>
      <c r="D53" s="82"/>
      <c r="E53" s="82"/>
      <c r="F53" s="82"/>
      <c r="G53" s="82"/>
      <c r="H53" s="82"/>
      <c r="I53" s="59"/>
      <c r="J53" s="355"/>
      <c r="M53" s="349">
        <v>42</v>
      </c>
      <c r="N53" s="350">
        <v>128.34500120000001</v>
      </c>
      <c r="O53" s="350">
        <v>152.78</v>
      </c>
      <c r="P53" s="350">
        <v>144.53999328613199</v>
      </c>
      <c r="AF53" s="276"/>
      <c r="AG53" s="276"/>
      <c r="AH53" s="276"/>
      <c r="AI53" s="276"/>
      <c r="AJ53" s="276"/>
      <c r="AK53" s="276"/>
      <c r="AL53" s="276"/>
    </row>
    <row r="54" spans="1:38" ht="12.75">
      <c r="A54" s="75"/>
      <c r="B54" s="82"/>
      <c r="C54" s="82"/>
      <c r="D54" s="82"/>
      <c r="E54" s="82"/>
      <c r="F54" s="82"/>
      <c r="G54" s="82"/>
      <c r="H54" s="82"/>
      <c r="I54" s="59"/>
      <c r="J54" s="355"/>
      <c r="M54" s="349">
        <v>43</v>
      </c>
      <c r="N54" s="350">
        <v>128.34500120000001</v>
      </c>
      <c r="O54" s="350">
        <v>148.63</v>
      </c>
      <c r="P54" s="350">
        <v>143.72300720214801</v>
      </c>
      <c r="AF54" s="276"/>
      <c r="AG54" s="276"/>
      <c r="AH54" s="276"/>
      <c r="AI54" s="276"/>
      <c r="AJ54" s="276"/>
      <c r="AK54" s="276"/>
      <c r="AL54" s="276"/>
    </row>
    <row r="55" spans="1:38" ht="12.75">
      <c r="A55" s="75"/>
      <c r="B55" s="82"/>
      <c r="C55" s="82"/>
      <c r="D55" s="82"/>
      <c r="E55" s="82"/>
      <c r="F55" s="82"/>
      <c r="G55" s="82"/>
      <c r="H55" s="82"/>
      <c r="I55" s="59"/>
      <c r="J55" s="355"/>
      <c r="M55" s="349">
        <v>44</v>
      </c>
      <c r="N55" s="350">
        <v>121.20099639999999</v>
      </c>
      <c r="O55" s="350">
        <v>142.91</v>
      </c>
      <c r="P55" s="350">
        <v>142.33900449999999</v>
      </c>
      <c r="AF55" s="276"/>
      <c r="AG55" s="276"/>
      <c r="AH55" s="276"/>
      <c r="AI55" s="276"/>
      <c r="AJ55" s="276"/>
      <c r="AK55" s="276"/>
      <c r="AL55" s="276"/>
    </row>
    <row r="56" spans="1:38" ht="12.75">
      <c r="A56" s="75"/>
      <c r="B56" s="82"/>
      <c r="C56" s="82"/>
      <c r="D56" s="82"/>
      <c r="E56" s="82"/>
      <c r="F56" s="82"/>
      <c r="G56" s="82"/>
      <c r="H56" s="82"/>
      <c r="I56" s="59"/>
      <c r="J56" s="355"/>
      <c r="M56" s="349">
        <v>45</v>
      </c>
      <c r="N56" s="350">
        <v>121.20099639999999</v>
      </c>
      <c r="O56" s="350">
        <v>137.04</v>
      </c>
      <c r="P56" s="350">
        <v>143.13200380000001</v>
      </c>
      <c r="AF56" s="276"/>
      <c r="AG56" s="276"/>
      <c r="AH56" s="276"/>
      <c r="AI56" s="276"/>
      <c r="AJ56" s="276"/>
      <c r="AK56" s="276"/>
      <c r="AL56" s="276"/>
    </row>
    <row r="57" spans="1:38" ht="12.75">
      <c r="A57" s="75"/>
      <c r="B57" s="82"/>
      <c r="C57" s="82"/>
      <c r="D57" s="82"/>
      <c r="E57" s="82"/>
      <c r="F57" s="82"/>
      <c r="G57" s="82"/>
      <c r="H57" s="82"/>
      <c r="M57" s="349">
        <v>46</v>
      </c>
      <c r="N57" s="350">
        <v>112.1429977</v>
      </c>
      <c r="O57" s="350">
        <v>131.22999999999999</v>
      </c>
      <c r="P57" s="350">
        <v>141.37</v>
      </c>
      <c r="AF57" s="276"/>
      <c r="AG57" s="276"/>
      <c r="AH57" s="276"/>
      <c r="AI57" s="276"/>
      <c r="AJ57" s="276"/>
      <c r="AK57" s="276"/>
      <c r="AL57" s="276"/>
    </row>
    <row r="58" spans="1:38" ht="12.75">
      <c r="A58" s="75"/>
      <c r="B58" s="82"/>
      <c r="C58" s="82"/>
      <c r="D58" s="82"/>
      <c r="E58" s="82"/>
      <c r="F58" s="82"/>
      <c r="G58" s="82"/>
      <c r="H58" s="82"/>
      <c r="M58" s="349">
        <v>47</v>
      </c>
      <c r="N58" s="350">
        <v>112.1429977</v>
      </c>
      <c r="O58" s="350">
        <v>125.5</v>
      </c>
      <c r="P58" s="350">
        <v>140.33900449999999</v>
      </c>
      <c r="AF58" s="276"/>
      <c r="AG58" s="276"/>
      <c r="AH58" s="276"/>
      <c r="AI58" s="276"/>
      <c r="AJ58" s="276"/>
      <c r="AK58" s="276"/>
      <c r="AL58" s="276"/>
    </row>
    <row r="59" spans="1:38" ht="12.75">
      <c r="A59" s="273" t="s">
        <v>521</v>
      </c>
      <c r="B59" s="82"/>
      <c r="C59" s="82"/>
      <c r="D59" s="82"/>
      <c r="E59" s="82"/>
      <c r="F59" s="82"/>
      <c r="G59" s="82"/>
      <c r="H59" s="82"/>
      <c r="M59" s="349">
        <v>48</v>
      </c>
      <c r="N59" s="350">
        <v>101.13500209999999</v>
      </c>
      <c r="O59" s="350">
        <v>120.41</v>
      </c>
      <c r="P59" s="350">
        <v>137.8150024</v>
      </c>
      <c r="AF59" s="276"/>
      <c r="AG59" s="276"/>
      <c r="AH59" s="276"/>
      <c r="AI59" s="276"/>
      <c r="AJ59" s="276"/>
      <c r="AK59" s="276"/>
      <c r="AL59" s="276"/>
    </row>
    <row r="60" spans="1:38" ht="12.75">
      <c r="A60" s="54"/>
      <c r="B60" s="82"/>
      <c r="C60" s="82"/>
      <c r="D60" s="82"/>
      <c r="E60" s="82"/>
      <c r="F60" s="82"/>
      <c r="G60" s="82"/>
      <c r="H60" s="82"/>
      <c r="M60" s="349">
        <v>49</v>
      </c>
      <c r="N60" s="350">
        <v>101.13500209999999</v>
      </c>
      <c r="O60" s="350">
        <v>115.91300200000001</v>
      </c>
      <c r="P60" s="350">
        <v>129.0279999</v>
      </c>
      <c r="AF60" s="276"/>
      <c r="AG60" s="276"/>
      <c r="AH60" s="276"/>
      <c r="AI60" s="276"/>
      <c r="AJ60" s="276"/>
      <c r="AK60" s="276"/>
      <c r="AL60" s="276"/>
    </row>
    <row r="61" spans="1:38">
      <c r="M61" s="349">
        <v>50</v>
      </c>
      <c r="N61" s="350">
        <v>96.752998349999999</v>
      </c>
      <c r="O61" s="350">
        <v>110.0599976</v>
      </c>
      <c r="P61" s="350">
        <v>129.30000000000001</v>
      </c>
      <c r="AD61" s="347"/>
      <c r="AE61" s="347"/>
      <c r="AF61" s="218"/>
      <c r="AG61" s="218"/>
      <c r="AH61" s="218"/>
      <c r="AI61" s="218"/>
      <c r="AJ61" s="218"/>
      <c r="AK61" s="218"/>
      <c r="AL61" s="218"/>
    </row>
    <row r="62" spans="1:38">
      <c r="M62" s="349">
        <v>51</v>
      </c>
      <c r="N62" s="350">
        <v>96.752998349999999</v>
      </c>
      <c r="O62" s="350">
        <v>107.5970001</v>
      </c>
      <c r="P62" s="350">
        <v>129</v>
      </c>
      <c r="AD62" s="347"/>
      <c r="AE62" s="347"/>
      <c r="AF62" s="218"/>
      <c r="AG62" s="218"/>
      <c r="AH62" s="218"/>
      <c r="AI62" s="218"/>
      <c r="AJ62" s="218"/>
      <c r="AK62" s="218"/>
      <c r="AL62" s="218"/>
    </row>
    <row r="63" spans="1:38">
      <c r="M63" s="349">
        <v>52</v>
      </c>
      <c r="N63" s="350">
        <v>96.752998349999999</v>
      </c>
      <c r="O63" s="350">
        <v>104.4029999</v>
      </c>
      <c r="P63" s="350">
        <v>130.4810028</v>
      </c>
      <c r="AD63" s="347"/>
      <c r="AE63" s="347"/>
      <c r="AF63" s="218"/>
      <c r="AG63" s="218"/>
      <c r="AH63" s="218"/>
      <c r="AI63" s="218"/>
      <c r="AJ63" s="218"/>
      <c r="AK63" s="218"/>
      <c r="AL63" s="218"/>
    </row>
    <row r="64" spans="1:38">
      <c r="M64" s="349">
        <v>53</v>
      </c>
      <c r="N64" s="350"/>
      <c r="O64" s="350"/>
      <c r="P64" s="357"/>
      <c r="AD64" s="347"/>
      <c r="AE64" s="347"/>
      <c r="AF64" s="218"/>
      <c r="AG64" s="218"/>
      <c r="AH64" s="218"/>
      <c r="AI64" s="218"/>
      <c r="AJ64" s="218"/>
      <c r="AK64" s="218"/>
      <c r="AL64" s="218"/>
    </row>
    <row r="65" spans="13:38">
      <c r="M65" s="347"/>
      <c r="N65" s="347"/>
      <c r="O65" s="347"/>
      <c r="P65" s="347"/>
      <c r="Q65" s="347"/>
      <c r="R65" s="347"/>
      <c r="S65" s="347"/>
      <c r="T65" s="347"/>
      <c r="AD65" s="347"/>
      <c r="AE65" s="347"/>
      <c r="AF65" s="218"/>
      <c r="AG65" s="218"/>
      <c r="AH65" s="218"/>
      <c r="AI65" s="218"/>
      <c r="AJ65" s="218"/>
      <c r="AK65" s="218"/>
      <c r="AL65" s="218"/>
    </row>
  </sheetData>
  <mergeCells count="4">
    <mergeCell ref="A2:H2"/>
    <mergeCell ref="A4:H4"/>
    <mergeCell ref="C28:F28"/>
    <mergeCell ref="A32:H32"/>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77A5"/>
  </sheetPr>
  <dimension ref="A1:AE63"/>
  <sheetViews>
    <sheetView showGridLines="0" view="pageBreakPreview" zoomScaleNormal="100" zoomScaleSheetLayoutView="100" zoomScalePageLayoutView="115" workbookViewId="0">
      <selection activeCell="C12" sqref="C12"/>
    </sheetView>
  </sheetViews>
  <sheetFormatPr defaultColWidth="9.33203125" defaultRowHeight="11.25"/>
  <cols>
    <col min="10" max="11" width="9.33203125" customWidth="1"/>
    <col min="14" max="28" width="9.33203125" style="461"/>
    <col min="29" max="31" width="9.33203125" style="451"/>
  </cols>
  <sheetData>
    <row r="1" spans="1:23" ht="11.25" customHeight="1"/>
    <row r="2" spans="1:23" ht="11.25" customHeight="1">
      <c r="A2" s="323"/>
      <c r="B2" s="330"/>
      <c r="C2" s="330"/>
      <c r="D2" s="330"/>
      <c r="E2" s="330"/>
      <c r="F2" s="330"/>
      <c r="G2" s="331"/>
      <c r="H2" s="331"/>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64" t="s">
        <v>274</v>
      </c>
      <c r="T4" s="465" t="s">
        <v>275</v>
      </c>
    </row>
    <row r="5" spans="1:23" ht="11.25" customHeight="1">
      <c r="A5" s="952"/>
      <c r="B5" s="952"/>
      <c r="C5" s="952"/>
      <c r="D5" s="952"/>
      <c r="E5" s="952"/>
      <c r="F5" s="952"/>
      <c r="G5" s="952"/>
      <c r="H5" s="952"/>
      <c r="I5" s="952"/>
      <c r="J5" s="12"/>
      <c r="K5" s="12"/>
      <c r="L5" s="8"/>
      <c r="O5" s="466">
        <v>2016</v>
      </c>
      <c r="P5" s="466">
        <v>2017</v>
      </c>
      <c r="Q5" s="466">
        <v>2018</v>
      </c>
      <c r="R5" s="466">
        <v>2019</v>
      </c>
      <c r="T5" s="466">
        <v>2016</v>
      </c>
      <c r="U5" s="466">
        <v>2017</v>
      </c>
      <c r="V5" s="466">
        <v>2018</v>
      </c>
      <c r="W5" s="466">
        <v>2019</v>
      </c>
    </row>
    <row r="6" spans="1:23" ht="11.25" customHeight="1">
      <c r="A6" s="17"/>
      <c r="B6" s="160"/>
      <c r="C6" s="68"/>
      <c r="D6" s="69"/>
      <c r="E6" s="69"/>
      <c r="F6" s="70"/>
      <c r="G6" s="66"/>
      <c r="H6" s="66"/>
      <c r="I6" s="71"/>
      <c r="J6" s="12"/>
      <c r="K6" s="12"/>
      <c r="L6" s="5"/>
      <c r="N6" s="467">
        <v>1</v>
      </c>
      <c r="O6" s="468">
        <v>119.86</v>
      </c>
      <c r="P6" s="468">
        <v>27.559000019999999</v>
      </c>
      <c r="Q6" s="469">
        <v>34.76</v>
      </c>
      <c r="R6" s="461">
        <v>71.125</v>
      </c>
      <c r="S6" s="467">
        <v>1</v>
      </c>
      <c r="T6" s="468">
        <v>150.22999999999999</v>
      </c>
      <c r="U6" s="468">
        <v>122.19600180599998</v>
      </c>
      <c r="V6" s="469">
        <v>210.20000000000002</v>
      </c>
      <c r="W6" s="461">
        <v>190.20000426299998</v>
      </c>
    </row>
    <row r="7" spans="1:23" ht="11.25" customHeight="1">
      <c r="A7" s="17"/>
      <c r="B7" s="953"/>
      <c r="C7" s="953"/>
      <c r="D7" s="161"/>
      <c r="E7" s="161"/>
      <c r="F7" s="70"/>
      <c r="G7" s="66"/>
      <c r="H7" s="66"/>
      <c r="I7" s="71"/>
      <c r="J7" s="3"/>
      <c r="K7" s="3"/>
      <c r="L7" s="15"/>
      <c r="N7" s="467">
        <v>2</v>
      </c>
      <c r="O7" s="468">
        <v>113.21</v>
      </c>
      <c r="P7" s="468">
        <v>36.5890007</v>
      </c>
      <c r="Q7" s="469">
        <v>47.749000549999998</v>
      </c>
      <c r="R7" s="461">
        <v>79.228996280000004</v>
      </c>
      <c r="S7" s="467">
        <v>2</v>
      </c>
      <c r="T7" s="468">
        <v>145.21</v>
      </c>
      <c r="U7" s="468">
        <v>136.535000822</v>
      </c>
      <c r="V7" s="469">
        <v>216.70300435500002</v>
      </c>
      <c r="W7" s="461">
        <v>185.80498987600001</v>
      </c>
    </row>
    <row r="8" spans="1:23" ht="11.25" customHeight="1">
      <c r="A8" s="17"/>
      <c r="B8" s="162"/>
      <c r="C8" s="39"/>
      <c r="D8" s="163"/>
      <c r="E8" s="163"/>
      <c r="F8" s="70"/>
      <c r="G8" s="66"/>
      <c r="H8" s="66"/>
      <c r="I8" s="71"/>
      <c r="J8" s="4"/>
      <c r="K8" s="4"/>
      <c r="L8" s="12"/>
      <c r="N8" s="467">
        <v>3</v>
      </c>
      <c r="O8" s="468">
        <v>117.64</v>
      </c>
      <c r="P8" s="468">
        <v>63.17599869</v>
      </c>
      <c r="Q8" s="469">
        <v>67.130996699999997</v>
      </c>
      <c r="R8" s="461">
        <v>106.65</v>
      </c>
      <c r="S8" s="467">
        <v>3</v>
      </c>
      <c r="T8" s="468">
        <v>143.88</v>
      </c>
      <c r="U8" s="468">
        <v>170.80799961000002</v>
      </c>
      <c r="V8" s="469">
        <v>232.83600043999999</v>
      </c>
      <c r="W8" s="461">
        <v>190.06000000000003</v>
      </c>
    </row>
    <row r="9" spans="1:23" ht="11.25" customHeight="1">
      <c r="A9" s="17"/>
      <c r="B9" s="162"/>
      <c r="C9" s="39"/>
      <c r="D9" s="163"/>
      <c r="E9" s="163"/>
      <c r="F9" s="70"/>
      <c r="G9" s="66"/>
      <c r="H9" s="66"/>
      <c r="I9" s="71"/>
      <c r="J9" s="3"/>
      <c r="K9" s="6"/>
      <c r="L9" s="15"/>
      <c r="N9" s="467">
        <v>4</v>
      </c>
      <c r="O9" s="468">
        <v>117.64</v>
      </c>
      <c r="P9" s="468">
        <v>113.2139969</v>
      </c>
      <c r="Q9" s="469">
        <v>93.789001459999994</v>
      </c>
      <c r="R9" s="461">
        <v>140.34500120000001</v>
      </c>
      <c r="S9" s="467">
        <v>4</v>
      </c>
      <c r="T9" s="468">
        <v>139.38200000000001</v>
      </c>
      <c r="U9" s="468">
        <v>186.385000214</v>
      </c>
      <c r="V9" s="469">
        <v>271.78000545999998</v>
      </c>
      <c r="W9" s="461">
        <v>198.06799936900001</v>
      </c>
    </row>
    <row r="10" spans="1:23" ht="11.25" customHeight="1">
      <c r="A10" s="17"/>
      <c r="B10" s="162"/>
      <c r="C10" s="39"/>
      <c r="D10" s="163"/>
      <c r="E10" s="163"/>
      <c r="F10" s="70"/>
      <c r="G10" s="66"/>
      <c r="H10" s="66"/>
      <c r="I10" s="71"/>
      <c r="J10" s="3"/>
      <c r="K10" s="3"/>
      <c r="L10" s="15"/>
      <c r="N10" s="467">
        <v>5</v>
      </c>
      <c r="O10" s="468">
        <v>133.43</v>
      </c>
      <c r="P10" s="468">
        <v>156.8220062</v>
      </c>
      <c r="Q10" s="469">
        <v>111.01599880000001</v>
      </c>
      <c r="R10" s="461">
        <v>186.18299870000001</v>
      </c>
      <c r="S10" s="467">
        <v>5</v>
      </c>
      <c r="T10" s="468">
        <v>135.79099490000002</v>
      </c>
      <c r="U10" s="468">
        <v>204.80799868699998</v>
      </c>
      <c r="V10" s="469">
        <v>269.07999802</v>
      </c>
      <c r="W10" s="461">
        <v>217.55805158600003</v>
      </c>
    </row>
    <row r="11" spans="1:23" ht="11.25" customHeight="1">
      <c r="A11" s="17"/>
      <c r="B11" s="163"/>
      <c r="C11" s="39"/>
      <c r="D11" s="163"/>
      <c r="E11" s="163"/>
      <c r="F11" s="70"/>
      <c r="G11" s="66"/>
      <c r="H11" s="66"/>
      <c r="I11" s="71"/>
      <c r="J11" s="3"/>
      <c r="K11" s="3"/>
      <c r="L11" s="15"/>
      <c r="N11" s="467">
        <v>6</v>
      </c>
      <c r="O11" s="468">
        <v>159.2149963</v>
      </c>
      <c r="P11" s="468">
        <v>168.8840027</v>
      </c>
      <c r="Q11" s="469">
        <v>126.6029968</v>
      </c>
      <c r="R11" s="461">
        <v>222.22</v>
      </c>
      <c r="S11" s="467">
        <v>6</v>
      </c>
      <c r="T11" s="468">
        <v>150.04800029899999</v>
      </c>
      <c r="U11" s="468">
        <v>201.82999366799999</v>
      </c>
      <c r="V11" s="469">
        <v>273.52000047000001</v>
      </c>
      <c r="W11" s="461">
        <v>279.10000000000002</v>
      </c>
    </row>
    <row r="12" spans="1:23" ht="11.25" customHeight="1">
      <c r="A12" s="17"/>
      <c r="B12" s="163"/>
      <c r="C12" s="39"/>
      <c r="D12" s="163"/>
      <c r="E12" s="163"/>
      <c r="F12" s="70"/>
      <c r="G12" s="66"/>
      <c r="H12" s="66"/>
      <c r="I12" s="71"/>
      <c r="J12" s="3"/>
      <c r="K12" s="3"/>
      <c r="L12" s="15"/>
      <c r="N12" s="467">
        <v>7</v>
      </c>
      <c r="O12" s="468">
        <v>186.18299870000001</v>
      </c>
      <c r="P12" s="468">
        <v>196.28300479999999</v>
      </c>
      <c r="Q12" s="469">
        <v>135.7250061</v>
      </c>
      <c r="R12" s="461">
        <v>277.02099609999999</v>
      </c>
      <c r="S12" s="467">
        <v>7</v>
      </c>
      <c r="T12" s="468">
        <v>174.31999966699999</v>
      </c>
      <c r="U12" s="468">
        <v>199.59600258</v>
      </c>
      <c r="V12" s="469">
        <v>302.63299941999998</v>
      </c>
      <c r="W12" s="461">
        <v>338.21854399</v>
      </c>
    </row>
    <row r="13" spans="1:23" ht="11.25" customHeight="1">
      <c r="A13" s="17"/>
      <c r="B13" s="163"/>
      <c r="C13" s="39"/>
      <c r="D13" s="163"/>
      <c r="E13" s="163"/>
      <c r="F13" s="70"/>
      <c r="G13" s="66"/>
      <c r="H13" s="66"/>
      <c r="I13" s="71"/>
      <c r="J13" s="4"/>
      <c r="K13" s="4"/>
      <c r="L13" s="12"/>
      <c r="N13" s="467">
        <v>8</v>
      </c>
      <c r="O13" s="468">
        <v>206.53900150000001</v>
      </c>
      <c r="P13" s="468">
        <v>230.18899540000001</v>
      </c>
      <c r="Q13" s="469">
        <v>159.2149963</v>
      </c>
      <c r="R13" s="461">
        <v>293.06698610000001</v>
      </c>
      <c r="S13" s="467">
        <v>8</v>
      </c>
      <c r="T13" s="468">
        <v>262.93500039999998</v>
      </c>
      <c r="U13" s="468">
        <v>214.34299659800001</v>
      </c>
      <c r="V13" s="469">
        <v>328.23703</v>
      </c>
      <c r="W13" s="461">
        <v>388.64800643000001</v>
      </c>
    </row>
    <row r="14" spans="1:23" ht="11.25" customHeight="1">
      <c r="A14" s="17"/>
      <c r="B14" s="163"/>
      <c r="C14" s="39"/>
      <c r="D14" s="163"/>
      <c r="E14" s="163"/>
      <c r="F14" s="70"/>
      <c r="G14" s="66"/>
      <c r="H14" s="66"/>
      <c r="I14" s="71"/>
      <c r="J14" s="3"/>
      <c r="K14" s="6"/>
      <c r="L14" s="15"/>
      <c r="N14" s="467">
        <v>9</v>
      </c>
      <c r="O14" s="468">
        <v>240.9539948</v>
      </c>
      <c r="P14" s="468">
        <v>249.13000489999999</v>
      </c>
      <c r="Q14" s="469">
        <v>186.18299870000001</v>
      </c>
      <c r="R14" s="461">
        <v>294.29501340000002</v>
      </c>
      <c r="S14" s="467">
        <v>9</v>
      </c>
      <c r="T14" s="468">
        <v>279.08800121000002</v>
      </c>
      <c r="U14" s="468">
        <v>250.89400288000002</v>
      </c>
      <c r="V14" s="469">
        <v>343.54049999999995</v>
      </c>
      <c r="W14" s="461">
        <v>377.13099283000003</v>
      </c>
    </row>
    <row r="15" spans="1:23" ht="11.25" customHeight="1">
      <c r="A15" s="17"/>
      <c r="B15" s="163"/>
      <c r="C15" s="39"/>
      <c r="D15" s="163"/>
      <c r="E15" s="163"/>
      <c r="F15" s="70"/>
      <c r="G15" s="66"/>
      <c r="H15" s="66"/>
      <c r="I15" s="71"/>
      <c r="J15" s="3"/>
      <c r="K15" s="6"/>
      <c r="L15" s="15"/>
      <c r="N15" s="467">
        <v>10</v>
      </c>
      <c r="O15" s="468">
        <v>279.86401369999999</v>
      </c>
      <c r="P15" s="468">
        <v>311.77999999999997</v>
      </c>
      <c r="Q15" s="469">
        <v>203.96099849999999</v>
      </c>
      <c r="R15" s="461">
        <v>291.91101070000002</v>
      </c>
      <c r="S15" s="467">
        <v>10</v>
      </c>
      <c r="T15" s="468">
        <v>283.79400062561007</v>
      </c>
      <c r="U15" s="468">
        <v>298.99899296000001</v>
      </c>
      <c r="V15" s="469">
        <v>371.29100467000001</v>
      </c>
      <c r="W15" s="461">
        <v>385.62499995999997</v>
      </c>
    </row>
    <row r="16" spans="1:23" ht="11.25" customHeight="1">
      <c r="A16" s="17"/>
      <c r="B16" s="163"/>
      <c r="C16" s="39"/>
      <c r="D16" s="163"/>
      <c r="E16" s="163"/>
      <c r="F16" s="70"/>
      <c r="G16" s="66"/>
      <c r="H16" s="66"/>
      <c r="I16" s="71"/>
      <c r="J16" s="3"/>
      <c r="K16" s="6"/>
      <c r="L16" s="15"/>
      <c r="N16" s="467">
        <v>11</v>
      </c>
      <c r="O16" s="468">
        <v>308.83</v>
      </c>
      <c r="P16" s="468">
        <v>332.70800000000003</v>
      </c>
      <c r="Q16" s="469">
        <v>230.18899540000001</v>
      </c>
      <c r="R16" s="470">
        <v>301.204986572265</v>
      </c>
      <c r="S16" s="467">
        <v>11</v>
      </c>
      <c r="T16" s="468">
        <v>286.24</v>
      </c>
      <c r="U16" s="468">
        <v>321.03300188000003</v>
      </c>
      <c r="V16" s="469">
        <v>390.38299555999998</v>
      </c>
      <c r="W16" s="461">
        <v>389.38100242614604</v>
      </c>
    </row>
    <row r="17" spans="1:23" ht="11.25" customHeight="1">
      <c r="A17" s="17"/>
      <c r="B17" s="163"/>
      <c r="C17" s="39"/>
      <c r="D17" s="163"/>
      <c r="E17" s="163"/>
      <c r="F17" s="70"/>
      <c r="G17" s="66"/>
      <c r="H17" s="66"/>
      <c r="I17" s="71"/>
      <c r="J17" s="3"/>
      <c r="K17" s="6"/>
      <c r="L17" s="15"/>
      <c r="N17" s="467">
        <v>12</v>
      </c>
      <c r="O17" s="468">
        <v>308.829986572265</v>
      </c>
      <c r="P17" s="468">
        <v>344.881012</v>
      </c>
      <c r="Q17" s="469">
        <v>282.71701050000001</v>
      </c>
      <c r="R17" s="470">
        <v>310.0090027</v>
      </c>
      <c r="S17" s="467">
        <v>12</v>
      </c>
      <c r="T17" s="468">
        <v>285.01299476623473</v>
      </c>
      <c r="U17" s="468">
        <v>332.34900279999999</v>
      </c>
      <c r="V17" s="469">
        <v>412.41217171999995</v>
      </c>
      <c r="W17" s="461">
        <v>386.27799791999996</v>
      </c>
    </row>
    <row r="18" spans="1:23" ht="11.25" customHeight="1">
      <c r="A18" s="17"/>
      <c r="B18" s="163"/>
      <c r="C18" s="39"/>
      <c r="D18" s="163"/>
      <c r="E18" s="163"/>
      <c r="F18" s="70"/>
      <c r="G18" s="66"/>
      <c r="H18" s="66"/>
      <c r="I18" s="71"/>
      <c r="J18" s="3"/>
      <c r="K18" s="6"/>
      <c r="L18" s="15"/>
      <c r="N18" s="467">
        <v>13</v>
      </c>
      <c r="O18" s="468">
        <v>308.829986572265</v>
      </c>
      <c r="P18" s="468">
        <v>338.77499390000003</v>
      </c>
      <c r="Q18" s="469">
        <v>329.68899540000001</v>
      </c>
      <c r="R18" s="470">
        <v>333.91799930000002</v>
      </c>
      <c r="S18" s="467">
        <v>13</v>
      </c>
      <c r="T18" s="468">
        <v>279.96900081634436</v>
      </c>
      <c r="U18" s="468">
        <v>366.02899361000004</v>
      </c>
      <c r="V18" s="469">
        <v>410.83199501000001</v>
      </c>
      <c r="W18" s="461">
        <v>388.98099517000003</v>
      </c>
    </row>
    <row r="19" spans="1:23" ht="11.25" customHeight="1">
      <c r="A19" s="17"/>
      <c r="B19" s="163"/>
      <c r="C19" s="39"/>
      <c r="D19" s="163"/>
      <c r="E19" s="163"/>
      <c r="F19" s="70"/>
      <c r="G19" s="66"/>
      <c r="H19" s="66"/>
      <c r="I19" s="71"/>
      <c r="J19" s="3"/>
      <c r="K19" s="6"/>
      <c r="L19" s="15"/>
      <c r="N19" s="467">
        <v>14</v>
      </c>
      <c r="O19" s="468">
        <v>302.95901489257801</v>
      </c>
      <c r="P19" s="468">
        <v>338.77999390000002</v>
      </c>
      <c r="Q19" s="469">
        <v>329.68899540000001</v>
      </c>
      <c r="R19" s="470">
        <v>335.73699950000002</v>
      </c>
      <c r="S19" s="467">
        <v>14</v>
      </c>
      <c r="T19" s="468">
        <v>286.54100227355917</v>
      </c>
      <c r="U19" s="468">
        <v>382.58400344</v>
      </c>
      <c r="V19" s="469">
        <v>403.70400233999999</v>
      </c>
      <c r="W19" s="461">
        <v>393.36499596000004</v>
      </c>
    </row>
    <row r="20" spans="1:23" ht="11.25" customHeight="1">
      <c r="A20" s="17"/>
      <c r="B20" s="163"/>
      <c r="C20" s="39"/>
      <c r="D20" s="163"/>
      <c r="E20" s="163"/>
      <c r="F20" s="70"/>
      <c r="G20" s="66"/>
      <c r="H20" s="66"/>
      <c r="I20" s="71"/>
      <c r="J20" s="3"/>
      <c r="K20" s="6"/>
      <c r="L20" s="15"/>
      <c r="N20" s="467">
        <v>15</v>
      </c>
      <c r="O20" s="468">
        <v>311.781005859375</v>
      </c>
      <c r="P20" s="468">
        <v>347.94900510000002</v>
      </c>
      <c r="Q20" s="469">
        <v>326.67999270000001</v>
      </c>
      <c r="R20" s="470">
        <v>335.73699950000002</v>
      </c>
      <c r="S20" s="467">
        <v>15</v>
      </c>
      <c r="T20" s="468">
        <v>288.78499984741165</v>
      </c>
      <c r="U20" s="468">
        <v>385.29699126999998</v>
      </c>
      <c r="V20" s="469">
        <v>399.27400204999998</v>
      </c>
      <c r="W20" s="461">
        <v>385.77799804</v>
      </c>
    </row>
    <row r="21" spans="1:23" ht="11.25" customHeight="1">
      <c r="A21" s="17"/>
      <c r="B21" s="163"/>
      <c r="C21" s="39"/>
      <c r="D21" s="163"/>
      <c r="E21" s="163"/>
      <c r="F21" s="70"/>
      <c r="G21" s="66"/>
      <c r="H21" s="66"/>
      <c r="I21" s="71"/>
      <c r="J21" s="3"/>
      <c r="K21" s="7"/>
      <c r="L21" s="16"/>
      <c r="N21" s="467">
        <v>16</v>
      </c>
      <c r="O21" s="468">
        <v>320.69100952148398</v>
      </c>
      <c r="P21" s="468">
        <v>354.11401369999999</v>
      </c>
      <c r="Q21" s="469">
        <v>314.7409973</v>
      </c>
      <c r="R21" s="470">
        <v>335.73699950000002</v>
      </c>
      <c r="S21" s="467">
        <v>16</v>
      </c>
      <c r="T21" s="468">
        <v>293.26400000000001</v>
      </c>
      <c r="U21" s="468">
        <v>384.95899003</v>
      </c>
      <c r="V21" s="469">
        <v>394.58499913000003</v>
      </c>
      <c r="W21" s="461">
        <v>385.72399323999997</v>
      </c>
    </row>
    <row r="22" spans="1:23" ht="11.25" customHeight="1">
      <c r="A22" s="77"/>
      <c r="B22" s="163"/>
      <c r="C22" s="39"/>
      <c r="D22" s="163"/>
      <c r="E22" s="163"/>
      <c r="F22" s="70"/>
      <c r="G22" s="66"/>
      <c r="H22" s="66"/>
      <c r="I22" s="71"/>
      <c r="J22" s="3"/>
      <c r="K22" s="6"/>
      <c r="L22" s="15"/>
      <c r="N22" s="467">
        <v>17</v>
      </c>
      <c r="O22" s="468">
        <v>326.67999267578102</v>
      </c>
      <c r="P22" s="468">
        <v>351.02700809999999</v>
      </c>
      <c r="Q22" s="469">
        <v>305.89001459999997</v>
      </c>
      <c r="R22" s="470">
        <v>335.73699950000002</v>
      </c>
      <c r="S22" s="467">
        <v>17</v>
      </c>
      <c r="T22" s="468">
        <v>292.87300071716299</v>
      </c>
      <c r="U22" s="468">
        <v>381.86699488000005</v>
      </c>
      <c r="V22" s="469">
        <v>392.29800030000007</v>
      </c>
      <c r="W22" s="461">
        <v>388.74200823000001</v>
      </c>
    </row>
    <row r="23" spans="1:23" ht="11.25" customHeight="1">
      <c r="A23" s="77"/>
      <c r="B23" s="163"/>
      <c r="C23" s="39"/>
      <c r="D23" s="163"/>
      <c r="E23" s="163"/>
      <c r="F23" s="70"/>
      <c r="G23" s="66"/>
      <c r="H23" s="66"/>
      <c r="I23" s="71"/>
      <c r="J23" s="3"/>
      <c r="K23" s="6"/>
      <c r="L23" s="15"/>
      <c r="N23" s="467">
        <v>18</v>
      </c>
      <c r="O23" s="468">
        <v>314.74099731445301</v>
      </c>
      <c r="P23" s="468">
        <v>354.11401369999999</v>
      </c>
      <c r="Q23" s="469">
        <v>314.7409973</v>
      </c>
      <c r="R23" s="470">
        <v>335.73699950000002</v>
      </c>
      <c r="S23" s="467">
        <v>18</v>
      </c>
      <c r="T23" s="468">
        <v>289.06400012969908</v>
      </c>
      <c r="U23" s="468">
        <v>382.77999115</v>
      </c>
      <c r="V23" s="469">
        <v>390.15600400999995</v>
      </c>
      <c r="W23" s="461">
        <v>386.49800113000003</v>
      </c>
    </row>
    <row r="24" spans="1:23" ht="11.25" customHeight="1">
      <c r="A24" s="77"/>
      <c r="B24" s="163"/>
      <c r="C24" s="39"/>
      <c r="D24" s="163"/>
      <c r="E24" s="163"/>
      <c r="F24" s="70"/>
      <c r="G24" s="66"/>
      <c r="H24" s="66"/>
      <c r="I24" s="71"/>
      <c r="J24" s="6"/>
      <c r="K24" s="6"/>
      <c r="L24" s="15"/>
      <c r="N24" s="467">
        <v>19</v>
      </c>
      <c r="O24" s="468">
        <v>308.829986572265</v>
      </c>
      <c r="P24" s="468">
        <v>363.43499759999997</v>
      </c>
      <c r="Q24" s="469">
        <v>314.7409973</v>
      </c>
      <c r="R24" s="470">
        <v>314.7409973</v>
      </c>
      <c r="S24" s="467">
        <v>19</v>
      </c>
      <c r="T24" s="468">
        <v>283.7310012817382</v>
      </c>
      <c r="U24" s="468">
        <v>381.91700169999996</v>
      </c>
      <c r="V24" s="469">
        <v>386.47099490999994</v>
      </c>
      <c r="W24" s="461">
        <v>384.38200000000001</v>
      </c>
    </row>
    <row r="25" spans="1:23" ht="11.25" customHeight="1">
      <c r="A25" s="274" t="s">
        <v>522</v>
      </c>
      <c r="B25" s="163"/>
      <c r="C25" s="39"/>
      <c r="D25" s="163"/>
      <c r="E25" s="163"/>
      <c r="F25" s="70"/>
      <c r="G25" s="66"/>
      <c r="H25" s="66"/>
      <c r="I25" s="71"/>
      <c r="J25" s="3"/>
      <c r="K25" s="7"/>
      <c r="L25" s="16"/>
      <c r="N25" s="865">
        <v>20</v>
      </c>
      <c r="O25" s="866">
        <v>308.8</v>
      </c>
      <c r="P25" s="866">
        <v>366.56100459999999</v>
      </c>
      <c r="Q25" s="867">
        <v>314.7409973</v>
      </c>
      <c r="R25" s="868">
        <v>315.3340149</v>
      </c>
      <c r="S25" s="467">
        <v>20</v>
      </c>
      <c r="T25" s="468">
        <v>278.90000000000003</v>
      </c>
      <c r="U25" s="468">
        <v>379.35699083999998</v>
      </c>
      <c r="V25" s="469">
        <v>382.00799562999993</v>
      </c>
      <c r="W25" s="870">
        <v>381.56399727000002</v>
      </c>
    </row>
    <row r="26" spans="1:23" ht="11.25" customHeight="1">
      <c r="A26" s="54"/>
      <c r="B26" s="163"/>
      <c r="C26" s="39"/>
      <c r="D26" s="163"/>
      <c r="E26" s="163"/>
      <c r="F26" s="70"/>
      <c r="G26" s="66"/>
      <c r="H26" s="66"/>
      <c r="I26" s="71"/>
      <c r="J26" s="4"/>
      <c r="K26" s="6"/>
      <c r="L26" s="15"/>
      <c r="N26" s="467">
        <v>21</v>
      </c>
      <c r="O26" s="468">
        <v>311.781005859375</v>
      </c>
      <c r="P26" s="468">
        <v>357.21099850000002</v>
      </c>
      <c r="Q26" s="469">
        <v>314.7409973</v>
      </c>
      <c r="R26" s="869">
        <v>311.78100590000003</v>
      </c>
      <c r="S26" s="467">
        <v>21</v>
      </c>
      <c r="T26" s="468">
        <v>274.65599975585928</v>
      </c>
      <c r="U26" s="468">
        <v>375.59600258</v>
      </c>
      <c r="V26" s="469">
        <v>378.52099610999994</v>
      </c>
      <c r="W26" s="461">
        <v>376.47088237999998</v>
      </c>
    </row>
    <row r="27" spans="1:23" ht="11.25" customHeight="1">
      <c r="A27" s="77"/>
      <c r="B27" s="163"/>
      <c r="C27" s="39"/>
      <c r="D27" s="163"/>
      <c r="E27" s="163"/>
      <c r="F27" s="73"/>
      <c r="G27" s="73"/>
      <c r="H27" s="73"/>
      <c r="I27" s="73"/>
      <c r="J27" s="4"/>
      <c r="K27" s="6"/>
      <c r="L27" s="15"/>
      <c r="N27" s="467">
        <v>22</v>
      </c>
      <c r="O27" s="468">
        <v>314.74</v>
      </c>
      <c r="P27" s="468">
        <v>341.82</v>
      </c>
      <c r="Q27" s="469">
        <v>311.78100590000003</v>
      </c>
      <c r="R27" s="869">
        <v>310.60000609999997</v>
      </c>
      <c r="S27" s="467">
        <v>22</v>
      </c>
      <c r="T27" s="468">
        <v>269.74</v>
      </c>
      <c r="U27" s="468">
        <v>373.52000000000004</v>
      </c>
      <c r="V27" s="469">
        <v>375.20999716</v>
      </c>
      <c r="W27" s="461">
        <v>370.73099807</v>
      </c>
    </row>
    <row r="28" spans="1:23" ht="11.25" customHeight="1">
      <c r="A28" s="77"/>
      <c r="B28" s="163"/>
      <c r="C28" s="39"/>
      <c r="D28" s="163"/>
      <c r="E28" s="163"/>
      <c r="F28" s="73"/>
      <c r="G28" s="73"/>
      <c r="H28" s="73"/>
      <c r="I28" s="73"/>
      <c r="J28" s="4"/>
      <c r="K28" s="6"/>
      <c r="L28" s="15"/>
      <c r="N28" s="467">
        <v>23</v>
      </c>
      <c r="O28" s="468">
        <v>308.83</v>
      </c>
      <c r="P28" s="468">
        <v>326.67999270000001</v>
      </c>
      <c r="Q28" s="469">
        <v>308.82998659999998</v>
      </c>
      <c r="R28" s="869">
        <v>307.06500240000003</v>
      </c>
      <c r="S28" s="467">
        <v>23</v>
      </c>
      <c r="T28" s="468">
        <v>265.4609997</v>
      </c>
      <c r="U28" s="468">
        <v>369.22100255000004</v>
      </c>
      <c r="V28" s="469">
        <v>374.07600211999994</v>
      </c>
      <c r="W28" s="461">
        <v>363.24299430999997</v>
      </c>
    </row>
    <row r="29" spans="1:23" ht="11.25" customHeight="1">
      <c r="A29" s="77"/>
      <c r="B29" s="163"/>
      <c r="C29" s="39"/>
      <c r="D29" s="163"/>
      <c r="E29" s="163"/>
      <c r="F29" s="73"/>
      <c r="G29" s="73"/>
      <c r="H29" s="73"/>
      <c r="I29" s="73"/>
      <c r="J29" s="4"/>
      <c r="K29" s="6"/>
      <c r="L29" s="15"/>
      <c r="N29" s="467">
        <v>24</v>
      </c>
      <c r="O29" s="468">
        <v>300.04000000000002</v>
      </c>
      <c r="P29" s="468">
        <v>308.82998659999998</v>
      </c>
      <c r="Q29" s="469">
        <v>300.0379944</v>
      </c>
      <c r="R29" s="869">
        <v>302.9590149</v>
      </c>
      <c r="S29" s="467">
        <v>24</v>
      </c>
      <c r="T29" s="468">
        <v>261.10000000000002</v>
      </c>
      <c r="U29" s="468">
        <v>364.44200138999997</v>
      </c>
      <c r="V29" s="469">
        <v>370.89200402</v>
      </c>
      <c r="W29" s="461">
        <v>357.21200376000002</v>
      </c>
    </row>
    <row r="30" spans="1:23" ht="11.25" customHeight="1">
      <c r="A30" s="74"/>
      <c r="B30" s="73"/>
      <c r="C30" s="73"/>
      <c r="D30" s="73"/>
      <c r="E30" s="73"/>
      <c r="F30" s="73"/>
      <c r="G30" s="73"/>
      <c r="H30" s="73"/>
      <c r="I30" s="73"/>
      <c r="J30" s="3"/>
      <c r="K30" s="6"/>
      <c r="L30" s="15"/>
      <c r="N30" s="467">
        <v>25</v>
      </c>
      <c r="O30" s="468">
        <v>282.71701050000001</v>
      </c>
      <c r="P30" s="468">
        <v>291.33300780000002</v>
      </c>
      <c r="Q30" s="469">
        <v>294.22500609999997</v>
      </c>
      <c r="R30" s="869">
        <v>300.0379944</v>
      </c>
      <c r="S30" s="467">
        <v>25</v>
      </c>
      <c r="T30" s="468">
        <v>256.25999989000002</v>
      </c>
      <c r="U30" s="468">
        <v>359.61999897999999</v>
      </c>
      <c r="V30" s="469">
        <v>366.71700096999996</v>
      </c>
      <c r="W30" s="461">
        <v>352.1909981</v>
      </c>
    </row>
    <row r="31" spans="1:23" ht="11.25" customHeight="1">
      <c r="A31" s="74"/>
      <c r="B31" s="73"/>
      <c r="C31" s="73"/>
      <c r="D31" s="73"/>
      <c r="E31" s="73"/>
      <c r="F31" s="73"/>
      <c r="G31" s="73"/>
      <c r="H31" s="73"/>
      <c r="I31" s="73"/>
      <c r="J31" s="3"/>
      <c r="K31" s="6"/>
      <c r="L31" s="15"/>
      <c r="N31" s="467">
        <v>26</v>
      </c>
      <c r="O31" s="468">
        <v>262.95300292968699</v>
      </c>
      <c r="P31" s="468">
        <v>268.55099489999998</v>
      </c>
      <c r="Q31" s="469">
        <v>282.71701050000001</v>
      </c>
      <c r="R31" s="869">
        <v>296.06698610000001</v>
      </c>
      <c r="S31" s="467">
        <v>26</v>
      </c>
      <c r="T31" s="468">
        <v>252.54899978637627</v>
      </c>
      <c r="U31" s="468">
        <v>354.77499773999995</v>
      </c>
      <c r="V31" s="469">
        <v>361.43599508999995</v>
      </c>
      <c r="W31" s="461">
        <v>345.19513515400001</v>
      </c>
    </row>
    <row r="32" spans="1:23" ht="11.25" customHeight="1">
      <c r="A32" s="74"/>
      <c r="B32" s="73"/>
      <c r="C32" s="73"/>
      <c r="D32" s="73"/>
      <c r="E32" s="73"/>
      <c r="F32" s="73"/>
      <c r="G32" s="73"/>
      <c r="H32" s="73"/>
      <c r="I32" s="73"/>
      <c r="J32" s="3"/>
      <c r="K32" s="6"/>
      <c r="L32" s="15"/>
      <c r="N32" s="467">
        <v>27</v>
      </c>
      <c r="O32" s="468">
        <v>254.63000489999999</v>
      </c>
      <c r="P32" s="468">
        <v>265.7470093</v>
      </c>
      <c r="Q32" s="469">
        <v>271.36</v>
      </c>
      <c r="R32" s="470"/>
      <c r="S32" s="467">
        <v>27</v>
      </c>
      <c r="T32" s="468">
        <v>248.26700022</v>
      </c>
      <c r="U32" s="468">
        <v>349.77999684000002</v>
      </c>
      <c r="V32" s="469">
        <v>355.34</v>
      </c>
    </row>
    <row r="33" spans="1:22" ht="11.25" customHeight="1">
      <c r="A33" s="74"/>
      <c r="B33" s="73"/>
      <c r="C33" s="73"/>
      <c r="D33" s="73"/>
      <c r="E33" s="73"/>
      <c r="F33" s="73"/>
      <c r="G33" s="73"/>
      <c r="H33" s="73"/>
      <c r="I33" s="73"/>
      <c r="J33" s="3"/>
      <c r="K33" s="6"/>
      <c r="L33" s="15"/>
      <c r="N33" s="467">
        <v>28</v>
      </c>
      <c r="O33" s="468">
        <v>240.9539948</v>
      </c>
      <c r="P33" s="471">
        <v>243.66999820000001</v>
      </c>
      <c r="Q33" s="469">
        <v>260.16900629999998</v>
      </c>
      <c r="R33" s="470"/>
      <c r="S33" s="467">
        <v>28</v>
      </c>
      <c r="T33" s="468">
        <v>243.86400222</v>
      </c>
      <c r="U33" s="468">
        <v>344.32400322999996</v>
      </c>
      <c r="V33" s="469">
        <v>349.01599981000004</v>
      </c>
    </row>
    <row r="34" spans="1:22" ht="11.25" customHeight="1">
      <c r="A34" s="74"/>
      <c r="B34" s="73"/>
      <c r="C34" s="73"/>
      <c r="D34" s="73"/>
      <c r="E34" s="73"/>
      <c r="F34" s="73"/>
      <c r="G34" s="73"/>
      <c r="H34" s="73"/>
      <c r="I34" s="73"/>
      <c r="J34" s="3"/>
      <c r="K34" s="6"/>
      <c r="L34" s="15"/>
      <c r="N34" s="467">
        <v>29</v>
      </c>
      <c r="O34" s="468">
        <v>227.5220032</v>
      </c>
      <c r="P34" s="468">
        <v>227.5220032</v>
      </c>
      <c r="Q34" s="469">
        <v>251.88</v>
      </c>
      <c r="R34" s="470"/>
      <c r="S34" s="467">
        <v>29</v>
      </c>
      <c r="T34" s="468">
        <v>239.07999988</v>
      </c>
      <c r="U34" s="468">
        <v>338.60699847999996</v>
      </c>
      <c r="V34" s="469">
        <v>343.97999999999996</v>
      </c>
    </row>
    <row r="35" spans="1:22" ht="11.25" customHeight="1">
      <c r="A35" s="74"/>
      <c r="B35" s="73"/>
      <c r="C35" s="73"/>
      <c r="D35" s="73"/>
      <c r="E35" s="73"/>
      <c r="F35" s="73"/>
      <c r="G35" s="73"/>
      <c r="H35" s="73"/>
      <c r="I35" s="73"/>
      <c r="J35" s="6"/>
      <c r="K35" s="6"/>
      <c r="L35" s="15"/>
      <c r="N35" s="467">
        <v>30</v>
      </c>
      <c r="O35" s="468">
        <v>216.95199584960901</v>
      </c>
      <c r="P35" s="468">
        <v>216.95199579999999</v>
      </c>
      <c r="Q35" s="469">
        <v>232.8650055</v>
      </c>
      <c r="R35" s="470"/>
      <c r="S35" s="467">
        <v>30</v>
      </c>
      <c r="T35" s="468">
        <v>234.2539968490598</v>
      </c>
      <c r="U35" s="468">
        <v>332.49400331000004</v>
      </c>
      <c r="V35" s="469">
        <v>342.06599807739167</v>
      </c>
    </row>
    <row r="36" spans="1:22" ht="11.25" customHeight="1">
      <c r="A36" s="74"/>
      <c r="B36" s="73"/>
      <c r="C36" s="73"/>
      <c r="D36" s="73"/>
      <c r="E36" s="73"/>
      <c r="F36" s="73"/>
      <c r="G36" s="73"/>
      <c r="H36" s="73"/>
      <c r="I36" s="73"/>
      <c r="J36" s="3"/>
      <c r="K36" s="6"/>
      <c r="L36" s="15"/>
      <c r="N36" s="467">
        <v>31</v>
      </c>
      <c r="O36" s="468">
        <v>216.95199579999999</v>
      </c>
      <c r="P36" s="468">
        <v>209.128006</v>
      </c>
      <c r="Q36" s="469">
        <v>211.726</v>
      </c>
      <c r="R36" s="470"/>
      <c r="S36" s="467">
        <v>31</v>
      </c>
      <c r="T36" s="468">
        <v>229.68000125999998</v>
      </c>
      <c r="U36" s="468">
        <v>324</v>
      </c>
      <c r="V36" s="469">
        <v>335.23199999999997</v>
      </c>
    </row>
    <row r="37" spans="1:22" ht="11.25" customHeight="1">
      <c r="A37" s="74"/>
      <c r="B37" s="73"/>
      <c r="C37" s="73"/>
      <c r="D37" s="73"/>
      <c r="E37" s="73"/>
      <c r="F37" s="73"/>
      <c r="G37" s="73"/>
      <c r="H37" s="73"/>
      <c r="I37" s="73"/>
      <c r="J37" s="3"/>
      <c r="K37" s="10"/>
      <c r="L37" s="15"/>
      <c r="N37" s="467">
        <v>32</v>
      </c>
      <c r="O37" s="468">
        <v>201.39199830000001</v>
      </c>
      <c r="P37" s="468">
        <v>198.83200070000001</v>
      </c>
      <c r="Q37" s="469">
        <v>181.19200129999999</v>
      </c>
      <c r="R37" s="470"/>
      <c r="S37" s="467">
        <v>32</v>
      </c>
      <c r="T37" s="468">
        <v>224.73799990999998</v>
      </c>
      <c r="U37" s="468">
        <v>320.73399734000003</v>
      </c>
      <c r="V37" s="469">
        <v>329.56800555999996</v>
      </c>
    </row>
    <row r="38" spans="1:22" ht="11.25" customHeight="1">
      <c r="A38" s="74"/>
      <c r="B38" s="73"/>
      <c r="C38" s="73"/>
      <c r="D38" s="73"/>
      <c r="E38" s="73"/>
      <c r="F38" s="73"/>
      <c r="G38" s="73"/>
      <c r="H38" s="73"/>
      <c r="I38" s="73"/>
      <c r="J38" s="3"/>
      <c r="K38" s="10"/>
      <c r="L38" s="38"/>
      <c r="N38" s="467">
        <v>33</v>
      </c>
      <c r="O38" s="468">
        <v>193.74299621582</v>
      </c>
      <c r="P38" s="468">
        <v>188.69299319999999</v>
      </c>
      <c r="Q38" s="469">
        <v>152.0650024</v>
      </c>
      <c r="R38" s="470"/>
      <c r="S38" s="467">
        <v>33</v>
      </c>
      <c r="T38" s="468">
        <v>219.00299835205058</v>
      </c>
      <c r="U38" s="468">
        <v>314.19900131999998</v>
      </c>
      <c r="V38" s="469">
        <v>323.79099748000004</v>
      </c>
    </row>
    <row r="39" spans="1:22" ht="11.25" customHeight="1">
      <c r="A39" s="74"/>
      <c r="B39" s="73"/>
      <c r="C39" s="73"/>
      <c r="D39" s="73"/>
      <c r="E39" s="73"/>
      <c r="F39" s="73"/>
      <c r="G39" s="73"/>
      <c r="H39" s="73"/>
      <c r="I39" s="73"/>
      <c r="J39" s="3"/>
      <c r="K39" s="7"/>
      <c r="L39" s="15"/>
      <c r="N39" s="467">
        <v>34</v>
      </c>
      <c r="O39" s="468">
        <v>181.19200129999999</v>
      </c>
      <c r="P39" s="468">
        <v>183.68200680000001</v>
      </c>
      <c r="Q39" s="469">
        <v>156.8220062</v>
      </c>
      <c r="R39" s="470"/>
      <c r="S39" s="467">
        <v>34</v>
      </c>
      <c r="T39" s="468">
        <v>214.38699817</v>
      </c>
      <c r="U39" s="468">
        <v>307.85200500000002</v>
      </c>
      <c r="V39" s="469">
        <v>317.64699750999995</v>
      </c>
    </row>
    <row r="40" spans="1:22" ht="11.25" customHeight="1">
      <c r="A40" s="74"/>
      <c r="B40" s="73"/>
      <c r="C40" s="73"/>
      <c r="D40" s="73"/>
      <c r="E40" s="73"/>
      <c r="F40" s="73"/>
      <c r="G40" s="73"/>
      <c r="H40" s="73"/>
      <c r="I40" s="73"/>
      <c r="J40" s="3"/>
      <c r="K40" s="7"/>
      <c r="L40" s="15"/>
      <c r="N40" s="467">
        <v>35</v>
      </c>
      <c r="O40" s="468">
        <v>171.32600400000001</v>
      </c>
      <c r="P40" s="472">
        <v>176.23899840000001</v>
      </c>
      <c r="Q40" s="469">
        <v>156.82</v>
      </c>
      <c r="R40" s="470"/>
      <c r="S40" s="467">
        <v>35</v>
      </c>
      <c r="T40" s="468">
        <v>208.95000171000001</v>
      </c>
      <c r="U40" s="468">
        <v>300.83900069999999</v>
      </c>
      <c r="V40" s="469">
        <v>311.42</v>
      </c>
    </row>
    <row r="41" spans="1:22" ht="11.25" customHeight="1">
      <c r="A41" s="74"/>
      <c r="B41" s="73"/>
      <c r="C41" s="73"/>
      <c r="D41" s="73"/>
      <c r="E41" s="73"/>
      <c r="F41" s="73"/>
      <c r="G41" s="73"/>
      <c r="H41" s="73"/>
      <c r="I41" s="73"/>
      <c r="J41" s="3"/>
      <c r="K41" s="7"/>
      <c r="L41" s="15"/>
      <c r="N41" s="467">
        <v>36</v>
      </c>
      <c r="O41" s="468">
        <v>164.02999879999999</v>
      </c>
      <c r="P41" s="472">
        <v>168.8840027</v>
      </c>
      <c r="Q41" s="469">
        <v>159.21</v>
      </c>
      <c r="R41" s="470"/>
      <c r="S41" s="467">
        <v>36</v>
      </c>
      <c r="T41" s="468">
        <v>202.97300145000003</v>
      </c>
      <c r="U41" s="468">
        <v>293.46100233999999</v>
      </c>
      <c r="V41" s="469">
        <v>305.20999999999998</v>
      </c>
    </row>
    <row r="42" spans="1:22" ht="11.25" customHeight="1">
      <c r="A42" s="74"/>
      <c r="B42" s="73"/>
      <c r="C42" s="73"/>
      <c r="D42" s="73"/>
      <c r="E42" s="73"/>
      <c r="F42" s="73"/>
      <c r="G42" s="73"/>
      <c r="H42" s="73"/>
      <c r="I42" s="73"/>
      <c r="J42" s="6"/>
      <c r="K42" s="10"/>
      <c r="L42" s="15"/>
      <c r="N42" s="467">
        <v>37</v>
      </c>
      <c r="O42" s="468">
        <v>147.34800720000001</v>
      </c>
      <c r="P42" s="472">
        <v>159.2149963</v>
      </c>
      <c r="Q42" s="469">
        <v>159.2149963</v>
      </c>
      <c r="R42" s="470"/>
      <c r="S42" s="467">
        <v>37</v>
      </c>
      <c r="T42" s="468">
        <v>196.95000080099999</v>
      </c>
      <c r="U42" s="468">
        <v>287.76599501999999</v>
      </c>
      <c r="V42" s="469">
        <v>299.17000225600003</v>
      </c>
    </row>
    <row r="43" spans="1:22" ht="11.25" customHeight="1">
      <c r="A43" s="74"/>
      <c r="B43" s="73"/>
      <c r="C43" s="73"/>
      <c r="D43" s="73"/>
      <c r="E43" s="73"/>
      <c r="F43" s="73"/>
      <c r="G43" s="73"/>
      <c r="H43" s="73"/>
      <c r="I43" s="73"/>
      <c r="J43" s="3"/>
      <c r="K43" s="10"/>
      <c r="L43" s="15"/>
      <c r="N43" s="467">
        <v>38</v>
      </c>
      <c r="O43" s="468">
        <v>131.14500430000001</v>
      </c>
      <c r="P43" s="472">
        <v>149.70199579999999</v>
      </c>
      <c r="Q43" s="469">
        <v>149.70199579999999</v>
      </c>
      <c r="R43" s="470"/>
      <c r="S43" s="467">
        <v>38</v>
      </c>
      <c r="T43" s="468">
        <v>190.78400421900002</v>
      </c>
      <c r="U43" s="468">
        <v>282.07300377000001</v>
      </c>
      <c r="V43" s="469">
        <v>292.45899891799996</v>
      </c>
    </row>
    <row r="44" spans="1:22" ht="11.25" customHeight="1">
      <c r="A44" s="74"/>
      <c r="B44" s="73"/>
      <c r="C44" s="73"/>
      <c r="D44" s="73"/>
      <c r="E44" s="73"/>
      <c r="F44" s="73"/>
      <c r="G44" s="73"/>
      <c r="H44" s="73"/>
      <c r="I44" s="73"/>
      <c r="J44" s="3"/>
      <c r="K44" s="10"/>
      <c r="L44" s="15"/>
      <c r="N44" s="467">
        <v>39</v>
      </c>
      <c r="O44" s="468">
        <v>119.8639984</v>
      </c>
      <c r="P44" s="472">
        <v>138.02999879999999</v>
      </c>
      <c r="Q44" s="469">
        <v>117.6380005</v>
      </c>
      <c r="R44" s="470"/>
      <c r="S44" s="467">
        <v>39</v>
      </c>
      <c r="T44" s="468">
        <v>184.44099947499998</v>
      </c>
      <c r="U44" s="468">
        <v>275.53000069000001</v>
      </c>
      <c r="V44" s="469">
        <v>286.11999916000002</v>
      </c>
    </row>
    <row r="45" spans="1:22" ht="11.25" customHeight="1">
      <c r="A45" s="74"/>
      <c r="B45" s="73"/>
      <c r="C45" s="73"/>
      <c r="D45" s="73"/>
      <c r="E45" s="73"/>
      <c r="F45" s="73"/>
      <c r="G45" s="73"/>
      <c r="H45" s="73"/>
      <c r="I45" s="73"/>
      <c r="J45" s="11"/>
      <c r="K45" s="11"/>
      <c r="L45" s="11"/>
      <c r="N45" s="467">
        <v>40</v>
      </c>
      <c r="O45" s="468">
        <v>119.8639984</v>
      </c>
      <c r="P45" s="468">
        <v>131.14500430000001</v>
      </c>
      <c r="Q45" s="469">
        <v>91.680000309999997</v>
      </c>
      <c r="R45" s="470"/>
      <c r="S45" s="467">
        <v>40</v>
      </c>
      <c r="T45" s="468">
        <v>177.93399906500002</v>
      </c>
      <c r="U45" s="468">
        <v>268.25699615000002</v>
      </c>
      <c r="V45" s="469">
        <v>278.57999837699998</v>
      </c>
    </row>
    <row r="46" spans="1:22" ht="11.25" customHeight="1">
      <c r="A46" s="74"/>
      <c r="B46" s="73"/>
      <c r="C46" s="73"/>
      <c r="D46" s="73"/>
      <c r="E46" s="73"/>
      <c r="F46" s="73"/>
      <c r="G46" s="73"/>
      <c r="H46" s="73"/>
      <c r="I46" s="73"/>
      <c r="J46" s="11"/>
      <c r="K46" s="11"/>
      <c r="L46" s="11"/>
      <c r="N46" s="467">
        <v>41</v>
      </c>
      <c r="O46" s="468">
        <v>113.213996887207</v>
      </c>
      <c r="P46" s="468">
        <v>108.82900239999999</v>
      </c>
      <c r="Q46" s="469">
        <v>71.125</v>
      </c>
      <c r="R46" s="470"/>
      <c r="S46" s="467">
        <v>41</v>
      </c>
      <c r="T46" s="468">
        <v>171.68900227546672</v>
      </c>
      <c r="U46" s="468">
        <v>261.21399689000003</v>
      </c>
      <c r="V46" s="469">
        <v>271.23250496387476</v>
      </c>
    </row>
    <row r="47" spans="1:22" ht="11.25" customHeight="1">
      <c r="A47" s="74"/>
      <c r="B47" s="73"/>
      <c r="C47" s="73"/>
      <c r="D47" s="73"/>
      <c r="E47" s="73"/>
      <c r="F47" s="73"/>
      <c r="G47" s="73"/>
      <c r="H47" s="73"/>
      <c r="I47" s="73"/>
      <c r="J47" s="11"/>
      <c r="K47" s="11"/>
      <c r="L47" s="11"/>
      <c r="N47" s="467">
        <v>42</v>
      </c>
      <c r="O47" s="468">
        <v>100.1760025</v>
      </c>
      <c r="P47" s="468">
        <v>95.908996579999993</v>
      </c>
      <c r="Q47" s="469">
        <v>59.261001586913999</v>
      </c>
      <c r="R47" s="470"/>
      <c r="S47" s="467">
        <v>42</v>
      </c>
      <c r="T47" s="468">
        <v>165.69499874400003</v>
      </c>
      <c r="U47" s="468">
        <v>255.58900451</v>
      </c>
      <c r="V47" s="469">
        <v>256.27199935913058</v>
      </c>
    </row>
    <row r="48" spans="1:22" ht="11.25" customHeight="1">
      <c r="A48" s="74"/>
      <c r="B48" s="73"/>
      <c r="C48" s="73"/>
      <c r="D48" s="73"/>
      <c r="E48" s="73"/>
      <c r="F48" s="73"/>
      <c r="G48" s="73"/>
      <c r="H48" s="73"/>
      <c r="I48" s="73"/>
      <c r="J48" s="11"/>
      <c r="K48" s="11"/>
      <c r="L48" s="11"/>
      <c r="N48" s="467">
        <v>43</v>
      </c>
      <c r="O48" s="468">
        <v>89.581001279999995</v>
      </c>
      <c r="P48" s="468">
        <v>83.341003420000007</v>
      </c>
      <c r="Q48" s="469">
        <v>47.749000549316399</v>
      </c>
      <c r="R48" s="470"/>
      <c r="S48" s="467">
        <v>43</v>
      </c>
      <c r="T48" s="468">
        <v>160.397996525</v>
      </c>
      <c r="U48" s="468">
        <v>249.85500335</v>
      </c>
      <c r="V48" s="469">
        <v>249.67099761962871</v>
      </c>
    </row>
    <row r="49" spans="1:22" ht="11.25" customHeight="1">
      <c r="A49" s="74"/>
      <c r="B49" s="73"/>
      <c r="C49" s="73"/>
      <c r="D49" s="73"/>
      <c r="E49" s="73"/>
      <c r="F49" s="73"/>
      <c r="G49" s="73"/>
      <c r="H49" s="73"/>
      <c r="I49" s="73"/>
      <c r="J49" s="11"/>
      <c r="K49" s="11"/>
      <c r="L49" s="11"/>
      <c r="N49" s="467">
        <v>44</v>
      </c>
      <c r="O49" s="468">
        <v>75.156997680000003</v>
      </c>
      <c r="P49" s="468">
        <v>75.16</v>
      </c>
      <c r="Q49" s="469">
        <v>38.424999239999998</v>
      </c>
      <c r="R49" s="470"/>
      <c r="S49" s="467">
        <v>44</v>
      </c>
      <c r="T49" s="468">
        <v>154.79199918699999</v>
      </c>
      <c r="U49" s="468">
        <v>242.79000000000002</v>
      </c>
      <c r="V49" s="469">
        <v>249.67099761962871</v>
      </c>
    </row>
    <row r="50" spans="1:22" ht="12.75">
      <c r="A50" s="74"/>
      <c r="B50" s="73"/>
      <c r="C50" s="73"/>
      <c r="D50" s="73"/>
      <c r="E50" s="73"/>
      <c r="F50" s="73"/>
      <c r="G50" s="73"/>
      <c r="H50" s="73"/>
      <c r="I50" s="73"/>
      <c r="J50" s="11"/>
      <c r="K50" s="11"/>
      <c r="L50" s="11"/>
      <c r="N50" s="467">
        <v>45</v>
      </c>
      <c r="O50" s="468">
        <v>61.2140007</v>
      </c>
      <c r="P50" s="468">
        <v>65.149002080000002</v>
      </c>
      <c r="Q50" s="469">
        <v>31.142000199999998</v>
      </c>
      <c r="R50" s="470"/>
      <c r="S50" s="467">
        <v>45</v>
      </c>
      <c r="T50" s="468">
        <v>149.715000041</v>
      </c>
      <c r="U50" s="468">
        <v>235.60499572000001</v>
      </c>
      <c r="V50" s="469">
        <v>243.378839739</v>
      </c>
    </row>
    <row r="51" spans="1:22" ht="12.75">
      <c r="A51" s="74"/>
      <c r="B51" s="73"/>
      <c r="C51" s="73"/>
      <c r="D51" s="73"/>
      <c r="E51" s="73"/>
      <c r="F51" s="73"/>
      <c r="G51" s="73"/>
      <c r="H51" s="73"/>
      <c r="I51" s="73"/>
      <c r="J51" s="11"/>
      <c r="K51" s="11"/>
      <c r="L51" s="11"/>
      <c r="N51" s="467">
        <v>46</v>
      </c>
      <c r="O51" s="468">
        <v>43.990001679999999</v>
      </c>
      <c r="P51" s="468">
        <v>47.749000549999998</v>
      </c>
      <c r="Q51" s="469">
        <v>22.26</v>
      </c>
      <c r="R51" s="470"/>
      <c r="S51" s="467">
        <v>46</v>
      </c>
      <c r="T51" s="468">
        <v>144.11800040400001</v>
      </c>
      <c r="U51" s="468">
        <v>230.54900361099999</v>
      </c>
      <c r="V51" s="469">
        <v>236.34</v>
      </c>
    </row>
    <row r="52" spans="1:22" ht="12.75">
      <c r="A52" s="74"/>
      <c r="B52" s="73"/>
      <c r="C52" s="73"/>
      <c r="D52" s="73"/>
      <c r="E52" s="73"/>
      <c r="F52" s="73"/>
      <c r="G52" s="73"/>
      <c r="H52" s="73"/>
      <c r="I52" s="73"/>
      <c r="J52" s="11"/>
      <c r="K52" s="11"/>
      <c r="L52" s="11"/>
      <c r="N52" s="467">
        <v>47</v>
      </c>
      <c r="O52" s="468">
        <v>25.781999590000002</v>
      </c>
      <c r="P52" s="468">
        <v>34.763999939999998</v>
      </c>
      <c r="Q52" s="469">
        <v>17.044000629999999</v>
      </c>
      <c r="R52" s="470"/>
      <c r="S52" s="467">
        <v>47</v>
      </c>
      <c r="T52" s="468">
        <v>138.82499813000001</v>
      </c>
      <c r="U52" s="468">
        <v>223.60000467499998</v>
      </c>
      <c r="V52" s="469">
        <v>227.62000255999999</v>
      </c>
    </row>
    <row r="53" spans="1:22" ht="12.75">
      <c r="A53" s="74"/>
      <c r="B53" s="73"/>
      <c r="C53" s="73"/>
      <c r="D53" s="73"/>
      <c r="E53" s="73"/>
      <c r="F53" s="73"/>
      <c r="G53" s="73"/>
      <c r="H53" s="73"/>
      <c r="I53" s="73"/>
      <c r="J53" s="11"/>
      <c r="K53" s="11"/>
      <c r="L53" s="11"/>
      <c r="N53" s="467">
        <v>48</v>
      </c>
      <c r="O53" s="468">
        <v>29.344999309999999</v>
      </c>
      <c r="P53" s="468">
        <v>13.618000029999999</v>
      </c>
      <c r="Q53" s="469">
        <v>36.5890007</v>
      </c>
      <c r="R53" s="470"/>
      <c r="S53" s="467">
        <v>48</v>
      </c>
      <c r="T53" s="468">
        <v>133.112998957</v>
      </c>
      <c r="U53" s="468">
        <v>217.17600035300001</v>
      </c>
      <c r="V53" s="469">
        <v>220.01436420799999</v>
      </c>
    </row>
    <row r="54" spans="1:22" ht="13.5">
      <c r="A54" s="74"/>
      <c r="B54" s="73"/>
      <c r="C54" s="73"/>
      <c r="D54" s="73"/>
      <c r="E54" s="73"/>
      <c r="F54" s="73"/>
      <c r="G54" s="73"/>
      <c r="H54" s="73"/>
      <c r="I54" s="73"/>
      <c r="J54" s="11"/>
      <c r="K54" s="11"/>
      <c r="L54" s="11"/>
      <c r="N54" s="467">
        <v>49</v>
      </c>
      <c r="O54" s="473">
        <v>34.763999939999998</v>
      </c>
      <c r="P54" s="468">
        <v>8.5520000459999999</v>
      </c>
      <c r="Q54" s="469">
        <v>36.590000000000003</v>
      </c>
      <c r="R54" s="470"/>
      <c r="S54" s="467">
        <v>49</v>
      </c>
      <c r="T54" s="468">
        <v>128.370002666</v>
      </c>
      <c r="U54" s="468">
        <v>210.45100211699997</v>
      </c>
      <c r="V54" s="469">
        <v>212.37999999999997</v>
      </c>
    </row>
    <row r="55" spans="1:22" ht="12.75">
      <c r="A55" s="74"/>
      <c r="B55" s="73"/>
      <c r="C55" s="73"/>
      <c r="D55" s="73"/>
      <c r="E55" s="73"/>
      <c r="F55" s="73"/>
      <c r="G55" s="73"/>
      <c r="H55" s="73"/>
      <c r="I55" s="73"/>
      <c r="J55" s="11"/>
      <c r="K55" s="11"/>
      <c r="L55" s="11"/>
      <c r="N55" s="467">
        <v>50</v>
      </c>
      <c r="O55" s="468">
        <v>32.948001859999998</v>
      </c>
      <c r="P55" s="468">
        <v>13.618000029999999</v>
      </c>
      <c r="Q55" s="469">
        <v>34.763999939999998</v>
      </c>
      <c r="R55" s="470"/>
      <c r="S55" s="467">
        <v>50</v>
      </c>
      <c r="T55" s="468">
        <v>122.71499820000001</v>
      </c>
      <c r="U55" s="468">
        <v>203.37099885499998</v>
      </c>
      <c r="V55" s="469">
        <v>205.46782675599999</v>
      </c>
    </row>
    <row r="56" spans="1:22" ht="12.75">
      <c r="A56" s="74"/>
      <c r="B56" s="73"/>
      <c r="C56" s="73"/>
      <c r="D56" s="73"/>
      <c r="E56" s="73"/>
      <c r="F56" s="73"/>
      <c r="G56" s="73"/>
      <c r="H56" s="73"/>
      <c r="I56" s="73"/>
      <c r="J56" s="11"/>
      <c r="K56" s="11"/>
      <c r="L56" s="11"/>
      <c r="N56" s="467">
        <v>51</v>
      </c>
      <c r="O56" s="468">
        <v>25.781999590000002</v>
      </c>
      <c r="P56" s="468">
        <v>18.771999359999999</v>
      </c>
      <c r="Q56" s="469">
        <v>38.4</v>
      </c>
      <c r="R56" s="470"/>
      <c r="S56" s="467">
        <v>51</v>
      </c>
      <c r="T56" s="468">
        <v>120.15600296300001</v>
      </c>
      <c r="U56" s="468">
        <v>202.35899971500001</v>
      </c>
      <c r="V56" s="469">
        <v>199</v>
      </c>
    </row>
    <row r="57" spans="1:22" ht="12.75">
      <c r="A57" s="74"/>
      <c r="B57" s="73"/>
      <c r="C57" s="73"/>
      <c r="D57" s="73"/>
      <c r="E57" s="73"/>
      <c r="F57" s="73"/>
      <c r="G57" s="73"/>
      <c r="H57" s="73"/>
      <c r="I57" s="73"/>
      <c r="N57" s="467">
        <v>52</v>
      </c>
      <c r="O57" s="468">
        <v>22.256999969999999</v>
      </c>
      <c r="P57" s="468">
        <v>25.781999590000002</v>
      </c>
      <c r="Q57" s="469">
        <v>59.261001589999999</v>
      </c>
      <c r="R57" s="470"/>
      <c r="S57" s="467">
        <v>52</v>
      </c>
      <c r="T57" s="468">
        <v>116.12899696700001</v>
      </c>
      <c r="U57" s="468">
        <v>201.25199794899999</v>
      </c>
      <c r="V57" s="469">
        <v>192.88799664499999</v>
      </c>
    </row>
    <row r="58" spans="1:22" ht="12.75">
      <c r="A58" s="74"/>
      <c r="B58" s="73"/>
      <c r="C58" s="73"/>
      <c r="D58" s="73"/>
      <c r="E58" s="73"/>
      <c r="F58" s="73"/>
      <c r="G58" s="73"/>
      <c r="H58" s="73"/>
      <c r="I58" s="73"/>
      <c r="N58" s="467">
        <v>53</v>
      </c>
      <c r="O58" s="470"/>
      <c r="P58" s="470"/>
      <c r="Q58" s="470"/>
      <c r="R58" s="470"/>
      <c r="S58" s="467">
        <v>53</v>
      </c>
      <c r="T58" s="468"/>
      <c r="U58" s="468"/>
      <c r="V58" s="469"/>
    </row>
    <row r="59" spans="1:22" ht="12.75">
      <c r="B59" s="73"/>
      <c r="C59" s="73"/>
      <c r="D59" s="73"/>
      <c r="E59" s="73"/>
      <c r="F59" s="73"/>
      <c r="G59" s="73"/>
      <c r="H59" s="73"/>
      <c r="I59" s="73"/>
    </row>
    <row r="60" spans="1:22" ht="12.75">
      <c r="A60" s="74"/>
      <c r="B60" s="73"/>
      <c r="C60" s="73"/>
      <c r="D60" s="73"/>
      <c r="E60" s="73"/>
      <c r="F60" s="73"/>
      <c r="G60" s="73"/>
      <c r="H60" s="73"/>
      <c r="I60" s="73"/>
    </row>
    <row r="63" spans="1:22">
      <c r="A63" s="274" t="s">
        <v>523</v>
      </c>
    </row>
  </sheetData>
  <mergeCells count="2">
    <mergeCell ref="A5:I5"/>
    <mergeCell ref="B7:C7"/>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77A5"/>
  </sheetPr>
  <dimension ref="A1:U213"/>
  <sheetViews>
    <sheetView showGridLines="0" view="pageBreakPreview" zoomScale="115" zoomScaleNormal="100" zoomScaleSheetLayoutView="115" zoomScalePageLayoutView="130" workbookViewId="0">
      <selection activeCell="C12" sqref="C12"/>
    </sheetView>
  </sheetViews>
  <sheetFormatPr defaultColWidth="9.33203125" defaultRowHeight="11.25"/>
  <cols>
    <col min="3" max="3" width="28.5" customWidth="1"/>
    <col min="4" max="5" width="12" customWidth="1"/>
    <col min="6" max="6" width="12.33203125" customWidth="1"/>
    <col min="8" max="9" width="9.33203125" customWidth="1"/>
    <col min="10" max="10" width="9.33203125" style="25"/>
    <col min="11" max="11" width="9.33203125" style="461"/>
    <col min="12" max="12" width="3.1640625" style="462" bestFit="1" customWidth="1"/>
    <col min="13" max="21" width="9.33203125" style="461"/>
  </cols>
  <sheetData>
    <row r="1" spans="1:15" ht="11.25" customHeight="1"/>
    <row r="2" spans="1:15" ht="11.25" customHeight="1">
      <c r="A2" s="17"/>
      <c r="B2" s="17"/>
      <c r="C2" s="17"/>
      <c r="D2" s="17"/>
      <c r="E2" s="73"/>
      <c r="F2" s="73"/>
      <c r="G2" s="73"/>
    </row>
    <row r="3" spans="1:15" ht="17.25" customHeight="1">
      <c r="A3" s="954" t="s">
        <v>450</v>
      </c>
      <c r="B3" s="954"/>
      <c r="C3" s="954"/>
      <c r="D3" s="954"/>
      <c r="E3" s="954"/>
      <c r="F3" s="954"/>
      <c r="G3" s="954"/>
      <c r="H3" s="36"/>
      <c r="I3" s="36"/>
      <c r="K3" s="461" t="s">
        <v>276</v>
      </c>
      <c r="M3" s="461" t="s">
        <v>277</v>
      </c>
      <c r="N3" s="461" t="s">
        <v>278</v>
      </c>
      <c r="O3" s="461" t="s">
        <v>279</v>
      </c>
    </row>
    <row r="4" spans="1:15" ht="11.25" customHeight="1">
      <c r="A4" s="74"/>
      <c r="B4" s="73"/>
      <c r="C4" s="73"/>
      <c r="D4" s="73"/>
      <c r="E4" s="73"/>
      <c r="F4" s="73"/>
      <c r="G4" s="73"/>
      <c r="H4" s="36"/>
      <c r="I4" s="36"/>
      <c r="J4" s="25">
        <v>2016</v>
      </c>
      <c r="K4" s="461">
        <v>1</v>
      </c>
      <c r="L4" s="462">
        <v>1</v>
      </c>
      <c r="M4" s="463">
        <v>40.61</v>
      </c>
      <c r="N4" s="463">
        <v>96.75</v>
      </c>
      <c r="O4" s="463">
        <v>16.37</v>
      </c>
    </row>
    <row r="5" spans="1:15" ht="11.25" customHeight="1">
      <c r="A5" s="74"/>
      <c r="B5" s="73"/>
      <c r="C5" s="73"/>
      <c r="D5" s="73"/>
      <c r="E5" s="73"/>
      <c r="F5" s="73"/>
      <c r="G5" s="73"/>
      <c r="H5" s="12"/>
      <c r="I5" s="12"/>
      <c r="L5" s="462">
        <v>2</v>
      </c>
      <c r="M5" s="463">
        <v>29.82</v>
      </c>
      <c r="N5" s="463">
        <v>76.510000000000005</v>
      </c>
      <c r="O5" s="463">
        <v>15.9</v>
      </c>
    </row>
    <row r="6" spans="1:15" ht="29.25" customHeight="1">
      <c r="A6" s="136"/>
      <c r="C6" s="541" t="s">
        <v>148</v>
      </c>
      <c r="D6" s="544" t="str">
        <f>UPPER('1. Resumen'!Q4)&amp;"
 "&amp;'1. Resumen'!Q5</f>
        <v>JUNIO
 2019</v>
      </c>
      <c r="E6" s="545" t="str">
        <f>UPPER('1. Resumen'!Q4)&amp;"
 "&amp;'1. Resumen'!Q5-1</f>
        <v>JUNIO
 2018</v>
      </c>
      <c r="F6" s="546" t="s">
        <v>568</v>
      </c>
      <c r="G6" s="138"/>
      <c r="H6" s="24"/>
      <c r="I6" s="12"/>
      <c r="L6" s="462">
        <v>3</v>
      </c>
      <c r="M6" s="463">
        <v>27.06</v>
      </c>
      <c r="N6" s="463">
        <v>80.096000000000004</v>
      </c>
      <c r="O6" s="463">
        <v>29.21</v>
      </c>
    </row>
    <row r="7" spans="1:15" ht="11.25" customHeight="1">
      <c r="A7" s="175"/>
      <c r="C7" s="625" t="s">
        <v>149</v>
      </c>
      <c r="D7" s="626">
        <v>11.659586216000001</v>
      </c>
      <c r="E7" s="626">
        <v>8.7519998549999993</v>
      </c>
      <c r="F7" s="627">
        <f>IF(E7=0,"",(D7-E7)/E7)</f>
        <v>0.33221965369879475</v>
      </c>
      <c r="G7" s="138"/>
      <c r="H7" s="25"/>
      <c r="I7" s="3"/>
      <c r="K7" s="461">
        <v>4</v>
      </c>
      <c r="L7" s="462">
        <v>4</v>
      </c>
      <c r="M7" s="463">
        <v>27.93</v>
      </c>
      <c r="N7" s="463">
        <v>77.09</v>
      </c>
      <c r="O7" s="463">
        <v>20.7</v>
      </c>
    </row>
    <row r="8" spans="1:15" ht="11.25" customHeight="1">
      <c r="A8" s="175"/>
      <c r="C8" s="628" t="s">
        <v>155</v>
      </c>
      <c r="D8" s="629">
        <v>9.2621000924000025</v>
      </c>
      <c r="E8" s="629">
        <v>10.475000380000001</v>
      </c>
      <c r="F8" s="630">
        <f t="shared" ref="F8:F30" si="0">IF(E8=0,"",(D8-E8)/E8)</f>
        <v>-0.11578999938900224</v>
      </c>
      <c r="G8" s="138"/>
      <c r="H8" s="23"/>
      <c r="I8" s="3"/>
      <c r="L8" s="462">
        <v>5</v>
      </c>
      <c r="M8" s="463">
        <v>49.585999999999999</v>
      </c>
      <c r="N8" s="463">
        <v>140.12</v>
      </c>
      <c r="O8" s="463">
        <v>74.02</v>
      </c>
    </row>
    <row r="9" spans="1:15" ht="11.25" customHeight="1">
      <c r="A9" s="175"/>
      <c r="C9" s="631" t="s">
        <v>156</v>
      </c>
      <c r="D9" s="632">
        <v>34.659700012000002</v>
      </c>
      <c r="E9" s="632">
        <v>34.541999820000001</v>
      </c>
      <c r="F9" s="633">
        <f t="shared" si="0"/>
        <v>3.4074515839656711E-3</v>
      </c>
      <c r="G9" s="138"/>
      <c r="H9" s="25"/>
      <c r="I9" s="3"/>
      <c r="L9" s="462">
        <v>6</v>
      </c>
      <c r="M9" s="463">
        <v>57</v>
      </c>
      <c r="N9" s="463">
        <v>144.66999999999999</v>
      </c>
      <c r="O9" s="463">
        <v>78.08</v>
      </c>
    </row>
    <row r="10" spans="1:15" ht="11.25" customHeight="1">
      <c r="A10" s="175"/>
      <c r="C10" s="628" t="s">
        <v>163</v>
      </c>
      <c r="D10" s="629">
        <v>33.330033302333341</v>
      </c>
      <c r="E10" s="629">
        <v>26.69199944</v>
      </c>
      <c r="F10" s="630">
        <f t="shared" si="0"/>
        <v>0.24869001954142633</v>
      </c>
      <c r="G10" s="138"/>
      <c r="H10" s="25"/>
      <c r="I10" s="3"/>
      <c r="L10" s="462">
        <v>7</v>
      </c>
      <c r="M10" s="463">
        <v>52.31</v>
      </c>
      <c r="N10" s="463">
        <v>117.32</v>
      </c>
      <c r="O10" s="463">
        <v>41.34</v>
      </c>
    </row>
    <row r="11" spans="1:15" ht="11.25" customHeight="1">
      <c r="A11" s="175"/>
      <c r="C11" s="631" t="s">
        <v>164</v>
      </c>
      <c r="D11" s="632">
        <v>17.418466648166667</v>
      </c>
      <c r="E11" s="632">
        <v>12.99400043</v>
      </c>
      <c r="F11" s="633">
        <f t="shared" si="0"/>
        <v>0.34050069814925099</v>
      </c>
      <c r="G11" s="138"/>
      <c r="H11" s="25"/>
      <c r="I11" s="3"/>
      <c r="K11" s="461">
        <v>8</v>
      </c>
      <c r="L11" s="462">
        <v>8</v>
      </c>
      <c r="M11" s="463">
        <v>57.96</v>
      </c>
      <c r="N11" s="463">
        <v>140.31</v>
      </c>
      <c r="O11" s="463">
        <v>96.52</v>
      </c>
    </row>
    <row r="12" spans="1:15" ht="11.25" customHeight="1">
      <c r="A12" s="175"/>
      <c r="C12" s="628" t="s">
        <v>166</v>
      </c>
      <c r="D12" s="629">
        <v>9.0357332548333353</v>
      </c>
      <c r="E12" s="629">
        <v>6.6170001029999996</v>
      </c>
      <c r="F12" s="630">
        <f t="shared" si="0"/>
        <v>0.36553318938845658</v>
      </c>
      <c r="G12" s="138"/>
      <c r="H12" s="25"/>
      <c r="I12" s="3"/>
      <c r="L12" s="462">
        <v>9</v>
      </c>
      <c r="M12" s="463">
        <v>100.51885660000001</v>
      </c>
      <c r="N12" s="463">
        <v>268.94750210000001</v>
      </c>
      <c r="O12" s="463">
        <v>150.104332</v>
      </c>
    </row>
    <row r="13" spans="1:15" ht="11.25" customHeight="1">
      <c r="A13" s="175"/>
      <c r="C13" s="631" t="s">
        <v>154</v>
      </c>
      <c r="D13" s="632">
        <v>20.173999999999999</v>
      </c>
      <c r="E13" s="632">
        <v>19.671527777777779</v>
      </c>
      <c r="F13" s="633">
        <f t="shared" si="0"/>
        <v>2.554312140360776E-2</v>
      </c>
      <c r="G13" s="138"/>
      <c r="H13" s="23"/>
      <c r="I13" s="3"/>
      <c r="L13" s="462">
        <v>10</v>
      </c>
      <c r="M13" s="463">
        <v>75.15657152448378</v>
      </c>
      <c r="N13" s="463">
        <v>243.71150207519463</v>
      </c>
      <c r="O13" s="463">
        <v>181.79733530680286</v>
      </c>
    </row>
    <row r="14" spans="1:15" ht="11.25" customHeight="1">
      <c r="A14" s="175"/>
      <c r="C14" s="628" t="s">
        <v>267</v>
      </c>
      <c r="D14" s="629">
        <v>22.018939972333335</v>
      </c>
      <c r="E14" s="629">
        <v>24.248050689999999</v>
      </c>
      <c r="F14" s="630">
        <f t="shared" si="0"/>
        <v>-9.192948110199882E-2</v>
      </c>
      <c r="G14" s="138"/>
      <c r="H14" s="25"/>
      <c r="I14" s="3"/>
      <c r="L14" s="462">
        <v>11</v>
      </c>
      <c r="M14" s="463">
        <v>52.24</v>
      </c>
      <c r="N14" s="463">
        <v>154.21</v>
      </c>
      <c r="O14" s="463">
        <v>79.12</v>
      </c>
    </row>
    <row r="15" spans="1:15" ht="11.25" customHeight="1">
      <c r="A15" s="175"/>
      <c r="C15" s="631" t="s">
        <v>268</v>
      </c>
      <c r="D15" s="632">
        <v>44.327166747999996</v>
      </c>
      <c r="E15" s="632">
        <v>41.674999239999998</v>
      </c>
      <c r="F15" s="633">
        <f t="shared" si="0"/>
        <v>6.3639293494081858E-2</v>
      </c>
      <c r="G15" s="138"/>
      <c r="H15" s="25"/>
      <c r="I15" s="3"/>
      <c r="K15" s="461">
        <v>12</v>
      </c>
      <c r="L15" s="462">
        <v>12</v>
      </c>
      <c r="M15" s="463">
        <v>44.628571101597331</v>
      </c>
      <c r="N15" s="463">
        <v>116.62271445138057</v>
      </c>
      <c r="O15" s="463">
        <v>41.373285293579045</v>
      </c>
    </row>
    <row r="16" spans="1:15" ht="11.25" customHeight="1">
      <c r="A16" s="175"/>
      <c r="C16" s="628" t="s">
        <v>161</v>
      </c>
      <c r="D16" s="629">
        <v>15.560366630999999</v>
      </c>
      <c r="E16" s="629">
        <v>13.56700039</v>
      </c>
      <c r="F16" s="630">
        <f t="shared" si="0"/>
        <v>0.14692755831784851</v>
      </c>
      <c r="G16" s="138"/>
      <c r="H16" s="25"/>
      <c r="I16" s="3"/>
      <c r="L16" s="462">
        <v>13</v>
      </c>
      <c r="M16" s="463">
        <v>42.599998474121001</v>
      </c>
      <c r="N16" s="463">
        <v>120.78800201416</v>
      </c>
      <c r="O16" s="463">
        <v>93.665000915527301</v>
      </c>
    </row>
    <row r="17" spans="1:17" ht="11.25" customHeight="1">
      <c r="A17" s="175"/>
      <c r="C17" s="631" t="s">
        <v>165</v>
      </c>
      <c r="D17" s="632">
        <v>10.320900090666667</v>
      </c>
      <c r="E17" s="632">
        <v>9.1999998089999995</v>
      </c>
      <c r="F17" s="633">
        <f t="shared" si="0"/>
        <v>0.12183698966712311</v>
      </c>
      <c r="G17" s="138"/>
      <c r="H17" s="25"/>
      <c r="I17" s="3"/>
      <c r="L17" s="462">
        <v>14</v>
      </c>
      <c r="M17" s="463">
        <v>49.743000030517535</v>
      </c>
      <c r="N17" s="463">
        <v>125.66285814557708</v>
      </c>
      <c r="O17" s="463">
        <v>131.74585723876913</v>
      </c>
    </row>
    <row r="18" spans="1:17" ht="11.25" customHeight="1">
      <c r="A18" s="175"/>
      <c r="C18" s="628" t="s">
        <v>269</v>
      </c>
      <c r="D18" s="629">
        <v>10.956972376505487</v>
      </c>
      <c r="E18" s="629">
        <v>12.58312988</v>
      </c>
      <c r="F18" s="630">
        <f t="shared" si="0"/>
        <v>-0.12923314938353897</v>
      </c>
      <c r="G18" s="138"/>
      <c r="H18" s="25"/>
      <c r="I18" s="3"/>
      <c r="L18" s="462">
        <v>15</v>
      </c>
      <c r="M18" s="463">
        <v>54.414285387311615</v>
      </c>
      <c r="N18" s="463">
        <v>127.68985639299636</v>
      </c>
      <c r="O18" s="463">
        <v>71.706143515450577</v>
      </c>
    </row>
    <row r="19" spans="1:17" ht="11.25" customHeight="1">
      <c r="A19" s="175"/>
      <c r="C19" s="631" t="s">
        <v>270</v>
      </c>
      <c r="D19" s="632">
        <v>17.876999999999999</v>
      </c>
      <c r="E19" s="632">
        <v>17.516774611111117</v>
      </c>
      <c r="F19" s="633">
        <f t="shared" si="0"/>
        <v>2.0564595759563303E-2</v>
      </c>
      <c r="G19" s="138"/>
      <c r="H19" s="25"/>
      <c r="I19" s="3"/>
      <c r="K19" s="461">
        <v>16</v>
      </c>
      <c r="L19" s="462">
        <v>16</v>
      </c>
      <c r="M19" s="463">
        <v>47.73</v>
      </c>
      <c r="N19" s="463">
        <v>97.4</v>
      </c>
      <c r="O19" s="463">
        <v>53.49</v>
      </c>
      <c r="Q19" s="872"/>
    </row>
    <row r="20" spans="1:17" ht="11.25" customHeight="1">
      <c r="A20" s="175"/>
      <c r="C20" s="628" t="s">
        <v>271</v>
      </c>
      <c r="D20" s="629">
        <v>1.4471666733333337</v>
      </c>
      <c r="E20" s="629">
        <v>1.442999959</v>
      </c>
      <c r="F20" s="630">
        <f t="shared" si="0"/>
        <v>2.887536002579824E-3</v>
      </c>
      <c r="G20" s="138"/>
      <c r="H20" s="25"/>
      <c r="I20" s="3"/>
      <c r="L20" s="462">
        <v>17</v>
      </c>
      <c r="M20" s="463">
        <v>42.142857687813873</v>
      </c>
      <c r="N20" s="463">
        <v>85.487143380301248</v>
      </c>
      <c r="O20" s="463">
        <v>51.424428122384178</v>
      </c>
    </row>
    <row r="21" spans="1:17" ht="11.25" customHeight="1">
      <c r="A21" s="175"/>
      <c r="C21" s="631" t="s">
        <v>152</v>
      </c>
      <c r="D21" s="632">
        <v>95.857100425666644</v>
      </c>
      <c r="E21" s="632">
        <v>90.853996280000004</v>
      </c>
      <c r="F21" s="633">
        <f t="shared" si="0"/>
        <v>5.5067518772071784E-2</v>
      </c>
      <c r="G21" s="138"/>
      <c r="H21" s="25"/>
      <c r="I21" s="3"/>
      <c r="L21" s="462">
        <v>18</v>
      </c>
      <c r="M21" s="463">
        <v>27.452428545270582</v>
      </c>
      <c r="N21" s="463">
        <v>62.369998931884716</v>
      </c>
      <c r="O21" s="463">
        <v>34.353571755545424</v>
      </c>
    </row>
    <row r="22" spans="1:17" ht="11.25" customHeight="1">
      <c r="A22" s="175"/>
      <c r="C22" s="628" t="s">
        <v>150</v>
      </c>
      <c r="D22" s="629">
        <v>0.6</v>
      </c>
      <c r="E22" s="629">
        <v>0.93000000699999996</v>
      </c>
      <c r="F22" s="630">
        <f t="shared" si="0"/>
        <v>-0.35483871453347204</v>
      </c>
      <c r="G22" s="138"/>
      <c r="H22" s="25"/>
      <c r="I22" s="3"/>
      <c r="L22" s="462">
        <v>19</v>
      </c>
      <c r="M22" s="463">
        <v>21.857142584664455</v>
      </c>
      <c r="N22" s="463">
        <v>58.684285300118525</v>
      </c>
      <c r="O22" s="463">
        <v>29.207143238612552</v>
      </c>
    </row>
    <row r="23" spans="1:17" ht="11.25" customHeight="1">
      <c r="A23" s="175"/>
      <c r="C23" s="631" t="s">
        <v>151</v>
      </c>
      <c r="D23" s="632">
        <v>28.907699339633311</v>
      </c>
      <c r="E23" s="632">
        <v>26.368999479999999</v>
      </c>
      <c r="F23" s="633">
        <f t="shared" si="0"/>
        <v>9.6275926644802362E-2</v>
      </c>
      <c r="G23" s="138"/>
      <c r="H23" s="25"/>
      <c r="I23" s="3"/>
      <c r="K23" s="461">
        <v>20</v>
      </c>
      <c r="L23" s="462">
        <v>20</v>
      </c>
      <c r="M23" s="463">
        <v>19.5</v>
      </c>
      <c r="N23" s="463">
        <v>54</v>
      </c>
      <c r="O23" s="463">
        <v>22.1</v>
      </c>
    </row>
    <row r="24" spans="1:17" ht="11.25" customHeight="1">
      <c r="A24" s="175"/>
      <c r="C24" s="628" t="s">
        <v>167</v>
      </c>
      <c r="D24" s="629">
        <v>12.581933435066667</v>
      </c>
      <c r="E24" s="629">
        <v>0</v>
      </c>
      <c r="F24" s="630" t="str">
        <f t="shared" si="0"/>
        <v/>
      </c>
      <c r="G24" s="138"/>
      <c r="H24" s="26"/>
      <c r="I24" s="3"/>
      <c r="L24" s="462">
        <v>21</v>
      </c>
      <c r="M24" s="463">
        <v>19.485713958740185</v>
      </c>
      <c r="N24" s="463">
        <v>50.756999969482365</v>
      </c>
      <c r="O24" s="463">
        <v>17.473428726196214</v>
      </c>
    </row>
    <row r="25" spans="1:17" ht="11.25" customHeight="1">
      <c r="A25" s="138"/>
      <c r="C25" s="631" t="s">
        <v>157</v>
      </c>
      <c r="D25" s="632">
        <v>7.370072372500001</v>
      </c>
      <c r="E25" s="632">
        <v>5.0809998509999996</v>
      </c>
      <c r="F25" s="633">
        <f t="shared" si="0"/>
        <v>0.45051615599821077</v>
      </c>
      <c r="G25" s="159"/>
      <c r="H25" s="25"/>
      <c r="I25" s="3"/>
      <c r="L25" s="462">
        <v>22</v>
      </c>
      <c r="M25" s="463">
        <v>16.329999999999998</v>
      </c>
      <c r="N25" s="463">
        <v>46.59</v>
      </c>
      <c r="O25" s="463">
        <v>17.04</v>
      </c>
    </row>
    <row r="26" spans="1:17" ht="11.25" customHeight="1">
      <c r="A26" s="176"/>
      <c r="C26" s="628" t="s">
        <v>158</v>
      </c>
      <c r="D26" s="629">
        <v>0.85476667520000005</v>
      </c>
      <c r="E26" s="629">
        <v>5.8839998250000001</v>
      </c>
      <c r="F26" s="630">
        <f t="shared" si="0"/>
        <v>-0.85473033640003537</v>
      </c>
      <c r="G26" s="138"/>
      <c r="H26" s="23"/>
      <c r="I26" s="3"/>
      <c r="L26" s="462">
        <v>23</v>
      </c>
      <c r="M26" s="463">
        <v>15.18</v>
      </c>
      <c r="N26" s="463">
        <v>40.29</v>
      </c>
      <c r="O26" s="463">
        <v>22.12</v>
      </c>
    </row>
    <row r="27" spans="1:17" ht="11.25" customHeight="1">
      <c r="A27" s="138"/>
      <c r="C27" s="631" t="s">
        <v>159</v>
      </c>
      <c r="D27" s="632">
        <v>8.2999999000000022E-3</v>
      </c>
      <c r="E27" s="632">
        <v>1</v>
      </c>
      <c r="F27" s="633">
        <f t="shared" si="0"/>
        <v>-0.99170000010000003</v>
      </c>
      <c r="G27" s="138"/>
      <c r="H27" s="23"/>
      <c r="I27" s="3"/>
      <c r="K27" s="461">
        <v>24</v>
      </c>
      <c r="L27" s="462">
        <v>24</v>
      </c>
      <c r="M27" s="463">
        <v>15.1</v>
      </c>
      <c r="N27" s="463">
        <v>35.630000000000003</v>
      </c>
      <c r="O27" s="463">
        <v>13.87</v>
      </c>
    </row>
    <row r="28" spans="1:17" ht="11.25" customHeight="1">
      <c r="A28" s="138"/>
      <c r="C28" s="628" t="s">
        <v>160</v>
      </c>
      <c r="D28" s="629">
        <v>0</v>
      </c>
      <c r="E28" s="629">
        <v>0</v>
      </c>
      <c r="F28" s="630" t="str">
        <f t="shared" si="0"/>
        <v/>
      </c>
      <c r="G28" s="138"/>
      <c r="H28" s="23"/>
      <c r="I28" s="3"/>
      <c r="L28" s="462">
        <v>25</v>
      </c>
      <c r="M28" s="463">
        <v>18.016999930000001</v>
      </c>
      <c r="N28" s="463">
        <v>34.608428410000002</v>
      </c>
      <c r="O28" s="463">
        <v>10.78285721</v>
      </c>
    </row>
    <row r="29" spans="1:17" ht="11.25" customHeight="1">
      <c r="A29" s="159"/>
      <c r="C29" s="631" t="s">
        <v>162</v>
      </c>
      <c r="D29" s="632">
        <v>3.0285910435000005</v>
      </c>
      <c r="E29" s="632">
        <v>1.2999999520000001</v>
      </c>
      <c r="F29" s="633">
        <f t="shared" si="0"/>
        <v>1.3296855040960804</v>
      </c>
      <c r="G29" s="177"/>
      <c r="H29" s="23"/>
      <c r="I29" s="3"/>
      <c r="L29" s="462">
        <v>26</v>
      </c>
      <c r="M29" s="463">
        <v>16.489714209999999</v>
      </c>
      <c r="N29" s="463">
        <v>34.074285510000003</v>
      </c>
      <c r="O29" s="463">
        <v>9.5958572120000003</v>
      </c>
    </row>
    <row r="30" spans="1:17" ht="11.25" customHeight="1">
      <c r="A30" s="176"/>
      <c r="C30" s="634" t="s">
        <v>153</v>
      </c>
      <c r="D30" s="635">
        <v>1</v>
      </c>
      <c r="E30" s="635">
        <v>1</v>
      </c>
      <c r="F30" s="636">
        <f t="shared" si="0"/>
        <v>0</v>
      </c>
      <c r="G30" s="138"/>
      <c r="H30" s="25"/>
      <c r="I30" s="3"/>
      <c r="L30" s="462">
        <v>27</v>
      </c>
      <c r="M30" s="463">
        <v>16.199999810000001</v>
      </c>
      <c r="N30" s="463">
        <v>29.599571770000001</v>
      </c>
      <c r="O30" s="463">
        <v>7.8892858370000001</v>
      </c>
    </row>
    <row r="31" spans="1:17" ht="11.25" customHeight="1">
      <c r="A31" s="137"/>
      <c r="C31" s="275" t="str">
        <f>"Cuadro N°10: Promedio de caudales en "&amp;'1. Resumen'!Q4</f>
        <v>Cuadro N°10: Promedio de caudales en junio</v>
      </c>
      <c r="D31" s="137"/>
      <c r="E31" s="137"/>
      <c r="F31" s="137"/>
      <c r="G31" s="137"/>
      <c r="H31" s="25"/>
      <c r="I31" s="6"/>
      <c r="K31" s="461">
        <v>28</v>
      </c>
      <c r="L31" s="462">
        <v>28</v>
      </c>
      <c r="M31" s="463">
        <v>12.016285760000001</v>
      </c>
      <c r="N31" s="463">
        <v>29.3955713</v>
      </c>
      <c r="O31" s="463">
        <v>7.2334286140000001</v>
      </c>
    </row>
    <row r="32" spans="1:17" ht="11.25" customHeight="1">
      <c r="A32" s="137"/>
      <c r="B32" s="137"/>
      <c r="C32" s="137"/>
      <c r="D32" s="137"/>
      <c r="E32" s="137"/>
      <c r="F32" s="137"/>
      <c r="G32" s="137"/>
      <c r="H32" s="25"/>
      <c r="I32" s="6"/>
      <c r="L32" s="462">
        <v>29</v>
      </c>
      <c r="M32" s="463">
        <v>10.423571450000001</v>
      </c>
      <c r="N32" s="463">
        <v>32.468857079999999</v>
      </c>
      <c r="O32" s="463">
        <v>6.729428564</v>
      </c>
    </row>
    <row r="33" spans="1:15" ht="11.25" customHeight="1">
      <c r="A33" s="137"/>
      <c r="B33" s="137"/>
      <c r="C33" s="137"/>
      <c r="D33" s="137"/>
      <c r="E33" s="137"/>
      <c r="F33" s="137"/>
      <c r="G33" s="137"/>
      <c r="H33" s="25"/>
      <c r="I33" s="6"/>
      <c r="L33" s="462">
        <v>30</v>
      </c>
      <c r="M33" s="463">
        <v>10.043285640000001</v>
      </c>
      <c r="N33" s="463">
        <v>32.112285890000003</v>
      </c>
      <c r="O33" s="463">
        <v>5.6338571819999999</v>
      </c>
    </row>
    <row r="34" spans="1:15" ht="11.25" customHeight="1">
      <c r="A34" s="137"/>
      <c r="B34" s="137"/>
      <c r="C34" s="137"/>
      <c r="D34" s="137"/>
      <c r="E34" s="137"/>
      <c r="F34" s="137"/>
      <c r="G34" s="137"/>
      <c r="H34" s="25"/>
      <c r="I34" s="6"/>
      <c r="L34" s="462">
        <v>31</v>
      </c>
      <c r="M34" s="463">
        <v>10.086428642272944</v>
      </c>
      <c r="N34" s="463">
        <v>29.132714407784558</v>
      </c>
      <c r="O34" s="463">
        <v>5.181999887738904</v>
      </c>
    </row>
    <row r="35" spans="1:15" ht="17.25" customHeight="1">
      <c r="A35" s="954" t="s">
        <v>451</v>
      </c>
      <c r="B35" s="954"/>
      <c r="C35" s="954"/>
      <c r="D35" s="954"/>
      <c r="E35" s="954"/>
      <c r="F35" s="954"/>
      <c r="G35" s="954"/>
      <c r="H35" s="25"/>
      <c r="I35" s="6"/>
      <c r="K35" s="461">
        <v>32</v>
      </c>
      <c r="L35" s="462">
        <v>32</v>
      </c>
      <c r="M35" s="463">
        <v>12.08228561</v>
      </c>
      <c r="N35" s="463">
        <v>34.150143489999998</v>
      </c>
      <c r="O35" s="463">
        <v>4.8032856669999999</v>
      </c>
    </row>
    <row r="36" spans="1:15" ht="11.25" customHeight="1">
      <c r="A36" s="137"/>
      <c r="B36" s="137"/>
      <c r="C36" s="137"/>
      <c r="D36" s="137"/>
      <c r="E36" s="137"/>
      <c r="F36" s="137"/>
      <c r="G36" s="137"/>
      <c r="H36" s="25"/>
      <c r="I36" s="6"/>
      <c r="L36" s="462">
        <v>33</v>
      </c>
      <c r="M36" s="463">
        <v>11.874000004359614</v>
      </c>
      <c r="N36" s="463">
        <v>35.225571223667643</v>
      </c>
      <c r="O36" s="463">
        <v>4.3821428843906904</v>
      </c>
    </row>
    <row r="37" spans="1:15" ht="11.25" customHeight="1">
      <c r="A37" s="136"/>
      <c r="B37" s="138"/>
      <c r="C37" s="138"/>
      <c r="D37" s="138"/>
      <c r="E37" s="138"/>
      <c r="F37" s="138"/>
      <c r="G37" s="138"/>
      <c r="H37" s="26"/>
      <c r="I37" s="6"/>
      <c r="L37" s="462">
        <v>34</v>
      </c>
      <c r="M37" s="463">
        <v>10.842857090000001</v>
      </c>
      <c r="N37" s="463">
        <v>35.168570930000001</v>
      </c>
      <c r="O37" s="463">
        <v>13.837000059999999</v>
      </c>
    </row>
    <row r="38" spans="1:15" ht="11.25" customHeight="1">
      <c r="A38" s="74"/>
      <c r="B38" s="73"/>
      <c r="C38" s="73"/>
      <c r="D38" s="73"/>
      <c r="E38" s="73"/>
      <c r="F38" s="73"/>
      <c r="G38" s="73"/>
      <c r="H38" s="3"/>
      <c r="I38" s="6"/>
      <c r="L38" s="462">
        <v>35</v>
      </c>
      <c r="M38" s="463">
        <v>10.48142842</v>
      </c>
      <c r="N38" s="463">
        <v>37.824428560000001</v>
      </c>
      <c r="O38" s="463">
        <v>3.922857182</v>
      </c>
    </row>
    <row r="39" spans="1:15" ht="11.25" customHeight="1">
      <c r="A39" s="74"/>
      <c r="B39" s="73"/>
      <c r="C39" s="73"/>
      <c r="D39" s="73"/>
      <c r="E39" s="73"/>
      <c r="F39" s="73"/>
      <c r="G39" s="73"/>
      <c r="H39" s="3"/>
      <c r="I39" s="10"/>
      <c r="K39" s="461">
        <v>36</v>
      </c>
      <c r="L39" s="462">
        <v>36</v>
      </c>
      <c r="M39" s="463">
        <v>11.85</v>
      </c>
      <c r="N39" s="463">
        <v>39.78</v>
      </c>
      <c r="O39" s="463">
        <v>4.9800000000000004</v>
      </c>
    </row>
    <row r="40" spans="1:15" ht="11.25" customHeight="1">
      <c r="A40" s="74"/>
      <c r="B40" s="73"/>
      <c r="C40" s="73"/>
      <c r="D40" s="73"/>
      <c r="E40" s="73"/>
      <c r="F40" s="73"/>
      <c r="G40" s="73"/>
      <c r="H40" s="3"/>
      <c r="I40" s="10"/>
      <c r="L40" s="462">
        <v>37</v>
      </c>
      <c r="M40" s="463">
        <v>12.08</v>
      </c>
      <c r="N40" s="463">
        <v>44.25</v>
      </c>
      <c r="O40" s="463">
        <v>4.92</v>
      </c>
    </row>
    <row r="41" spans="1:15" ht="11.25" customHeight="1">
      <c r="A41" s="74"/>
      <c r="B41" s="73"/>
      <c r="C41" s="73"/>
      <c r="D41" s="73"/>
      <c r="E41" s="73"/>
      <c r="F41" s="73"/>
      <c r="G41" s="73"/>
      <c r="H41" s="3"/>
      <c r="I41" s="7"/>
      <c r="L41" s="462">
        <v>38</v>
      </c>
      <c r="M41" s="463">
        <v>11.88371427</v>
      </c>
      <c r="N41" s="463">
        <v>41.311858039999997</v>
      </c>
      <c r="O41" s="463">
        <v>4.6447142870000002</v>
      </c>
    </row>
    <row r="42" spans="1:15" ht="11.25" customHeight="1">
      <c r="A42" s="74"/>
      <c r="B42" s="73"/>
      <c r="C42" s="73"/>
      <c r="D42" s="73"/>
      <c r="E42" s="73"/>
      <c r="F42" s="73"/>
      <c r="G42" s="73"/>
      <c r="H42" s="3"/>
      <c r="I42" s="7"/>
      <c r="K42" s="461">
        <v>39</v>
      </c>
      <c r="L42" s="462">
        <v>39</v>
      </c>
      <c r="M42" s="463">
        <v>13.06</v>
      </c>
      <c r="N42" s="463">
        <v>41.13</v>
      </c>
      <c r="O42" s="463">
        <v>4.2699999999999996</v>
      </c>
    </row>
    <row r="43" spans="1:15" ht="11.25" customHeight="1">
      <c r="A43" s="74"/>
      <c r="B43" s="73"/>
      <c r="C43" s="73"/>
      <c r="D43" s="73"/>
      <c r="E43" s="73"/>
      <c r="F43" s="73"/>
      <c r="G43" s="73"/>
      <c r="H43" s="3"/>
      <c r="I43" s="7"/>
      <c r="L43" s="462">
        <v>40</v>
      </c>
      <c r="M43" s="463">
        <v>15.945571764285715</v>
      </c>
      <c r="N43" s="463">
        <v>46.466000694285704</v>
      </c>
      <c r="O43" s="463">
        <v>5.3634285927142864</v>
      </c>
    </row>
    <row r="44" spans="1:15" ht="11.25" customHeight="1">
      <c r="A44" s="74"/>
      <c r="B44" s="73"/>
      <c r="C44" s="73"/>
      <c r="D44" s="73"/>
      <c r="E44" s="73"/>
      <c r="F44" s="73"/>
      <c r="G44" s="73"/>
      <c r="H44" s="6"/>
      <c r="I44" s="10"/>
      <c r="L44" s="462">
        <v>41</v>
      </c>
      <c r="M44" s="463">
        <v>15.848856789725129</v>
      </c>
      <c r="N44" s="463">
        <v>37.273714882986837</v>
      </c>
      <c r="O44" s="463">
        <v>6.9682856968470812</v>
      </c>
    </row>
    <row r="45" spans="1:15" ht="11.25" customHeight="1">
      <c r="A45" s="74"/>
      <c r="B45" s="73"/>
      <c r="C45" s="73"/>
      <c r="D45" s="73"/>
      <c r="E45" s="73"/>
      <c r="F45" s="73"/>
      <c r="G45" s="73"/>
      <c r="H45" s="3"/>
      <c r="I45" s="10"/>
      <c r="L45" s="462">
        <v>42</v>
      </c>
      <c r="M45" s="463">
        <v>15.549142972857144</v>
      </c>
      <c r="N45" s="463">
        <v>48.572000228571433</v>
      </c>
      <c r="O45" s="463">
        <v>11.100428648285714</v>
      </c>
    </row>
    <row r="46" spans="1:15" ht="11.25" customHeight="1">
      <c r="A46" s="74"/>
      <c r="B46" s="73"/>
      <c r="C46" s="73"/>
      <c r="D46" s="73"/>
      <c r="E46" s="73"/>
      <c r="F46" s="73"/>
      <c r="G46" s="73"/>
      <c r="H46" s="3"/>
      <c r="I46" s="10"/>
      <c r="K46" s="461">
        <v>43</v>
      </c>
      <c r="L46" s="462">
        <v>43</v>
      </c>
      <c r="M46" s="463">
        <v>13.17</v>
      </c>
      <c r="N46" s="463">
        <v>35.32</v>
      </c>
      <c r="O46" s="463">
        <v>6.01</v>
      </c>
    </row>
    <row r="47" spans="1:15" ht="11.25" customHeight="1">
      <c r="A47" s="74"/>
      <c r="B47" s="73"/>
      <c r="C47" s="73"/>
      <c r="D47" s="73"/>
      <c r="E47" s="73"/>
      <c r="F47" s="73"/>
      <c r="G47" s="73"/>
      <c r="H47" s="11"/>
      <c r="I47" s="11"/>
      <c r="L47" s="462">
        <v>44</v>
      </c>
      <c r="M47" s="463">
        <v>13.18</v>
      </c>
      <c r="N47" s="463">
        <v>36.83</v>
      </c>
      <c r="O47" s="463">
        <v>4.57</v>
      </c>
    </row>
    <row r="48" spans="1:15" ht="11.25" customHeight="1">
      <c r="A48" s="74"/>
      <c r="B48" s="73"/>
      <c r="C48" s="73"/>
      <c r="D48" s="73"/>
      <c r="E48" s="73"/>
      <c r="F48" s="73"/>
      <c r="G48" s="73"/>
      <c r="H48" s="11"/>
      <c r="I48" s="11"/>
      <c r="L48" s="462">
        <v>45</v>
      </c>
      <c r="M48" s="463">
        <v>13.49</v>
      </c>
      <c r="N48" s="463">
        <v>39.520000000000003</v>
      </c>
      <c r="O48" s="463">
        <v>4.83</v>
      </c>
    </row>
    <row r="49" spans="1:15" ht="11.25" customHeight="1">
      <c r="A49" s="74"/>
      <c r="B49" s="73"/>
      <c r="C49" s="73"/>
      <c r="D49" s="73"/>
      <c r="E49" s="73"/>
      <c r="F49" s="73"/>
      <c r="G49" s="73"/>
      <c r="H49" s="11"/>
      <c r="I49" s="11"/>
      <c r="L49" s="462">
        <v>46</v>
      </c>
      <c r="M49" s="463">
        <v>15.4</v>
      </c>
      <c r="N49" s="463">
        <v>53.38</v>
      </c>
      <c r="O49" s="463">
        <v>3.73</v>
      </c>
    </row>
    <row r="50" spans="1:15" ht="11.25" customHeight="1">
      <c r="A50" s="74"/>
      <c r="B50" s="73"/>
      <c r="C50" s="73"/>
      <c r="D50" s="73"/>
      <c r="E50" s="73"/>
      <c r="F50" s="73"/>
      <c r="G50" s="73"/>
      <c r="H50" s="11"/>
      <c r="I50" s="11"/>
      <c r="L50" s="462">
        <v>47</v>
      </c>
      <c r="M50" s="463">
        <v>16.408999999999999</v>
      </c>
      <c r="N50" s="463">
        <v>61.853000000000002</v>
      </c>
      <c r="O50" s="463">
        <v>2.5211429999999999</v>
      </c>
    </row>
    <row r="51" spans="1:15" ht="11.25" customHeight="1">
      <c r="A51" s="74"/>
      <c r="B51" s="73"/>
      <c r="C51" s="73"/>
      <c r="D51" s="73"/>
      <c r="E51" s="73"/>
      <c r="F51" s="73"/>
      <c r="G51" s="73"/>
      <c r="H51" s="11"/>
      <c r="I51" s="11"/>
      <c r="K51" s="461">
        <v>48</v>
      </c>
      <c r="L51" s="462">
        <v>48</v>
      </c>
      <c r="M51" s="463">
        <v>16.328857422857144</v>
      </c>
      <c r="N51" s="463">
        <v>65.330427987142869</v>
      </c>
      <c r="O51" s="463">
        <v>3.571428503285714</v>
      </c>
    </row>
    <row r="52" spans="1:15" ht="11.25" customHeight="1">
      <c r="A52" s="74"/>
      <c r="B52" s="73"/>
      <c r="C52" s="73"/>
      <c r="D52" s="73"/>
      <c r="E52" s="73"/>
      <c r="F52" s="73"/>
      <c r="G52" s="73"/>
      <c r="H52" s="11"/>
      <c r="I52" s="11"/>
      <c r="L52" s="462">
        <v>49</v>
      </c>
      <c r="M52" s="463">
        <v>20.236285890000001</v>
      </c>
      <c r="N52" s="463">
        <v>66.680000000000007</v>
      </c>
      <c r="O52" s="463">
        <v>6.1</v>
      </c>
    </row>
    <row r="53" spans="1:15" ht="11.25" customHeight="1">
      <c r="A53" s="74"/>
      <c r="B53" s="73"/>
      <c r="C53" s="73"/>
      <c r="D53" s="73"/>
      <c r="E53" s="73"/>
      <c r="F53" s="73"/>
      <c r="G53" s="73"/>
      <c r="H53" s="11"/>
      <c r="I53" s="11"/>
      <c r="L53" s="462">
        <v>50</v>
      </c>
      <c r="M53" s="463">
        <v>19.809999999999999</v>
      </c>
      <c r="N53" s="463">
        <v>61.31</v>
      </c>
      <c r="O53" s="463">
        <v>6.69</v>
      </c>
    </row>
    <row r="54" spans="1:15" ht="11.25" customHeight="1">
      <c r="A54" s="74"/>
      <c r="B54" s="73"/>
      <c r="C54" s="73"/>
      <c r="D54" s="73"/>
      <c r="E54" s="73"/>
      <c r="F54" s="73"/>
      <c r="G54" s="73"/>
      <c r="H54" s="11"/>
      <c r="I54" s="11"/>
      <c r="L54" s="462">
        <v>51</v>
      </c>
      <c r="M54" s="463">
        <v>21.91</v>
      </c>
      <c r="N54" s="463">
        <v>70.790000000000006</v>
      </c>
      <c r="O54" s="463">
        <v>13.15</v>
      </c>
    </row>
    <row r="55" spans="1:15" ht="12.75">
      <c r="A55" s="74"/>
      <c r="B55" s="73"/>
      <c r="C55" s="73"/>
      <c r="D55" s="73"/>
      <c r="E55" s="73"/>
      <c r="F55" s="73"/>
      <c r="G55" s="73"/>
      <c r="H55" s="11"/>
      <c r="I55" s="11"/>
      <c r="L55" s="462">
        <v>52</v>
      </c>
      <c r="M55" s="463">
        <v>22</v>
      </c>
      <c r="N55" s="463">
        <v>77.434859137142865</v>
      </c>
      <c r="O55" s="463">
        <v>17.75700037857143</v>
      </c>
    </row>
    <row r="56" spans="1:15" ht="12.75">
      <c r="A56" s="74"/>
      <c r="B56" s="73"/>
      <c r="C56" s="73"/>
      <c r="D56" s="73"/>
      <c r="E56" s="73"/>
      <c r="F56" s="73"/>
      <c r="G56" s="73"/>
      <c r="H56" s="11"/>
      <c r="I56" s="11"/>
      <c r="J56" s="25">
        <v>2017</v>
      </c>
      <c r="K56" s="461">
        <v>1</v>
      </c>
      <c r="L56" s="462">
        <v>1</v>
      </c>
      <c r="M56" s="463">
        <v>41.55</v>
      </c>
      <c r="N56" s="463">
        <v>103.58</v>
      </c>
      <c r="O56" s="463">
        <v>29.67</v>
      </c>
    </row>
    <row r="57" spans="1:15" ht="12.75">
      <c r="A57" s="74"/>
      <c r="B57" s="73"/>
      <c r="C57" s="73"/>
      <c r="D57" s="73"/>
      <c r="E57" s="73"/>
      <c r="F57" s="73"/>
      <c r="G57" s="73"/>
      <c r="H57" s="11"/>
      <c r="I57" s="11"/>
      <c r="L57" s="462">
        <v>2</v>
      </c>
      <c r="M57" s="463">
        <v>39.6</v>
      </c>
      <c r="N57" s="463">
        <v>105.01</v>
      </c>
      <c r="O57" s="463">
        <v>51.2</v>
      </c>
    </row>
    <row r="58" spans="1:15" ht="12.75">
      <c r="A58" s="74"/>
      <c r="B58" s="73"/>
      <c r="C58" s="73"/>
      <c r="D58" s="73"/>
      <c r="E58" s="73"/>
      <c r="F58" s="73"/>
      <c r="G58" s="73"/>
      <c r="H58" s="11"/>
      <c r="I58" s="11"/>
      <c r="L58" s="462">
        <v>3</v>
      </c>
      <c r="M58" s="463">
        <v>73.650000000000006</v>
      </c>
      <c r="N58" s="463">
        <v>137.41</v>
      </c>
      <c r="O58" s="463">
        <v>43.26</v>
      </c>
    </row>
    <row r="59" spans="1:15" ht="12.75">
      <c r="A59" s="74"/>
      <c r="B59" s="73"/>
      <c r="C59" s="73"/>
      <c r="D59" s="73"/>
      <c r="E59" s="73"/>
      <c r="F59" s="73"/>
      <c r="G59" s="73"/>
      <c r="H59" s="11"/>
      <c r="I59" s="11"/>
      <c r="K59" s="461">
        <v>4</v>
      </c>
      <c r="L59" s="462">
        <v>4</v>
      </c>
      <c r="M59" s="463">
        <v>65.03</v>
      </c>
      <c r="N59" s="463">
        <v>127.83</v>
      </c>
      <c r="O59" s="463">
        <v>32.72</v>
      </c>
    </row>
    <row r="60" spans="1:15" ht="12.75">
      <c r="A60" s="74"/>
      <c r="B60" s="73"/>
      <c r="C60" s="73"/>
      <c r="D60" s="73"/>
      <c r="E60" s="73"/>
      <c r="F60" s="73"/>
      <c r="G60" s="73"/>
      <c r="H60" s="11"/>
      <c r="I60" s="11"/>
      <c r="L60" s="462">
        <v>5</v>
      </c>
      <c r="M60" s="463">
        <v>56.95</v>
      </c>
      <c r="N60" s="463">
        <v>97.31</v>
      </c>
      <c r="O60" s="463">
        <v>48.46</v>
      </c>
    </row>
    <row r="61" spans="1:15" ht="12.75">
      <c r="A61" s="275" t="s">
        <v>524</v>
      </c>
      <c r="B61" s="73"/>
      <c r="C61" s="73"/>
      <c r="D61" s="73"/>
      <c r="E61" s="73"/>
      <c r="F61" s="73"/>
      <c r="G61" s="73"/>
      <c r="H61" s="11"/>
      <c r="I61" s="11"/>
      <c r="L61" s="462">
        <v>6</v>
      </c>
      <c r="M61" s="463">
        <v>61.87</v>
      </c>
      <c r="N61" s="463">
        <v>123.44</v>
      </c>
      <c r="O61" s="463">
        <v>72.52</v>
      </c>
    </row>
    <row r="62" spans="1:15">
      <c r="L62" s="462">
        <v>7</v>
      </c>
      <c r="M62" s="463">
        <v>77.569999999999993</v>
      </c>
      <c r="N62" s="463">
        <v>145.02000000000001</v>
      </c>
      <c r="O62" s="463">
        <v>59.16</v>
      </c>
    </row>
    <row r="63" spans="1:15">
      <c r="K63" s="461">
        <v>8</v>
      </c>
      <c r="L63" s="462">
        <v>8</v>
      </c>
      <c r="M63" s="463">
        <v>86.94</v>
      </c>
      <c r="N63" s="463">
        <v>175.03</v>
      </c>
      <c r="O63" s="463">
        <v>24.36</v>
      </c>
    </row>
    <row r="64" spans="1:15">
      <c r="L64" s="462">
        <v>9</v>
      </c>
      <c r="M64" s="463">
        <v>85.13</v>
      </c>
      <c r="N64" s="463">
        <v>206.14</v>
      </c>
      <c r="O64" s="463">
        <v>39.07</v>
      </c>
    </row>
    <row r="65" spans="11:15">
      <c r="L65" s="462">
        <v>10</v>
      </c>
      <c r="M65" s="463">
        <v>84.78</v>
      </c>
      <c r="N65" s="463">
        <v>270.17</v>
      </c>
      <c r="O65" s="463">
        <v>109.16</v>
      </c>
    </row>
    <row r="66" spans="11:15">
      <c r="L66" s="462">
        <v>11</v>
      </c>
      <c r="M66" s="463">
        <v>84.78</v>
      </c>
      <c r="N66" s="463">
        <v>376.42</v>
      </c>
      <c r="O66" s="463">
        <v>188.18</v>
      </c>
    </row>
    <row r="67" spans="11:15">
      <c r="K67" s="461">
        <v>12</v>
      </c>
      <c r="L67" s="462">
        <v>12</v>
      </c>
      <c r="M67" s="463">
        <v>106.16</v>
      </c>
      <c r="N67" s="463">
        <v>351.57</v>
      </c>
      <c r="O67" s="463">
        <v>159.6</v>
      </c>
    </row>
    <row r="68" spans="11:15">
      <c r="L68" s="462">
        <v>13</v>
      </c>
      <c r="M68" s="463">
        <v>101.71</v>
      </c>
      <c r="N68" s="463">
        <v>384.37</v>
      </c>
      <c r="O68" s="463">
        <v>161.77000000000001</v>
      </c>
    </row>
    <row r="69" spans="11:15">
      <c r="L69" s="462">
        <v>14</v>
      </c>
      <c r="M69" s="463">
        <v>83.1</v>
      </c>
      <c r="N69" s="463">
        <v>337.84</v>
      </c>
      <c r="O69" s="463">
        <v>115.43</v>
      </c>
    </row>
    <row r="70" spans="11:15">
      <c r="L70" s="462">
        <v>15</v>
      </c>
      <c r="M70" s="463">
        <v>61.23</v>
      </c>
      <c r="N70" s="463">
        <v>282.32</v>
      </c>
      <c r="O70" s="463">
        <v>98.92</v>
      </c>
    </row>
    <row r="71" spans="11:15">
      <c r="K71" s="461">
        <v>16</v>
      </c>
      <c r="L71" s="462">
        <v>16</v>
      </c>
      <c r="M71" s="463">
        <v>49.8</v>
      </c>
      <c r="N71" s="463">
        <v>191.65</v>
      </c>
      <c r="O71" s="463">
        <v>82.48</v>
      </c>
    </row>
    <row r="72" spans="11:15">
      <c r="L72" s="462">
        <v>17</v>
      </c>
      <c r="M72" s="463">
        <v>40.21</v>
      </c>
      <c r="N72" s="463">
        <v>160.35</v>
      </c>
      <c r="O72" s="463">
        <v>77.02</v>
      </c>
    </row>
    <row r="73" spans="11:15">
      <c r="L73" s="462">
        <v>18</v>
      </c>
      <c r="M73" s="463">
        <v>43.46</v>
      </c>
      <c r="N73" s="463">
        <v>136.65</v>
      </c>
      <c r="O73" s="463">
        <v>62.63</v>
      </c>
    </row>
    <row r="74" spans="11:15">
      <c r="L74" s="462">
        <v>19</v>
      </c>
      <c r="M74" s="463">
        <v>35.65</v>
      </c>
      <c r="N74" s="463">
        <v>135.97</v>
      </c>
      <c r="O74" s="463">
        <v>93.03</v>
      </c>
    </row>
    <row r="75" spans="11:15">
      <c r="K75" s="461">
        <v>20</v>
      </c>
      <c r="L75" s="462">
        <v>20</v>
      </c>
      <c r="M75" s="463">
        <v>26.22</v>
      </c>
      <c r="N75" s="463">
        <v>135.66</v>
      </c>
      <c r="O75" s="463">
        <v>72.349999999999994</v>
      </c>
    </row>
    <row r="76" spans="11:15">
      <c r="L76" s="462">
        <v>21</v>
      </c>
      <c r="M76" s="463">
        <v>27.95</v>
      </c>
      <c r="N76" s="463">
        <v>113.82</v>
      </c>
      <c r="O76" s="463">
        <v>90.75</v>
      </c>
    </row>
    <row r="77" spans="11:15">
      <c r="L77" s="462">
        <v>22</v>
      </c>
      <c r="M77" s="463">
        <v>32.409999999999997</v>
      </c>
      <c r="N77" s="463">
        <v>64.03</v>
      </c>
      <c r="O77" s="463">
        <v>53.02</v>
      </c>
    </row>
    <row r="78" spans="11:15">
      <c r="L78" s="462">
        <v>23</v>
      </c>
      <c r="M78" s="463">
        <v>28.93</v>
      </c>
      <c r="N78" s="463">
        <v>53.15</v>
      </c>
      <c r="O78" s="463">
        <v>32.43</v>
      </c>
    </row>
    <row r="79" spans="11:15">
      <c r="K79" s="461">
        <v>24</v>
      </c>
      <c r="L79" s="462">
        <v>24</v>
      </c>
      <c r="M79" s="463">
        <v>26.59</v>
      </c>
      <c r="N79" s="463">
        <v>45.98</v>
      </c>
      <c r="O79" s="463">
        <v>27.75</v>
      </c>
    </row>
    <row r="80" spans="11:15">
      <c r="L80" s="462">
        <v>25</v>
      </c>
      <c r="M80" s="463">
        <v>23.61</v>
      </c>
      <c r="N80" s="463">
        <v>38.68</v>
      </c>
      <c r="O80" s="463">
        <v>24.81</v>
      </c>
    </row>
    <row r="81" spans="11:15">
      <c r="L81" s="462">
        <v>26</v>
      </c>
      <c r="M81" s="463">
        <v>24.94</v>
      </c>
      <c r="N81" s="463">
        <v>34.68</v>
      </c>
      <c r="O81" s="463">
        <v>21.81</v>
      </c>
    </row>
    <row r="82" spans="11:15">
      <c r="L82" s="462">
        <v>27</v>
      </c>
      <c r="M82" s="463">
        <v>25.54</v>
      </c>
      <c r="N82" s="463">
        <v>31.72</v>
      </c>
      <c r="O82" s="463">
        <v>18.649999999999999</v>
      </c>
    </row>
    <row r="83" spans="11:15">
      <c r="K83" s="461">
        <v>28</v>
      </c>
      <c r="L83" s="462">
        <v>28</v>
      </c>
      <c r="M83" s="463">
        <v>23.56</v>
      </c>
      <c r="N83" s="463">
        <v>29.25</v>
      </c>
      <c r="O83" s="463">
        <v>14.27</v>
      </c>
    </row>
    <row r="84" spans="11:15">
      <c r="L84" s="462">
        <v>29</v>
      </c>
      <c r="M84" s="463">
        <v>22.4</v>
      </c>
      <c r="N84" s="463">
        <v>29.53</v>
      </c>
      <c r="O84" s="463">
        <v>11.51</v>
      </c>
    </row>
    <row r="85" spans="11:15">
      <c r="L85" s="462">
        <v>30</v>
      </c>
      <c r="M85" s="463">
        <v>21.29</v>
      </c>
      <c r="N85" s="463">
        <v>27.62</v>
      </c>
      <c r="O85" s="463">
        <v>9.7200000000000006</v>
      </c>
    </row>
    <row r="86" spans="11:15">
      <c r="L86" s="462">
        <v>31</v>
      </c>
      <c r="M86" s="463">
        <v>19.34</v>
      </c>
      <c r="N86" s="463">
        <v>27.99</v>
      </c>
      <c r="O86" s="463">
        <v>8.09</v>
      </c>
    </row>
    <row r="87" spans="11:15">
      <c r="K87" s="461">
        <v>32</v>
      </c>
      <c r="L87" s="462">
        <v>32</v>
      </c>
      <c r="M87" s="463">
        <v>19.649999999999999</v>
      </c>
      <c r="N87" s="463">
        <v>31.42</v>
      </c>
      <c r="O87" s="463">
        <v>7.62</v>
      </c>
    </row>
    <row r="88" spans="11:15">
      <c r="L88" s="462">
        <v>33</v>
      </c>
      <c r="M88" s="463">
        <v>18.420000000000002</v>
      </c>
      <c r="N88" s="463">
        <v>29.71</v>
      </c>
      <c r="O88" s="463">
        <v>9.5500000000000007</v>
      </c>
    </row>
    <row r="89" spans="11:15">
      <c r="L89" s="462">
        <v>34</v>
      </c>
      <c r="M89" s="463">
        <v>17.170000000000002</v>
      </c>
      <c r="N89" s="463">
        <v>30.51</v>
      </c>
      <c r="O89" s="463">
        <v>10.75</v>
      </c>
    </row>
    <row r="90" spans="11:15">
      <c r="L90" s="462">
        <v>35</v>
      </c>
      <c r="M90" s="463">
        <v>17.47</v>
      </c>
      <c r="N90" s="463">
        <v>27.5</v>
      </c>
      <c r="O90" s="463">
        <v>8.31</v>
      </c>
    </row>
    <row r="91" spans="11:15">
      <c r="K91" s="461">
        <v>36</v>
      </c>
      <c r="L91" s="462">
        <v>36</v>
      </c>
      <c r="M91" s="463">
        <v>13.42</v>
      </c>
      <c r="N91" s="463">
        <v>26.21</v>
      </c>
      <c r="O91" s="463">
        <v>6.53</v>
      </c>
    </row>
    <row r="92" spans="11:15">
      <c r="L92" s="462">
        <v>37</v>
      </c>
      <c r="M92" s="463">
        <v>11.2</v>
      </c>
      <c r="N92" s="463">
        <v>29.98</v>
      </c>
      <c r="O92" s="463">
        <v>9.7799999999999994</v>
      </c>
    </row>
    <row r="93" spans="11:15">
      <c r="L93" s="462">
        <v>38</v>
      </c>
      <c r="M93" s="463">
        <v>11</v>
      </c>
      <c r="N93" s="463">
        <v>34.369999999999997</v>
      </c>
      <c r="O93" s="463">
        <v>7.47</v>
      </c>
    </row>
    <row r="94" spans="11:15">
      <c r="K94" s="461">
        <v>39</v>
      </c>
      <c r="L94" s="462">
        <v>39</v>
      </c>
      <c r="M94" s="463">
        <v>11.14</v>
      </c>
      <c r="N94" s="463">
        <v>42.17</v>
      </c>
      <c r="O94" s="463">
        <v>7.49</v>
      </c>
    </row>
    <row r="95" spans="11:15">
      <c r="L95" s="462">
        <v>40</v>
      </c>
      <c r="M95" s="463">
        <v>12.8</v>
      </c>
      <c r="N95" s="463">
        <v>37.270000000000003</v>
      </c>
      <c r="O95" s="463">
        <v>15.47</v>
      </c>
    </row>
    <row r="96" spans="11:15">
      <c r="L96" s="462">
        <v>41</v>
      </c>
      <c r="M96" s="463">
        <v>14.41</v>
      </c>
      <c r="N96" s="463">
        <v>40.04</v>
      </c>
      <c r="O96" s="463">
        <v>18</v>
      </c>
    </row>
    <row r="97" spans="10:15">
      <c r="L97" s="462">
        <v>42</v>
      </c>
      <c r="M97" s="463">
        <v>15.87</v>
      </c>
      <c r="N97" s="463">
        <v>35.79</v>
      </c>
      <c r="O97" s="463">
        <v>12.74</v>
      </c>
    </row>
    <row r="98" spans="10:15">
      <c r="K98" s="461">
        <v>43</v>
      </c>
      <c r="L98" s="462">
        <v>43</v>
      </c>
      <c r="M98" s="463">
        <v>19.61</v>
      </c>
      <c r="N98" s="463">
        <v>50.36</v>
      </c>
      <c r="O98" s="463">
        <v>30.75</v>
      </c>
    </row>
    <row r="99" spans="10:15">
      <c r="L99" s="462">
        <v>44</v>
      </c>
      <c r="M99" s="463">
        <v>21.85</v>
      </c>
      <c r="N99" s="463">
        <v>54.94</v>
      </c>
      <c r="O99" s="463">
        <v>23.58</v>
      </c>
    </row>
    <row r="100" spans="10:15">
      <c r="L100" s="462">
        <v>45</v>
      </c>
      <c r="M100" s="463">
        <v>16.79</v>
      </c>
      <c r="N100" s="463">
        <v>41.16</v>
      </c>
      <c r="O100" s="463">
        <v>11.77</v>
      </c>
    </row>
    <row r="101" spans="10:15">
      <c r="L101" s="462">
        <v>46</v>
      </c>
      <c r="M101" s="463">
        <v>16.010000000000002</v>
      </c>
      <c r="N101" s="463">
        <v>42.65</v>
      </c>
      <c r="O101" s="463">
        <v>9.33</v>
      </c>
    </row>
    <row r="102" spans="10:15">
      <c r="L102" s="462">
        <v>47</v>
      </c>
      <c r="M102" s="463">
        <v>14.72</v>
      </c>
      <c r="N102" s="463">
        <v>39.76</v>
      </c>
      <c r="O102" s="463">
        <v>8.19</v>
      </c>
    </row>
    <row r="103" spans="10:15">
      <c r="K103" s="461">
        <v>48</v>
      </c>
      <c r="L103" s="462">
        <v>48</v>
      </c>
      <c r="M103" s="463">
        <v>18.932000297142856</v>
      </c>
      <c r="N103" s="463">
        <v>47.388000487142854</v>
      </c>
      <c r="O103" s="463">
        <v>19.661285946</v>
      </c>
    </row>
    <row r="104" spans="10:15">
      <c r="L104" s="462">
        <v>49</v>
      </c>
      <c r="M104" s="463">
        <v>28.48371397</v>
      </c>
      <c r="N104" s="463">
        <v>78.087428497142852</v>
      </c>
      <c r="O104" s="463">
        <v>19.181428364285715</v>
      </c>
    </row>
    <row r="105" spans="10:15">
      <c r="L105" s="462">
        <v>50</v>
      </c>
      <c r="M105" s="463">
        <v>32.583286012857144</v>
      </c>
      <c r="N105" s="463">
        <v>69.764142717142846</v>
      </c>
      <c r="O105" s="463">
        <v>23.7245715</v>
      </c>
    </row>
    <row r="106" spans="10:15">
      <c r="L106" s="462">
        <v>51</v>
      </c>
      <c r="M106" s="463">
        <v>34.501856668571428</v>
      </c>
      <c r="N106" s="463">
        <v>71.14499991142857</v>
      </c>
      <c r="O106" s="463">
        <v>26.158142907142857</v>
      </c>
    </row>
    <row r="107" spans="10:15">
      <c r="K107" s="461">
        <v>52</v>
      </c>
      <c r="L107" s="462">
        <v>52</v>
      </c>
      <c r="M107" s="463">
        <v>27.781857355714287</v>
      </c>
      <c r="N107" s="463">
        <v>83.196000228571435</v>
      </c>
      <c r="O107" s="463">
        <v>21.776999882857144</v>
      </c>
    </row>
    <row r="108" spans="10:15">
      <c r="J108" s="25">
        <v>2018</v>
      </c>
      <c r="K108" s="461">
        <v>1</v>
      </c>
      <c r="L108" s="462">
        <v>1</v>
      </c>
      <c r="M108" s="463">
        <v>29.44</v>
      </c>
      <c r="N108" s="463">
        <v>69.087142857142865</v>
      </c>
      <c r="O108" s="463">
        <v>15.747142857142856</v>
      </c>
    </row>
    <row r="109" spans="10:15">
      <c r="L109" s="462">
        <v>2</v>
      </c>
      <c r="M109" s="463">
        <v>42.880857194285717</v>
      </c>
      <c r="N109" s="463">
        <v>96.785858138571413</v>
      </c>
      <c r="O109" s="463">
        <v>37.6</v>
      </c>
    </row>
    <row r="110" spans="10:15">
      <c r="L110" s="462">
        <v>3</v>
      </c>
      <c r="M110" s="463">
        <v>74.002572194285705</v>
      </c>
      <c r="N110" s="463">
        <v>158.17728531428571</v>
      </c>
      <c r="O110" s="463">
        <v>101.26128550142856</v>
      </c>
    </row>
    <row r="111" spans="10:15">
      <c r="K111" s="461">
        <v>4</v>
      </c>
      <c r="L111" s="462">
        <v>4</v>
      </c>
      <c r="M111" s="463">
        <v>77.812570845714291</v>
      </c>
      <c r="N111" s="463">
        <v>167.02357267142858</v>
      </c>
      <c r="O111" s="463">
        <v>77.354000085714276</v>
      </c>
    </row>
    <row r="112" spans="10:15">
      <c r="L112" s="462">
        <v>5</v>
      </c>
      <c r="M112" s="463">
        <v>61.531714848571433</v>
      </c>
      <c r="N112" s="463">
        <v>113.19585745142855</v>
      </c>
      <c r="O112" s="463">
        <v>30.667142595714285</v>
      </c>
    </row>
    <row r="113" spans="11:15">
      <c r="L113" s="462">
        <v>6</v>
      </c>
      <c r="M113" s="463">
        <v>54.024142672857138</v>
      </c>
      <c r="N113" s="463">
        <v>88.535714287142852</v>
      </c>
      <c r="O113" s="463">
        <v>32.444142750000005</v>
      </c>
    </row>
    <row r="114" spans="11:15">
      <c r="L114" s="462">
        <v>7</v>
      </c>
      <c r="M114" s="463">
        <v>59.271427155714285</v>
      </c>
      <c r="N114" s="463">
        <v>99.37822619047617</v>
      </c>
      <c r="O114" s="463">
        <v>30.338148809523812</v>
      </c>
    </row>
    <row r="115" spans="11:15">
      <c r="K115" s="461">
        <v>8</v>
      </c>
      <c r="L115" s="462">
        <v>8</v>
      </c>
      <c r="M115" s="463">
        <v>78.025571005714284</v>
      </c>
      <c r="N115" s="463">
        <v>140.28</v>
      </c>
      <c r="O115" s="463">
        <v>62.97</v>
      </c>
    </row>
    <row r="116" spans="11:15">
      <c r="L116" s="462">
        <v>9</v>
      </c>
      <c r="M116" s="463">
        <v>61.11871501571428</v>
      </c>
      <c r="N116" s="463">
        <v>102.99642836285715</v>
      </c>
      <c r="O116" s="463">
        <v>31.244571685714288</v>
      </c>
    </row>
    <row r="117" spans="11:15">
      <c r="L117" s="462">
        <v>10</v>
      </c>
      <c r="M117" s="463">
        <v>84.500714981428573</v>
      </c>
      <c r="N117" s="463">
        <v>175.90485927142853</v>
      </c>
      <c r="O117" s="463">
        <v>36.038285662857142</v>
      </c>
    </row>
    <row r="118" spans="11:15">
      <c r="L118" s="462">
        <v>11</v>
      </c>
      <c r="M118" s="463">
        <v>83.643855504285725</v>
      </c>
      <c r="N118" s="463">
        <v>169.64671761428571</v>
      </c>
      <c r="O118" s="463">
        <v>25.076428275714282</v>
      </c>
    </row>
    <row r="119" spans="11:15">
      <c r="K119" s="461">
        <v>12</v>
      </c>
      <c r="L119" s="462">
        <v>12</v>
      </c>
      <c r="M119" s="463">
        <v>98.99</v>
      </c>
      <c r="N119" s="463">
        <v>198.22</v>
      </c>
      <c r="O119" s="463">
        <v>24.63</v>
      </c>
    </row>
    <row r="120" spans="11:15">
      <c r="L120" s="462">
        <v>13</v>
      </c>
      <c r="M120" s="463">
        <v>106.64928652857144</v>
      </c>
      <c r="N120" s="463">
        <v>312.6314304857143</v>
      </c>
      <c r="O120" s="463">
        <v>38.701428550000003</v>
      </c>
    </row>
    <row r="121" spans="11:15">
      <c r="L121" s="462">
        <v>14</v>
      </c>
      <c r="M121" s="463">
        <v>86.488428389999996</v>
      </c>
      <c r="N121" s="463">
        <v>235.31328691428573</v>
      </c>
      <c r="O121" s="463">
        <v>94.596427907142839</v>
      </c>
    </row>
    <row r="122" spans="11:15">
      <c r="L122" s="462">
        <v>15</v>
      </c>
      <c r="M122" s="463">
        <v>88.217001778571429</v>
      </c>
      <c r="N122" s="463">
        <v>294.1721409428572</v>
      </c>
      <c r="O122" s="463">
        <v>92.07</v>
      </c>
    </row>
    <row r="123" spans="11:15">
      <c r="K123" s="461">
        <v>16</v>
      </c>
      <c r="L123" s="462">
        <v>16</v>
      </c>
      <c r="M123" s="463">
        <v>65.84</v>
      </c>
      <c r="N123" s="463">
        <v>149.18</v>
      </c>
      <c r="O123" s="463">
        <v>45.4</v>
      </c>
    </row>
    <row r="124" spans="11:15">
      <c r="L124" s="462">
        <v>17</v>
      </c>
      <c r="M124" s="463">
        <v>51.88</v>
      </c>
      <c r="N124" s="463">
        <v>104.35</v>
      </c>
      <c r="O124" s="463">
        <v>41.47</v>
      </c>
    </row>
    <row r="125" spans="11:15">
      <c r="L125" s="462">
        <v>18</v>
      </c>
      <c r="M125" s="463">
        <v>49.672285897142856</v>
      </c>
      <c r="N125" s="463">
        <v>78.038143701428567</v>
      </c>
      <c r="O125" s="463">
        <v>65.800999782857133</v>
      </c>
    </row>
    <row r="126" spans="11:15">
      <c r="L126" s="462">
        <v>19</v>
      </c>
      <c r="M126" s="463">
        <v>45.203000204285708</v>
      </c>
      <c r="N126" s="463">
        <v>78.313856942857129</v>
      </c>
      <c r="O126" s="463">
        <v>75.104713441428572</v>
      </c>
    </row>
    <row r="127" spans="11:15">
      <c r="K127" s="461">
        <v>20</v>
      </c>
      <c r="L127" s="462">
        <v>20</v>
      </c>
      <c r="M127" s="463">
        <v>37.385857718571437</v>
      </c>
      <c r="N127" s="463">
        <v>130.92628696285712</v>
      </c>
      <c r="O127" s="463">
        <v>97.861000055714285</v>
      </c>
    </row>
    <row r="128" spans="11:15">
      <c r="L128" s="462">
        <v>21</v>
      </c>
      <c r="M128" s="463">
        <v>31.609713962857143</v>
      </c>
      <c r="N128" s="463">
        <v>64.449287412857146</v>
      </c>
      <c r="O128" s="463">
        <v>107.7964292242857</v>
      </c>
    </row>
    <row r="129" spans="11:15">
      <c r="L129" s="462">
        <v>22</v>
      </c>
      <c r="M129" s="463">
        <v>23.360142844285715</v>
      </c>
      <c r="N129" s="463">
        <v>64.449287412857146</v>
      </c>
      <c r="O129" s="463">
        <v>107.7964292242857</v>
      </c>
    </row>
    <row r="130" spans="11:15">
      <c r="L130" s="462">
        <v>23</v>
      </c>
      <c r="M130" s="463">
        <v>22.118571418571431</v>
      </c>
      <c r="N130" s="463">
        <v>39.50100054</v>
      </c>
      <c r="O130" s="463">
        <v>35.176713670000005</v>
      </c>
    </row>
    <row r="131" spans="11:15">
      <c r="K131" s="461">
        <v>24</v>
      </c>
      <c r="L131" s="462">
        <v>24</v>
      </c>
      <c r="M131" s="463">
        <v>18.655142918571432</v>
      </c>
      <c r="N131" s="463">
        <v>33.690285274285714</v>
      </c>
      <c r="O131" s="463">
        <v>23.41942841571429</v>
      </c>
    </row>
    <row r="132" spans="11:15">
      <c r="L132" s="462">
        <v>25</v>
      </c>
      <c r="M132" s="463">
        <v>15.664428437142856</v>
      </c>
      <c r="N132" s="463">
        <v>30.228428704285715</v>
      </c>
      <c r="O132" s="463">
        <v>15.98614284142857</v>
      </c>
    </row>
    <row r="133" spans="11:15">
      <c r="L133" s="462">
        <v>26</v>
      </c>
      <c r="M133" s="463">
        <v>13.848143032857147</v>
      </c>
      <c r="N133" s="463">
        <v>27.872285568571431</v>
      </c>
      <c r="O133" s="463">
        <v>14.09042848857143</v>
      </c>
    </row>
    <row r="134" spans="11:15">
      <c r="L134" s="462">
        <v>27</v>
      </c>
      <c r="M134" s="463">
        <v>12.865857259999999</v>
      </c>
      <c r="N134" s="463">
        <v>27.257571358571429</v>
      </c>
      <c r="O134" s="463">
        <v>11.838857105714284</v>
      </c>
    </row>
    <row r="135" spans="11:15">
      <c r="K135" s="461">
        <v>28</v>
      </c>
      <c r="L135" s="462">
        <v>28</v>
      </c>
      <c r="M135" s="463">
        <v>12.915285789999999</v>
      </c>
      <c r="N135" s="490">
        <v>27.217285974285712</v>
      </c>
      <c r="O135" s="463">
        <v>9.7789998731428565</v>
      </c>
    </row>
    <row r="136" spans="11:15">
      <c r="L136" s="462">
        <v>29</v>
      </c>
      <c r="M136" s="463">
        <v>15.908571428571426</v>
      </c>
      <c r="N136" s="490">
        <v>24.955714285714286</v>
      </c>
      <c r="O136" s="463">
        <v>8.4957142857142856</v>
      </c>
    </row>
    <row r="137" spans="11:15">
      <c r="L137" s="462">
        <v>30</v>
      </c>
      <c r="M137" s="463">
        <v>16.584000042857145</v>
      </c>
      <c r="N137" s="490">
        <v>24.80942862142857</v>
      </c>
      <c r="O137" s="463">
        <v>7.807428428142857</v>
      </c>
    </row>
    <row r="138" spans="11:15">
      <c r="L138" s="462">
        <v>31</v>
      </c>
      <c r="M138" s="463">
        <v>18.553000000000001</v>
      </c>
      <c r="N138" s="490">
        <v>25.690999999999999</v>
      </c>
      <c r="O138" s="463">
        <v>7.53</v>
      </c>
    </row>
    <row r="139" spans="11:15">
      <c r="K139" s="461">
        <v>32</v>
      </c>
      <c r="L139" s="462">
        <v>32</v>
      </c>
      <c r="M139" s="463">
        <v>17.769714355714285</v>
      </c>
      <c r="N139" s="490">
        <v>27.630000251428573</v>
      </c>
      <c r="O139" s="463">
        <v>6.4074286734285701</v>
      </c>
    </row>
    <row r="140" spans="11:15">
      <c r="L140" s="462">
        <v>33</v>
      </c>
      <c r="M140" s="463">
        <v>14.782857348571428</v>
      </c>
      <c r="N140" s="490">
        <v>23.78</v>
      </c>
      <c r="O140" s="463">
        <v>4.9400000000000004</v>
      </c>
    </row>
    <row r="141" spans="11:15">
      <c r="L141" s="462">
        <v>34</v>
      </c>
      <c r="M141" s="463">
        <v>15.984000069999999</v>
      </c>
      <c r="N141" s="490">
        <v>23.527999878571428</v>
      </c>
      <c r="O141" s="463">
        <v>4.6688571658571432</v>
      </c>
    </row>
    <row r="142" spans="11:15">
      <c r="L142" s="462">
        <v>35</v>
      </c>
      <c r="M142" s="463">
        <v>15.55</v>
      </c>
      <c r="N142" s="490">
        <v>23.29</v>
      </c>
      <c r="O142" s="463">
        <v>4.5999999999999996</v>
      </c>
    </row>
    <row r="143" spans="11:15">
      <c r="K143" s="461">
        <v>36</v>
      </c>
      <c r="L143" s="462">
        <v>36</v>
      </c>
      <c r="M143" s="463">
        <v>15.042857142857143</v>
      </c>
      <c r="N143" s="463">
        <v>23.007142857142856</v>
      </c>
      <c r="O143" s="463">
        <v>3.9657142857142857</v>
      </c>
    </row>
    <row r="144" spans="11:15">
      <c r="L144" s="462">
        <v>37</v>
      </c>
      <c r="M144" s="463">
        <v>13.386857033</v>
      </c>
      <c r="N144" s="463">
        <v>23.173571724285711</v>
      </c>
      <c r="O144" s="463">
        <v>3.5334285327142858</v>
      </c>
    </row>
    <row r="145" spans="10:15">
      <c r="L145" s="462">
        <v>38</v>
      </c>
      <c r="M145" s="463">
        <v>12.963714189999999</v>
      </c>
      <c r="N145" s="463">
        <v>26.454000201428567</v>
      </c>
      <c r="O145" s="463">
        <v>6.4914285118571433</v>
      </c>
    </row>
    <row r="146" spans="10:15">
      <c r="L146" s="462">
        <v>39</v>
      </c>
      <c r="M146" s="463">
        <v>9.4700000000000006</v>
      </c>
      <c r="N146" s="463">
        <v>23.7</v>
      </c>
      <c r="O146" s="463">
        <v>4.9000000000000004</v>
      </c>
    </row>
    <row r="147" spans="10:15">
      <c r="K147" s="461">
        <v>40</v>
      </c>
      <c r="L147" s="462">
        <v>40</v>
      </c>
      <c r="M147" s="463">
        <v>9.6714286802857146</v>
      </c>
      <c r="N147" s="581">
        <v>23.695143017142858</v>
      </c>
      <c r="O147" s="463">
        <v>4.898285797571428</v>
      </c>
    </row>
    <row r="148" spans="10:15">
      <c r="L148" s="462">
        <v>41</v>
      </c>
      <c r="M148" s="463">
        <v>13.23900018419533</v>
      </c>
      <c r="N148" s="581">
        <v>28.113285882132363</v>
      </c>
      <c r="O148" s="463">
        <v>8.3430000032697169</v>
      </c>
    </row>
    <row r="149" spans="10:15">
      <c r="L149" s="462">
        <v>42</v>
      </c>
      <c r="M149" s="463">
        <v>13.085142816816015</v>
      </c>
      <c r="N149" s="581">
        <v>37.073285511561743</v>
      </c>
      <c r="O149" s="463">
        <v>7.2735712868826683</v>
      </c>
    </row>
    <row r="150" spans="10:15">
      <c r="L150" s="462">
        <v>43</v>
      </c>
      <c r="M150" s="463">
        <v>24.981571742466489</v>
      </c>
      <c r="N150" s="581">
        <v>70.535571507045162</v>
      </c>
      <c r="O150" s="463">
        <v>7.4324284962245324</v>
      </c>
    </row>
    <row r="151" spans="10:15">
      <c r="K151" s="461">
        <v>44</v>
      </c>
      <c r="L151" s="462">
        <v>44</v>
      </c>
      <c r="M151" s="463">
        <v>20.55814279714286</v>
      </c>
      <c r="N151" s="581">
        <v>55.183714184285712</v>
      </c>
      <c r="O151" s="463">
        <v>15.801856994857145</v>
      </c>
    </row>
    <row r="152" spans="10:15">
      <c r="L152" s="462">
        <v>45</v>
      </c>
      <c r="M152" s="463">
        <v>26.170000077142856</v>
      </c>
      <c r="N152" s="463">
        <v>60.445714132857141</v>
      </c>
      <c r="O152" s="463">
        <v>26.432857787142858</v>
      </c>
    </row>
    <row r="153" spans="10:15">
      <c r="L153" s="462">
        <v>46</v>
      </c>
      <c r="M153" s="463">
        <v>19.728571428571428</v>
      </c>
      <c r="N153" s="463">
        <v>57.005714285714291</v>
      </c>
      <c r="O153" s="463">
        <v>53.502857142857145</v>
      </c>
    </row>
    <row r="154" spans="10:15">
      <c r="L154" s="462">
        <v>47</v>
      </c>
      <c r="M154" s="463">
        <v>39.656714302857139</v>
      </c>
      <c r="N154" s="463">
        <v>103.00771440714287</v>
      </c>
      <c r="O154" s="463">
        <v>53.459142955714292</v>
      </c>
    </row>
    <row r="155" spans="10:15">
      <c r="K155" s="461">
        <v>48</v>
      </c>
      <c r="L155" s="462">
        <v>48</v>
      </c>
      <c r="M155" s="463">
        <v>39.656714302857139</v>
      </c>
      <c r="N155" s="463">
        <v>99.828000734285709</v>
      </c>
      <c r="O155" s="463">
        <v>45.539571760000008</v>
      </c>
    </row>
    <row r="156" spans="10:15">
      <c r="L156" s="462">
        <v>49</v>
      </c>
      <c r="M156" s="463">
        <v>22.62857142857143</v>
      </c>
      <c r="N156" s="463">
        <v>60.27571428571428</v>
      </c>
      <c r="O156" s="463">
        <v>17.955714285714286</v>
      </c>
    </row>
    <row r="157" spans="10:15">
      <c r="L157" s="462">
        <v>50</v>
      </c>
      <c r="M157" s="463">
        <v>17.776714461428572</v>
      </c>
      <c r="N157" s="463">
        <v>46.701999664285715</v>
      </c>
      <c r="O157" s="463">
        <v>13.432571411428571</v>
      </c>
    </row>
    <row r="158" spans="10:15">
      <c r="L158" s="462">
        <v>51</v>
      </c>
      <c r="M158" s="463">
        <v>34.085714285714282</v>
      </c>
      <c r="N158" s="463">
        <v>68.7</v>
      </c>
      <c r="O158" s="463">
        <v>39.414285714285711</v>
      </c>
    </row>
    <row r="159" spans="10:15">
      <c r="K159" s="461">
        <v>52</v>
      </c>
      <c r="L159" s="462">
        <v>52</v>
      </c>
      <c r="M159" s="463">
        <v>52.094142914285719</v>
      </c>
      <c r="N159" s="463">
        <v>97.347143448571416</v>
      </c>
      <c r="O159" s="463">
        <v>65.679429182857149</v>
      </c>
    </row>
    <row r="160" spans="10:15">
      <c r="J160" s="25">
        <v>2019</v>
      </c>
      <c r="K160" s="462">
        <v>1</v>
      </c>
      <c r="L160" s="462">
        <v>1</v>
      </c>
      <c r="M160" s="463">
        <v>27.79999951142857</v>
      </c>
      <c r="N160" s="463">
        <v>78.298570904285711</v>
      </c>
      <c r="O160" s="463">
        <v>21.927143370000003</v>
      </c>
    </row>
    <row r="161" spans="11:15">
      <c r="K161" s="462"/>
      <c r="L161" s="462">
        <v>2</v>
      </c>
      <c r="M161" s="463">
        <v>28.678571428571427</v>
      </c>
      <c r="N161" s="463">
        <v>95.081715179999989</v>
      </c>
      <c r="O161" s="463">
        <v>22.397999900000002</v>
      </c>
    </row>
    <row r="162" spans="11:15">
      <c r="K162" s="462"/>
      <c r="L162" s="462">
        <v>3</v>
      </c>
      <c r="M162" s="463">
        <v>44.51</v>
      </c>
      <c r="N162" s="463">
        <v>95.65</v>
      </c>
      <c r="O162" s="463">
        <v>17.61</v>
      </c>
    </row>
    <row r="163" spans="11:15">
      <c r="K163" s="462">
        <v>4</v>
      </c>
      <c r="L163" s="462">
        <v>4</v>
      </c>
      <c r="M163" s="463">
        <v>73.323141914285699</v>
      </c>
      <c r="N163" s="463">
        <v>109.29957036285714</v>
      </c>
      <c r="O163" s="463">
        <v>17.638000354285712</v>
      </c>
    </row>
    <row r="164" spans="11:15">
      <c r="L164" s="462">
        <v>5</v>
      </c>
      <c r="M164" s="463">
        <v>103.17716724333333</v>
      </c>
      <c r="N164" s="463">
        <v>149.65083311999999</v>
      </c>
      <c r="O164" s="463">
        <v>19.218833289999999</v>
      </c>
    </row>
    <row r="165" spans="11:15">
      <c r="L165" s="462">
        <v>6</v>
      </c>
      <c r="M165" s="463">
        <v>79.165714285714287</v>
      </c>
      <c r="N165" s="463">
        <v>136.57714285714286</v>
      </c>
      <c r="O165" s="463">
        <v>57.185714285714276</v>
      </c>
    </row>
    <row r="166" spans="11:15">
      <c r="L166" s="462">
        <v>7</v>
      </c>
      <c r="M166" s="463">
        <v>120.02256992142858</v>
      </c>
      <c r="N166" s="463">
        <v>224.71071514285714</v>
      </c>
      <c r="O166" s="463">
        <v>118.06042697857141</v>
      </c>
    </row>
    <row r="167" spans="11:15">
      <c r="K167" s="462">
        <v>8</v>
      </c>
      <c r="L167" s="462">
        <v>8</v>
      </c>
      <c r="M167" s="463">
        <v>97.560142514285715</v>
      </c>
      <c r="N167" s="463">
        <v>198.04342652857142</v>
      </c>
      <c r="O167" s="463">
        <v>106.29885756428571</v>
      </c>
    </row>
    <row r="168" spans="11:15">
      <c r="L168" s="462">
        <v>9</v>
      </c>
      <c r="M168" s="463">
        <v>97.560142514285715</v>
      </c>
      <c r="N168" s="463">
        <v>191.0112849857143</v>
      </c>
      <c r="O168" s="463">
        <v>142.12385776285717</v>
      </c>
    </row>
    <row r="169" spans="11:15">
      <c r="L169" s="462">
        <v>10</v>
      </c>
      <c r="M169" s="463">
        <v>97.497286117142863</v>
      </c>
      <c r="N169" s="463">
        <v>215.64014109999999</v>
      </c>
      <c r="O169" s="463">
        <v>164.59685624285717</v>
      </c>
    </row>
    <row r="170" spans="11:15">
      <c r="L170" s="462">
        <v>11</v>
      </c>
      <c r="M170" s="463">
        <v>98.21585736955906</v>
      </c>
      <c r="N170" s="463">
        <v>236.76099940708642</v>
      </c>
      <c r="O170" s="463">
        <v>121.6507121494835</v>
      </c>
    </row>
    <row r="171" spans="11:15">
      <c r="K171" s="462">
        <v>12</v>
      </c>
      <c r="L171" s="462">
        <v>12</v>
      </c>
      <c r="M171" s="463">
        <v>91.857713972857141</v>
      </c>
      <c r="N171" s="463">
        <v>250.8679761904763</v>
      </c>
      <c r="O171" s="463">
        <v>166.63136904761905</v>
      </c>
    </row>
    <row r="172" spans="11:15">
      <c r="K172" s="462"/>
      <c r="L172" s="462">
        <v>13</v>
      </c>
      <c r="M172" s="463">
        <v>100.0137132957143</v>
      </c>
      <c r="N172" s="463">
        <v>301.45971681428574</v>
      </c>
      <c r="O172" s="463">
        <v>180.07000078571429</v>
      </c>
    </row>
    <row r="173" spans="11:15">
      <c r="K173" s="462"/>
      <c r="L173" s="462">
        <v>14</v>
      </c>
      <c r="M173" s="463">
        <v>84.272714885714294</v>
      </c>
      <c r="N173" s="463">
        <v>253.08542525714284</v>
      </c>
      <c r="O173" s="463">
        <v>143.43971579999999</v>
      </c>
    </row>
    <row r="174" spans="11:15">
      <c r="L174" s="462">
        <v>15</v>
      </c>
      <c r="M174" s="463">
        <v>61.074856892857142</v>
      </c>
      <c r="N174" s="463">
        <v>253.08542525714284</v>
      </c>
      <c r="O174" s="463">
        <v>152.6561442857143</v>
      </c>
    </row>
    <row r="175" spans="11:15">
      <c r="K175" s="763">
        <v>16</v>
      </c>
      <c r="L175" s="763">
        <v>16</v>
      </c>
      <c r="M175" s="463">
        <v>47.843714031428576</v>
      </c>
      <c r="N175" s="463">
        <v>141.0458592</v>
      </c>
      <c r="O175" s="463">
        <v>83.844285145714295</v>
      </c>
    </row>
    <row r="176" spans="11:15">
      <c r="K176" s="763"/>
      <c r="L176" s="763">
        <v>17</v>
      </c>
      <c r="M176" s="463">
        <v>50.907143728571427</v>
      </c>
      <c r="N176" s="463">
        <v>123.86656951428571</v>
      </c>
      <c r="O176" s="463">
        <v>125.28814153857142</v>
      </c>
    </row>
    <row r="177" spans="11:15">
      <c r="K177" s="763"/>
      <c r="L177" s="763">
        <v>18</v>
      </c>
      <c r="M177" s="463">
        <v>39.120999471428568</v>
      </c>
      <c r="N177" s="463">
        <v>85.173857551428583</v>
      </c>
      <c r="O177" s="463">
        <v>66.347143447142855</v>
      </c>
    </row>
    <row r="178" spans="11:15">
      <c r="K178" s="763"/>
      <c r="L178" s="462">
        <v>19</v>
      </c>
      <c r="M178" s="463">
        <v>35.410856791428571</v>
      </c>
      <c r="N178" s="463">
        <v>71.224285714285699</v>
      </c>
      <c r="O178" s="463">
        <v>42.216071428571425</v>
      </c>
    </row>
    <row r="179" spans="11:15">
      <c r="K179" s="763"/>
      <c r="L179" s="763">
        <v>20</v>
      </c>
      <c r="M179" s="463">
        <v>32.405142920000003</v>
      </c>
      <c r="N179" s="463">
        <v>76.857142859999996</v>
      </c>
      <c r="O179" s="463">
        <v>58.324429100000003</v>
      </c>
    </row>
    <row r="180" spans="11:15">
      <c r="K180" s="763"/>
      <c r="L180" s="763">
        <v>21</v>
      </c>
      <c r="M180" s="463">
        <v>26.58385740142857</v>
      </c>
      <c r="N180" s="463">
        <v>47.97114345</v>
      </c>
      <c r="O180" s="463">
        <v>34.032571519999998</v>
      </c>
    </row>
    <row r="181" spans="11:15">
      <c r="K181" s="763">
        <v>22</v>
      </c>
      <c r="L181" s="763">
        <v>22</v>
      </c>
      <c r="M181" s="463">
        <v>19.653714315714286</v>
      </c>
      <c r="N181" s="463">
        <v>37.624285945285713</v>
      </c>
      <c r="O181" s="463">
        <v>40.524285998571429</v>
      </c>
    </row>
    <row r="182" spans="11:15">
      <c r="K182" s="720"/>
      <c r="L182" s="763">
        <v>23</v>
      </c>
      <c r="M182" s="463">
        <v>16.50400011857143</v>
      </c>
      <c r="N182" s="463">
        <v>37.806285858571421</v>
      </c>
      <c r="O182" s="463">
        <v>25.010571342857141</v>
      </c>
    </row>
    <row r="183" spans="11:15">
      <c r="K183" s="720"/>
      <c r="L183" s="763">
        <v>24</v>
      </c>
      <c r="M183" s="463">
        <v>14.890428544285713</v>
      </c>
      <c r="N183" s="463">
        <v>35.468714032857143</v>
      </c>
      <c r="O183" s="463">
        <v>18.242713997857145</v>
      </c>
    </row>
    <row r="184" spans="11:15">
      <c r="K184" s="720"/>
      <c r="L184" s="763">
        <v>25</v>
      </c>
      <c r="M184" s="463">
        <v>15.340000017142858</v>
      </c>
      <c r="N184" s="463">
        <v>33.200142724285719</v>
      </c>
      <c r="O184" s="463">
        <v>16.013142995714286</v>
      </c>
    </row>
    <row r="185" spans="11:15">
      <c r="K185" s="763">
        <v>26</v>
      </c>
      <c r="L185" s="763">
        <v>26</v>
      </c>
      <c r="M185" s="463">
        <v>15.521142687142857</v>
      </c>
      <c r="N185" s="463">
        <v>28.376285825714287</v>
      </c>
      <c r="O185" s="463">
        <v>12.961571557142857</v>
      </c>
    </row>
    <row r="186" spans="11:15">
      <c r="K186" s="720"/>
      <c r="L186" s="763"/>
      <c r="M186" s="463"/>
      <c r="N186" s="463"/>
      <c r="O186" s="463"/>
    </row>
    <row r="187" spans="11:15">
      <c r="K187" s="720"/>
      <c r="L187" s="763"/>
      <c r="M187" s="463"/>
      <c r="N187" s="463"/>
      <c r="O187" s="463"/>
    </row>
    <row r="188" spans="11:15">
      <c r="K188" s="720"/>
      <c r="L188" s="763"/>
      <c r="M188" s="463"/>
      <c r="N188" s="463"/>
      <c r="O188" s="463"/>
    </row>
    <row r="189" spans="11:15">
      <c r="K189" s="720"/>
      <c r="L189" s="763"/>
      <c r="M189" s="463"/>
      <c r="N189" s="463"/>
      <c r="O189" s="463"/>
    </row>
    <row r="190" spans="11:15">
      <c r="K190" s="720"/>
      <c r="L190" s="763"/>
      <c r="M190" s="463"/>
      <c r="N190" s="463"/>
      <c r="O190" s="463"/>
    </row>
    <row r="191" spans="11:15">
      <c r="K191" s="720"/>
      <c r="L191" s="763"/>
      <c r="M191" s="463"/>
      <c r="N191" s="463"/>
      <c r="O191" s="463"/>
    </row>
    <row r="192" spans="11:15">
      <c r="K192" s="720"/>
      <c r="L192" s="763"/>
      <c r="M192" s="463"/>
      <c r="N192" s="463"/>
      <c r="O192" s="463"/>
    </row>
    <row r="193" spans="11:15">
      <c r="K193" s="720"/>
      <c r="L193" s="763"/>
      <c r="M193" s="463"/>
      <c r="N193" s="463"/>
      <c r="O193" s="463"/>
    </row>
    <row r="194" spans="11:15">
      <c r="K194" s="720"/>
      <c r="L194" s="763"/>
      <c r="M194" s="463"/>
      <c r="N194" s="463"/>
      <c r="O194" s="463"/>
    </row>
    <row r="195" spans="11:15">
      <c r="K195" s="720">
        <v>36</v>
      </c>
      <c r="L195" s="763">
        <v>36</v>
      </c>
      <c r="M195" s="463"/>
      <c r="N195" s="463"/>
      <c r="O195" s="463"/>
    </row>
    <row r="196" spans="11:15">
      <c r="K196" s="720"/>
      <c r="L196" s="763">
        <v>37</v>
      </c>
      <c r="M196" s="463"/>
      <c r="N196" s="463"/>
      <c r="O196" s="463"/>
    </row>
    <row r="197" spans="11:15">
      <c r="K197" s="720"/>
      <c r="L197" s="763">
        <v>38</v>
      </c>
      <c r="M197" s="463"/>
      <c r="N197" s="463"/>
      <c r="O197" s="463"/>
    </row>
    <row r="198" spans="11:15">
      <c r="K198" s="461">
        <v>39</v>
      </c>
      <c r="L198" s="462">
        <v>39</v>
      </c>
      <c r="M198" s="463"/>
      <c r="N198" s="463"/>
      <c r="O198" s="463"/>
    </row>
    <row r="199" spans="11:15">
      <c r="L199" s="462">
        <v>40</v>
      </c>
      <c r="M199" s="463"/>
      <c r="N199" s="463"/>
      <c r="O199" s="463"/>
    </row>
    <row r="200" spans="11:15">
      <c r="L200" s="462">
        <v>41</v>
      </c>
      <c r="M200" s="463"/>
      <c r="N200" s="463"/>
      <c r="O200" s="463"/>
    </row>
    <row r="201" spans="11:15">
      <c r="L201" s="462">
        <v>42</v>
      </c>
      <c r="M201" s="463"/>
      <c r="N201" s="463"/>
      <c r="O201" s="463"/>
    </row>
    <row r="202" spans="11:15">
      <c r="K202" s="461">
        <v>43</v>
      </c>
      <c r="L202" s="462">
        <v>43</v>
      </c>
      <c r="M202" s="463"/>
      <c r="N202" s="463"/>
      <c r="O202" s="463"/>
    </row>
    <row r="203" spans="11:15">
      <c r="L203" s="462">
        <v>44</v>
      </c>
      <c r="M203" s="463"/>
      <c r="N203" s="463"/>
      <c r="O203" s="463"/>
    </row>
    <row r="204" spans="11:15">
      <c r="L204" s="462">
        <v>45</v>
      </c>
      <c r="M204" s="463"/>
      <c r="N204" s="463"/>
      <c r="O204" s="463"/>
    </row>
    <row r="205" spans="11:15">
      <c r="L205" s="462">
        <v>46</v>
      </c>
      <c r="M205" s="463"/>
      <c r="N205" s="463"/>
      <c r="O205" s="463"/>
    </row>
    <row r="206" spans="11:15">
      <c r="L206" s="462">
        <v>47</v>
      </c>
      <c r="M206" s="463"/>
      <c r="N206" s="463"/>
      <c r="O206" s="463"/>
    </row>
    <row r="207" spans="11:15">
      <c r="K207" s="461">
        <v>48</v>
      </c>
      <c r="L207" s="462">
        <v>48</v>
      </c>
      <c r="M207" s="463"/>
      <c r="N207" s="463"/>
      <c r="O207" s="463"/>
    </row>
    <row r="208" spans="11:15">
      <c r="L208" s="462">
        <v>49</v>
      </c>
      <c r="M208" s="463"/>
      <c r="N208" s="463"/>
      <c r="O208" s="463"/>
    </row>
    <row r="209" spans="11:15">
      <c r="L209" s="462">
        <v>50</v>
      </c>
      <c r="M209" s="463"/>
      <c r="N209" s="463"/>
      <c r="O209" s="463"/>
    </row>
    <row r="210" spans="11:15">
      <c r="L210" s="462">
        <v>51</v>
      </c>
      <c r="M210" s="463"/>
      <c r="N210" s="463"/>
      <c r="O210" s="463"/>
    </row>
    <row r="211" spans="11:15">
      <c r="K211" s="461">
        <v>52</v>
      </c>
      <c r="L211" s="462">
        <v>52</v>
      </c>
      <c r="M211" s="463"/>
      <c r="N211" s="463"/>
      <c r="O211" s="463"/>
    </row>
    <row r="213" spans="11:15">
      <c r="M213" s="461" t="s">
        <v>277</v>
      </c>
      <c r="N213" s="461" t="s">
        <v>278</v>
      </c>
      <c r="O213" s="461" t="s">
        <v>279</v>
      </c>
    </row>
  </sheetData>
  <mergeCells count="2">
    <mergeCell ref="A3:G3"/>
    <mergeCell ref="A35:G35"/>
  </mergeCells>
  <pageMargins left="0.70866141732283472" right="0.70866141732283472" top="1.4311417322834645" bottom="0.62992125984251968" header="0.31496062992125984" footer="0.31496062992125984"/>
  <pageSetup paperSize="9" scale="94" orientation="portrait" r:id="rId1"/>
  <headerFooter>
    <oddHeader>&amp;R&amp;7Informe de la Operación Mensual - Junio 2019
INFSGI-MES-06-2019
10/07/2019
Versión: 01</oddHeader>
    <oddFooter>&amp;L&amp;7COES, 2019&amp;C12&amp;R&amp;7Dirección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7A5"/>
  </sheetPr>
  <dimension ref="A1:AF220"/>
  <sheetViews>
    <sheetView showGridLines="0" view="pageBreakPreview" topLeftCell="C1" zoomScale="130" zoomScaleNormal="100" zoomScaleSheetLayoutView="130" zoomScalePageLayoutView="130" workbookViewId="0">
      <selection activeCell="C12" sqref="C12"/>
    </sheetView>
  </sheetViews>
  <sheetFormatPr defaultColWidth="9.33203125" defaultRowHeight="11.25"/>
  <cols>
    <col min="10" max="11" width="9.33203125" customWidth="1"/>
    <col min="13" max="16" width="9.33203125" style="461"/>
    <col min="17" max="17" width="11.6640625" style="461" bestFit="1" customWidth="1"/>
    <col min="18" max="18" width="19.1640625" style="461" customWidth="1"/>
    <col min="19" max="19" width="9.6640625" style="461" bestFit="1" customWidth="1"/>
    <col min="20" max="20" width="14.5" style="461" customWidth="1"/>
    <col min="21" max="23" width="9.5" style="461" bestFit="1" customWidth="1"/>
    <col min="24" max="24" width="9.6640625" style="461" bestFit="1" customWidth="1"/>
    <col min="25" max="25" width="9.5" style="461" bestFit="1" customWidth="1"/>
    <col min="26" max="26" width="9.33203125" style="451"/>
    <col min="27" max="30" width="9.33203125" style="324"/>
    <col min="31" max="32" width="9.33203125" style="311"/>
  </cols>
  <sheetData>
    <row r="1" spans="1:25" ht="11.25" customHeight="1"/>
    <row r="2" spans="1:25" ht="11.25" customHeight="1">
      <c r="A2" s="325"/>
      <c r="B2" s="326"/>
      <c r="C2" s="326"/>
      <c r="D2" s="326"/>
      <c r="E2" s="326"/>
      <c r="F2" s="326"/>
      <c r="G2" s="175"/>
      <c r="H2" s="175"/>
      <c r="I2" s="132"/>
    </row>
    <row r="3" spans="1:25" ht="11.25" customHeight="1">
      <c r="A3" s="132"/>
      <c r="B3" s="132"/>
      <c r="C3" s="132"/>
      <c r="D3" s="132"/>
      <c r="E3" s="132"/>
      <c r="F3" s="132"/>
      <c r="G3" s="138"/>
      <c r="H3" s="138"/>
      <c r="I3" s="138"/>
      <c r="J3" s="148"/>
      <c r="K3" s="148"/>
      <c r="L3" s="148"/>
      <c r="O3" s="461" t="s">
        <v>276</v>
      </c>
      <c r="P3" s="462"/>
      <c r="Q3" s="461" t="s">
        <v>280</v>
      </c>
      <c r="R3" s="461" t="s">
        <v>281</v>
      </c>
      <c r="S3" s="461" t="s">
        <v>282</v>
      </c>
      <c r="T3" s="461" t="s">
        <v>283</v>
      </c>
      <c r="U3" s="461" t="s">
        <v>284</v>
      </c>
      <c r="V3" s="461" t="s">
        <v>285</v>
      </c>
      <c r="W3" s="461" t="s">
        <v>286</v>
      </c>
      <c r="X3" s="461" t="s">
        <v>287</v>
      </c>
      <c r="Y3" s="461" t="s">
        <v>288</v>
      </c>
    </row>
    <row r="4" spans="1:25" ht="11.25" customHeight="1">
      <c r="A4" s="132"/>
      <c r="B4" s="132"/>
      <c r="C4" s="132"/>
      <c r="D4" s="132"/>
      <c r="E4" s="132"/>
      <c r="F4" s="132"/>
      <c r="G4" s="138"/>
      <c r="H4" s="138"/>
      <c r="I4" s="138"/>
      <c r="J4" s="148"/>
      <c r="K4" s="148"/>
      <c r="L4" s="148"/>
      <c r="N4" s="461">
        <v>2016</v>
      </c>
      <c r="O4" s="461">
        <v>1</v>
      </c>
      <c r="P4" s="462">
        <v>1</v>
      </c>
      <c r="Q4" s="463">
        <v>12.12</v>
      </c>
      <c r="R4" s="463">
        <v>8.33</v>
      </c>
      <c r="S4" s="463">
        <v>165.03200000000001</v>
      </c>
      <c r="T4" s="463">
        <v>95.83</v>
      </c>
      <c r="U4" s="463">
        <v>18.5</v>
      </c>
      <c r="V4" s="463">
        <v>10.01</v>
      </c>
      <c r="W4" s="463">
        <v>1.23</v>
      </c>
      <c r="X4" s="463">
        <v>109.19</v>
      </c>
      <c r="Y4" s="463">
        <v>37.270000000000003</v>
      </c>
    </row>
    <row r="5" spans="1:25" ht="11.25" customHeight="1">
      <c r="A5" s="177"/>
      <c r="B5" s="177"/>
      <c r="C5" s="177"/>
      <c r="D5" s="177"/>
      <c r="E5" s="177"/>
      <c r="F5" s="177"/>
      <c r="G5" s="177"/>
      <c r="H5" s="177"/>
      <c r="I5" s="177"/>
      <c r="J5" s="24"/>
      <c r="K5" s="24"/>
      <c r="L5" s="131"/>
      <c r="P5" s="462">
        <v>2</v>
      </c>
      <c r="Q5" s="463">
        <v>10.45</v>
      </c>
      <c r="R5" s="463">
        <v>5.38</v>
      </c>
      <c r="S5" s="463">
        <v>137.04</v>
      </c>
      <c r="T5" s="463">
        <v>78.260000000000005</v>
      </c>
      <c r="U5" s="463">
        <v>13.1</v>
      </c>
      <c r="V5" s="463">
        <v>10</v>
      </c>
      <c r="W5" s="463">
        <v>1.18</v>
      </c>
      <c r="X5" s="463">
        <v>177.91</v>
      </c>
      <c r="Y5" s="463">
        <v>53.34</v>
      </c>
    </row>
    <row r="6" spans="1:25" ht="11.25" customHeight="1">
      <c r="A6" s="132"/>
      <c r="B6" s="327"/>
      <c r="C6" s="328"/>
      <c r="D6" s="329"/>
      <c r="E6" s="329"/>
      <c r="F6" s="178"/>
      <c r="G6" s="179"/>
      <c r="H6" s="179"/>
      <c r="I6" s="180"/>
      <c r="J6" s="24"/>
      <c r="K6" s="24"/>
      <c r="L6" s="19"/>
      <c r="P6" s="462">
        <v>3</v>
      </c>
      <c r="Q6" s="463">
        <v>10.396000000000001</v>
      </c>
      <c r="R6" s="463">
        <v>5.29</v>
      </c>
      <c r="S6" s="463">
        <v>102.45</v>
      </c>
      <c r="T6" s="463">
        <v>101.264</v>
      </c>
      <c r="U6" s="463">
        <v>15.26</v>
      </c>
      <c r="V6" s="463">
        <v>10.01</v>
      </c>
      <c r="W6" s="463">
        <v>1.2529999999999999</v>
      </c>
      <c r="X6" s="463">
        <v>248.28</v>
      </c>
      <c r="Y6" s="463">
        <v>76.69</v>
      </c>
    </row>
    <row r="7" spans="1:25" ht="11.25" customHeight="1">
      <c r="A7" s="132"/>
      <c r="B7" s="181"/>
      <c r="C7" s="181"/>
      <c r="D7" s="182"/>
      <c r="E7" s="182"/>
      <c r="F7" s="178"/>
      <c r="G7" s="179"/>
      <c r="H7" s="179"/>
      <c r="I7" s="180"/>
      <c r="J7" s="25"/>
      <c r="K7" s="25"/>
      <c r="L7" s="22"/>
      <c r="O7" s="461">
        <v>4</v>
      </c>
      <c r="P7" s="462">
        <v>4</v>
      </c>
      <c r="Q7" s="463">
        <v>10.32</v>
      </c>
      <c r="R7" s="463">
        <v>6.0640000000000001</v>
      </c>
      <c r="S7" s="463">
        <v>93.71</v>
      </c>
      <c r="T7" s="463">
        <v>79.73</v>
      </c>
      <c r="U7" s="463">
        <v>12.66</v>
      </c>
      <c r="V7" s="463">
        <v>10.01</v>
      </c>
      <c r="W7" s="463">
        <v>1.22</v>
      </c>
      <c r="X7" s="463">
        <v>142.55000000000001</v>
      </c>
      <c r="Y7" s="463">
        <v>40.92</v>
      </c>
    </row>
    <row r="8" spans="1:25" ht="11.25" customHeight="1">
      <c r="A8" s="132"/>
      <c r="B8" s="183"/>
      <c r="C8" s="132"/>
      <c r="D8" s="157"/>
      <c r="E8" s="157"/>
      <c r="F8" s="178"/>
      <c r="G8" s="179"/>
      <c r="H8" s="179"/>
      <c r="I8" s="180"/>
      <c r="J8" s="23"/>
      <c r="K8" s="23"/>
      <c r="L8" s="24"/>
      <c r="P8" s="462">
        <v>5</v>
      </c>
      <c r="Q8" s="463">
        <v>14.34</v>
      </c>
      <c r="R8" s="463">
        <v>9.59</v>
      </c>
      <c r="S8" s="463">
        <v>142.55000000000001</v>
      </c>
      <c r="T8" s="463">
        <v>128.66</v>
      </c>
      <c r="U8" s="463">
        <v>24.24</v>
      </c>
      <c r="V8" s="463">
        <v>10.01</v>
      </c>
      <c r="W8" s="463">
        <v>1.17</v>
      </c>
      <c r="X8" s="463">
        <v>251.59399999999999</v>
      </c>
      <c r="Y8" s="463">
        <v>58.97</v>
      </c>
    </row>
    <row r="9" spans="1:25" ht="11.25" customHeight="1">
      <c r="A9" s="132"/>
      <c r="B9" s="183"/>
      <c r="C9" s="132"/>
      <c r="D9" s="157"/>
      <c r="E9" s="157"/>
      <c r="F9" s="178"/>
      <c r="G9" s="179"/>
      <c r="H9" s="179"/>
      <c r="I9" s="180"/>
      <c r="J9" s="25"/>
      <c r="K9" s="26"/>
      <c r="L9" s="22"/>
      <c r="P9" s="462">
        <v>6</v>
      </c>
      <c r="Q9" s="463">
        <v>14.98</v>
      </c>
      <c r="R9" s="463">
        <v>12.82</v>
      </c>
      <c r="S9" s="463">
        <v>223.15</v>
      </c>
      <c r="T9" s="463">
        <v>174.87</v>
      </c>
      <c r="U9" s="463">
        <v>35.18</v>
      </c>
      <c r="V9" s="463">
        <v>9.01</v>
      </c>
      <c r="W9" s="463">
        <v>0.82</v>
      </c>
      <c r="X9" s="463">
        <v>388.05428210000002</v>
      </c>
      <c r="Y9" s="463">
        <v>80.41</v>
      </c>
    </row>
    <row r="10" spans="1:25" ht="11.25" customHeight="1">
      <c r="A10" s="132"/>
      <c r="B10" s="183"/>
      <c r="C10" s="132"/>
      <c r="D10" s="157"/>
      <c r="E10" s="157"/>
      <c r="F10" s="178"/>
      <c r="G10" s="179"/>
      <c r="H10" s="179"/>
      <c r="I10" s="180"/>
      <c r="J10" s="25"/>
      <c r="K10" s="25"/>
      <c r="L10" s="22"/>
      <c r="P10" s="462">
        <v>7</v>
      </c>
      <c r="Q10" s="463">
        <v>15.86</v>
      </c>
      <c r="R10" s="463">
        <v>12.43</v>
      </c>
      <c r="S10" s="463">
        <v>223.86</v>
      </c>
      <c r="T10" s="463">
        <v>126.56</v>
      </c>
      <c r="U10" s="463">
        <v>25.04</v>
      </c>
      <c r="V10" s="463">
        <v>9.01</v>
      </c>
      <c r="W10" s="463">
        <v>1.59</v>
      </c>
      <c r="X10" s="463">
        <v>283.21000240000001</v>
      </c>
      <c r="Y10" s="463">
        <v>53.36</v>
      </c>
    </row>
    <row r="11" spans="1:25" ht="11.25" customHeight="1">
      <c r="A11" s="132"/>
      <c r="B11" s="157"/>
      <c r="C11" s="132"/>
      <c r="D11" s="157"/>
      <c r="E11" s="157"/>
      <c r="F11" s="178"/>
      <c r="G11" s="179"/>
      <c r="H11" s="179"/>
      <c r="I11" s="180"/>
      <c r="J11" s="25"/>
      <c r="K11" s="25"/>
      <c r="L11" s="22"/>
      <c r="O11" s="461">
        <v>8</v>
      </c>
      <c r="P11" s="462">
        <v>8</v>
      </c>
      <c r="Q11" s="463">
        <v>22.12</v>
      </c>
      <c r="R11" s="463">
        <v>19.3</v>
      </c>
      <c r="S11" s="463">
        <v>297.45999999999998</v>
      </c>
      <c r="T11" s="463">
        <v>188.83</v>
      </c>
      <c r="U11" s="463">
        <v>26.72</v>
      </c>
      <c r="V11" s="463">
        <v>18.309999999999999</v>
      </c>
      <c r="W11" s="463">
        <v>14.62</v>
      </c>
      <c r="X11" s="463">
        <v>414.29357470000002</v>
      </c>
      <c r="Y11" s="463">
        <v>65.55</v>
      </c>
    </row>
    <row r="12" spans="1:25" ht="11.25" customHeight="1">
      <c r="A12" s="132"/>
      <c r="B12" s="157"/>
      <c r="C12" s="132"/>
      <c r="D12" s="157"/>
      <c r="E12" s="157"/>
      <c r="F12" s="178"/>
      <c r="G12" s="179"/>
      <c r="H12" s="179"/>
      <c r="I12" s="180"/>
      <c r="J12" s="25"/>
      <c r="K12" s="25"/>
      <c r="L12" s="22"/>
      <c r="P12" s="462">
        <v>9</v>
      </c>
      <c r="Q12" s="463">
        <v>31.986428669999999</v>
      </c>
      <c r="R12" s="463">
        <v>19.514333090000001</v>
      </c>
      <c r="S12" s="463">
        <v>326.48699649999998</v>
      </c>
      <c r="T12" s="463">
        <v>170.33500290000001</v>
      </c>
      <c r="U12" s="463">
        <v>30.940000529999999</v>
      </c>
      <c r="V12" s="463">
        <v>16.54985727582655</v>
      </c>
      <c r="W12" s="463">
        <v>7.4597144130000004</v>
      </c>
      <c r="X12" s="463">
        <v>382.60643219999997</v>
      </c>
      <c r="Y12" s="463">
        <v>72.96314185</v>
      </c>
    </row>
    <row r="13" spans="1:25" ht="11.25" customHeight="1">
      <c r="A13" s="132"/>
      <c r="B13" s="157"/>
      <c r="C13" s="132"/>
      <c r="D13" s="157"/>
      <c r="E13" s="157"/>
      <c r="F13" s="178"/>
      <c r="G13" s="179"/>
      <c r="H13" s="179"/>
      <c r="I13" s="180"/>
      <c r="J13" s="23"/>
      <c r="K13" s="23"/>
      <c r="L13" s="24"/>
      <c r="P13" s="462">
        <v>10</v>
      </c>
      <c r="Q13" s="463">
        <v>21.817856924874398</v>
      </c>
      <c r="R13" s="463">
        <v>20.1870002746582</v>
      </c>
      <c r="S13" s="463">
        <v>281.91442869999997</v>
      </c>
      <c r="T13" s="463">
        <v>164.05856977190246</v>
      </c>
      <c r="U13" s="463">
        <v>30.751428604125927</v>
      </c>
      <c r="V13" s="463">
        <v>9.5257144655499921</v>
      </c>
      <c r="W13" s="463">
        <v>2.1815714495522598</v>
      </c>
      <c r="X13" s="463">
        <v>245.78571646554084</v>
      </c>
      <c r="Y13" s="463">
        <v>47.002858298165428</v>
      </c>
    </row>
    <row r="14" spans="1:25" ht="11.25" customHeight="1">
      <c r="A14" s="132"/>
      <c r="B14" s="157"/>
      <c r="C14" s="132"/>
      <c r="D14" s="157"/>
      <c r="E14" s="157"/>
      <c r="F14" s="178"/>
      <c r="G14" s="179"/>
      <c r="H14" s="179"/>
      <c r="I14" s="180"/>
      <c r="J14" s="25"/>
      <c r="K14" s="26"/>
      <c r="L14" s="22"/>
      <c r="P14" s="462">
        <v>11</v>
      </c>
      <c r="Q14" s="463">
        <v>21.645000185285259</v>
      </c>
      <c r="R14" s="463">
        <v>18.452999932425314</v>
      </c>
      <c r="S14" s="463">
        <v>302.97000000000003</v>
      </c>
      <c r="T14" s="463">
        <v>146.11571393694155</v>
      </c>
      <c r="U14" s="463">
        <v>26.230000359671411</v>
      </c>
      <c r="V14" s="463">
        <v>10.001428604125973</v>
      </c>
      <c r="W14" s="463">
        <v>1.7041428429739771</v>
      </c>
      <c r="X14" s="463">
        <v>239.62</v>
      </c>
      <c r="Y14" s="463">
        <v>42.29</v>
      </c>
    </row>
    <row r="15" spans="1:25" ht="11.25" customHeight="1">
      <c r="A15" s="132"/>
      <c r="B15" s="157"/>
      <c r="C15" s="132"/>
      <c r="D15" s="157"/>
      <c r="E15" s="157"/>
      <c r="F15" s="178"/>
      <c r="G15" s="179"/>
      <c r="H15" s="179"/>
      <c r="I15" s="180"/>
      <c r="J15" s="25"/>
      <c r="K15" s="26"/>
      <c r="L15" s="22"/>
      <c r="O15" s="461">
        <v>12</v>
      </c>
      <c r="P15" s="462">
        <v>12</v>
      </c>
      <c r="Q15" s="463">
        <v>15.247000013078916</v>
      </c>
      <c r="R15" s="463">
        <v>12.7100000381469</v>
      </c>
      <c r="S15" s="463">
        <v>179.33771623883899</v>
      </c>
      <c r="T15" s="463">
        <v>114.18428584507485</v>
      </c>
      <c r="U15" s="463">
        <v>18.61999988555905</v>
      </c>
      <c r="V15" s="463">
        <v>9.9999999999999964</v>
      </c>
      <c r="W15" s="463">
        <v>1.2444285835538544</v>
      </c>
      <c r="X15" s="463">
        <v>150.27357046944684</v>
      </c>
      <c r="Y15" s="463">
        <v>24.915714263915959</v>
      </c>
    </row>
    <row r="16" spans="1:25" ht="11.25" customHeight="1">
      <c r="A16" s="132"/>
      <c r="B16" s="157"/>
      <c r="C16" s="132"/>
      <c r="D16" s="157"/>
      <c r="E16" s="157"/>
      <c r="F16" s="178"/>
      <c r="G16" s="179"/>
      <c r="H16" s="179"/>
      <c r="I16" s="180"/>
      <c r="J16" s="25"/>
      <c r="K16" s="26"/>
      <c r="L16" s="22"/>
      <c r="P16" s="462">
        <v>13</v>
      </c>
      <c r="Q16" s="463">
        <v>17.322999954223601</v>
      </c>
      <c r="R16" s="463">
        <v>15.171999931335399</v>
      </c>
      <c r="S16" s="463">
        <v>130.67500305175699</v>
      </c>
      <c r="T16" s="463">
        <v>89.040000915527301</v>
      </c>
      <c r="U16" s="463">
        <v>15.310000419616699</v>
      </c>
      <c r="V16" s="463">
        <v>10</v>
      </c>
      <c r="W16" s="463">
        <v>1.0199999809265099</v>
      </c>
      <c r="X16" s="463">
        <v>116.33999633789</v>
      </c>
      <c r="Y16" s="463">
        <v>24.159999847412099</v>
      </c>
    </row>
    <row r="17" spans="1:25" ht="11.25" customHeight="1">
      <c r="A17" s="132"/>
      <c r="B17" s="157"/>
      <c r="C17" s="132"/>
      <c r="D17" s="157"/>
      <c r="E17" s="157"/>
      <c r="F17" s="178"/>
      <c r="G17" s="179"/>
      <c r="H17" s="179"/>
      <c r="I17" s="180"/>
      <c r="J17" s="25"/>
      <c r="K17" s="26"/>
      <c r="L17" s="22"/>
      <c r="P17" s="462">
        <v>14</v>
      </c>
      <c r="Q17" s="463">
        <v>14.828142711094401</v>
      </c>
      <c r="R17" s="463">
        <v>13.217000007629398</v>
      </c>
      <c r="S17" s="463">
        <v>121.81457192557171</v>
      </c>
      <c r="T17" s="463">
        <v>78.037142072405103</v>
      </c>
      <c r="U17" s="463">
        <v>14.082857131957956</v>
      </c>
      <c r="V17" s="463">
        <v>10.001428604125973</v>
      </c>
      <c r="W17" s="463">
        <v>1.3691428899764975</v>
      </c>
      <c r="X17" s="463">
        <v>126.18428475516127</v>
      </c>
      <c r="Y17" s="463">
        <v>22.646999904087572</v>
      </c>
    </row>
    <row r="18" spans="1:25" ht="11.25" customHeight="1">
      <c r="A18" s="955" t="s">
        <v>525</v>
      </c>
      <c r="B18" s="955"/>
      <c r="C18" s="955"/>
      <c r="D18" s="955"/>
      <c r="E18" s="955"/>
      <c r="F18" s="955"/>
      <c r="G18" s="955"/>
      <c r="H18" s="955"/>
      <c r="I18" s="955"/>
      <c r="J18" s="955"/>
      <c r="K18" s="955"/>
      <c r="L18" s="955"/>
      <c r="P18" s="462">
        <v>15</v>
      </c>
      <c r="Q18" s="463">
        <v>15.017142977033298</v>
      </c>
      <c r="R18" s="463">
        <v>11.291000366210898</v>
      </c>
      <c r="S18" s="463">
        <v>184.69442967006074</v>
      </c>
      <c r="T18" s="463">
        <v>74.048570905412902</v>
      </c>
      <c r="U18" s="463">
        <v>17.312857082911869</v>
      </c>
      <c r="V18" s="463">
        <v>10.005714416503881</v>
      </c>
      <c r="W18" s="463">
        <v>1.6558571543012313</v>
      </c>
      <c r="X18" s="463">
        <v>140.54571315220355</v>
      </c>
      <c r="Y18" s="463">
        <v>22.742571422031897</v>
      </c>
    </row>
    <row r="19" spans="1:25" ht="11.25" customHeight="1">
      <c r="A19" s="25"/>
      <c r="B19" s="157"/>
      <c r="C19" s="132"/>
      <c r="D19" s="157"/>
      <c r="E19" s="157"/>
      <c r="F19" s="178"/>
      <c r="G19" s="179"/>
      <c r="H19" s="179"/>
      <c r="I19" s="180"/>
      <c r="J19" s="25"/>
      <c r="K19" s="26"/>
      <c r="L19" s="22"/>
      <c r="O19" s="461">
        <v>16</v>
      </c>
      <c r="P19" s="462">
        <v>16</v>
      </c>
      <c r="Q19" s="463">
        <v>13.98</v>
      </c>
      <c r="R19" s="463">
        <v>11.63</v>
      </c>
      <c r="S19" s="463">
        <v>164.52</v>
      </c>
      <c r="T19" s="463">
        <v>81.069999999999993</v>
      </c>
      <c r="U19" s="463">
        <v>21.07</v>
      </c>
      <c r="V19" s="463">
        <v>10.01</v>
      </c>
      <c r="W19" s="463">
        <v>1.27</v>
      </c>
      <c r="X19" s="463">
        <v>141.29</v>
      </c>
      <c r="Y19" s="463">
        <v>23.21</v>
      </c>
    </row>
    <row r="20" spans="1:25" ht="11.25" customHeight="1">
      <c r="A20" s="132"/>
      <c r="B20" s="157"/>
      <c r="C20" s="132"/>
      <c r="D20" s="157"/>
      <c r="E20" s="157"/>
      <c r="F20" s="178"/>
      <c r="G20" s="179"/>
      <c r="H20" s="179"/>
      <c r="I20" s="180"/>
      <c r="J20" s="25"/>
      <c r="K20" s="26"/>
      <c r="L20" s="22"/>
      <c r="P20" s="462">
        <v>17</v>
      </c>
      <c r="Q20" s="463">
        <v>12.944285669999999</v>
      </c>
      <c r="R20" s="463">
        <v>10.010000228881799</v>
      </c>
      <c r="S20" s="463">
        <v>152.88357325962556</v>
      </c>
      <c r="T20" s="463">
        <v>64.311428070000005</v>
      </c>
      <c r="U20" s="463">
        <v>16.638571469999999</v>
      </c>
      <c r="V20" s="463">
        <v>10.004285812377887</v>
      </c>
      <c r="W20" s="463">
        <v>1.7342857122421229</v>
      </c>
      <c r="X20" s="463">
        <v>105.73500061035119</v>
      </c>
      <c r="Y20" s="463">
        <v>19.724285806928286</v>
      </c>
    </row>
    <row r="21" spans="1:25" ht="11.25" customHeight="1">
      <c r="A21" s="132"/>
      <c r="B21" s="157"/>
      <c r="C21" s="132"/>
      <c r="D21" s="157"/>
      <c r="E21" s="157"/>
      <c r="F21" s="178"/>
      <c r="G21" s="179"/>
      <c r="H21" s="179"/>
      <c r="I21" s="180"/>
      <c r="J21" s="25"/>
      <c r="K21" s="29"/>
      <c r="L21" s="30"/>
      <c r="P21" s="462">
        <v>18</v>
      </c>
      <c r="Q21" s="463">
        <v>10.727142742701899</v>
      </c>
      <c r="R21" s="463">
        <v>6.3112858363560251</v>
      </c>
      <c r="S21" s="463">
        <v>98.225285121372636</v>
      </c>
      <c r="T21" s="463">
        <v>46.242857796805197</v>
      </c>
      <c r="U21" s="463">
        <v>10.637142998831566</v>
      </c>
      <c r="V21" s="463">
        <v>10.007143020629858</v>
      </c>
      <c r="W21" s="463">
        <v>1.4345714194433998</v>
      </c>
      <c r="X21" s="463">
        <v>72.620000566754968</v>
      </c>
      <c r="Y21" s="463">
        <v>14.075714383806471</v>
      </c>
    </row>
    <row r="22" spans="1:25" ht="11.25" customHeight="1">
      <c r="A22" s="137"/>
      <c r="B22" s="157"/>
      <c r="C22" s="132"/>
      <c r="D22" s="157"/>
      <c r="E22" s="157"/>
      <c r="F22" s="178"/>
      <c r="G22" s="179"/>
      <c r="H22" s="179"/>
      <c r="I22" s="180"/>
      <c r="J22" s="25"/>
      <c r="K22" s="26"/>
      <c r="L22" s="22"/>
      <c r="P22" s="462">
        <v>19</v>
      </c>
      <c r="Q22" s="463">
        <v>9.4342857088361427</v>
      </c>
      <c r="R22" s="463">
        <v>7.4910001754760689</v>
      </c>
      <c r="S22" s="463">
        <v>86.615142822265582</v>
      </c>
      <c r="T22" s="463">
        <v>41.954286302838973</v>
      </c>
      <c r="U22" s="463">
        <v>9.4342857088361427</v>
      </c>
      <c r="V22" s="463">
        <v>10.004285812377914</v>
      </c>
      <c r="W22" s="463">
        <v>1.3051428794860784</v>
      </c>
      <c r="X22" s="463">
        <v>60.497857775006928</v>
      </c>
      <c r="Y22" s="463">
        <v>12.797142846243686</v>
      </c>
    </row>
    <row r="23" spans="1:25" ht="11.25" customHeight="1">
      <c r="A23" s="137"/>
      <c r="B23" s="157"/>
      <c r="C23" s="132"/>
      <c r="D23" s="157"/>
      <c r="E23" s="157"/>
      <c r="F23" s="178"/>
      <c r="G23" s="179"/>
      <c r="H23" s="179"/>
      <c r="I23" s="180"/>
      <c r="J23" s="25"/>
      <c r="K23" s="26"/>
      <c r="L23" s="22"/>
      <c r="O23" s="461">
        <v>20</v>
      </c>
      <c r="P23" s="462">
        <v>20</v>
      </c>
      <c r="Q23" s="463">
        <v>9.1999999999999993</v>
      </c>
      <c r="R23" s="463">
        <v>6.8</v>
      </c>
      <c r="S23" s="463">
        <v>78.2</v>
      </c>
      <c r="T23" s="463">
        <v>39.6</v>
      </c>
      <c r="U23" s="463">
        <v>8.6</v>
      </c>
      <c r="V23" s="463">
        <v>10</v>
      </c>
      <c r="W23" s="463">
        <v>1.6</v>
      </c>
      <c r="X23" s="463">
        <v>56.6</v>
      </c>
      <c r="Y23" s="463">
        <v>12.9</v>
      </c>
    </row>
    <row r="24" spans="1:25" ht="11.25" customHeight="1">
      <c r="A24" s="137"/>
      <c r="B24" s="157"/>
      <c r="C24" s="132"/>
      <c r="D24" s="157"/>
      <c r="E24" s="157"/>
      <c r="F24" s="178"/>
      <c r="G24" s="179"/>
      <c r="H24" s="179"/>
      <c r="I24" s="180"/>
      <c r="J24" s="26"/>
      <c r="K24" s="26"/>
      <c r="L24" s="22"/>
      <c r="P24" s="462">
        <v>21</v>
      </c>
      <c r="Q24" s="463">
        <v>9.0128573008945967</v>
      </c>
      <c r="R24" s="463">
        <v>5.4099998474121005</v>
      </c>
      <c r="S24" s="463">
        <v>73.744141714913454</v>
      </c>
      <c r="T24" s="463">
        <v>44.79285812377924</v>
      </c>
      <c r="U24" s="463">
        <v>10.11999988555907</v>
      </c>
      <c r="V24" s="463">
        <v>10.011428560529414</v>
      </c>
      <c r="W24" s="463">
        <v>1.2349999972752113</v>
      </c>
      <c r="X24" s="463">
        <v>52.17071369716097</v>
      </c>
      <c r="Y24" s="463">
        <v>11.968571390424414</v>
      </c>
    </row>
    <row r="25" spans="1:25" ht="11.25" customHeight="1">
      <c r="A25" s="137"/>
      <c r="B25" s="157"/>
      <c r="C25" s="132"/>
      <c r="D25" s="157"/>
      <c r="E25" s="157"/>
      <c r="F25" s="178"/>
      <c r="G25" s="179"/>
      <c r="H25" s="179"/>
      <c r="I25" s="180"/>
      <c r="J25" s="25"/>
      <c r="K25" s="29"/>
      <c r="L25" s="30"/>
      <c r="P25" s="462">
        <v>22</v>
      </c>
      <c r="Q25" s="463">
        <v>7.95</v>
      </c>
      <c r="R25" s="463">
        <v>3.82</v>
      </c>
      <c r="S25" s="463">
        <v>66.739999999999995</v>
      </c>
      <c r="T25" s="463">
        <v>34.01</v>
      </c>
      <c r="U25" s="463">
        <v>8.15</v>
      </c>
      <c r="V25" s="463">
        <v>10.02</v>
      </c>
      <c r="W25" s="463">
        <v>1.52</v>
      </c>
      <c r="X25" s="463">
        <v>46.88</v>
      </c>
      <c r="Y25" s="463">
        <v>9.89</v>
      </c>
    </row>
    <row r="26" spans="1:25" ht="11.25" customHeight="1">
      <c r="A26" s="137"/>
      <c r="B26" s="157"/>
      <c r="C26" s="132"/>
      <c r="D26" s="157"/>
      <c r="E26" s="157"/>
      <c r="F26" s="138"/>
      <c r="G26" s="138"/>
      <c r="H26" s="138"/>
      <c r="I26" s="138"/>
      <c r="J26" s="23"/>
      <c r="K26" s="26"/>
      <c r="L26" s="22"/>
      <c r="P26" s="462">
        <v>23</v>
      </c>
      <c r="Q26" s="463">
        <v>7.6</v>
      </c>
      <c r="R26" s="463">
        <v>3.22</v>
      </c>
      <c r="S26" s="463">
        <v>59.4</v>
      </c>
      <c r="T26" s="463">
        <v>28.71</v>
      </c>
      <c r="U26" s="463">
        <v>7.74</v>
      </c>
      <c r="V26" s="463">
        <v>10</v>
      </c>
      <c r="W26" s="463">
        <v>1.55</v>
      </c>
      <c r="X26" s="463">
        <v>43.39</v>
      </c>
      <c r="Y26" s="463">
        <v>8.57</v>
      </c>
    </row>
    <row r="27" spans="1:25" ht="11.25" customHeight="1">
      <c r="A27" s="137"/>
      <c r="B27" s="157"/>
      <c r="C27" s="132"/>
      <c r="D27" s="157"/>
      <c r="E27" s="157"/>
      <c r="F27" s="138"/>
      <c r="G27" s="138"/>
      <c r="H27" s="138"/>
      <c r="I27" s="138"/>
      <c r="J27" s="23"/>
      <c r="K27" s="26"/>
      <c r="L27" s="22"/>
      <c r="O27" s="461">
        <v>24</v>
      </c>
      <c r="P27" s="462">
        <v>24</v>
      </c>
      <c r="Q27" s="463">
        <v>9.57</v>
      </c>
      <c r="R27" s="463">
        <v>3.42</v>
      </c>
      <c r="S27" s="463">
        <v>54.3</v>
      </c>
      <c r="T27" s="463">
        <v>30.83</v>
      </c>
      <c r="U27" s="463">
        <v>7.53</v>
      </c>
      <c r="V27" s="463">
        <v>10</v>
      </c>
      <c r="W27" s="463">
        <v>1.6</v>
      </c>
      <c r="X27" s="463">
        <v>40.28</v>
      </c>
      <c r="Y27" s="463">
        <v>9.6</v>
      </c>
    </row>
    <row r="28" spans="1:25" ht="11.25" customHeight="1">
      <c r="A28" s="136"/>
      <c r="B28" s="138"/>
      <c r="C28" s="138"/>
      <c r="D28" s="138"/>
      <c r="E28" s="138"/>
      <c r="F28" s="138"/>
      <c r="G28" s="138"/>
      <c r="H28" s="138"/>
      <c r="I28" s="138"/>
      <c r="J28" s="25"/>
      <c r="K28" s="26"/>
      <c r="L28" s="22"/>
      <c r="P28" s="462">
        <v>25</v>
      </c>
      <c r="Q28" s="463">
        <v>9.0548571179999993</v>
      </c>
      <c r="R28" s="463">
        <v>3.2130000590000001</v>
      </c>
      <c r="S28" s="463">
        <v>56.674428669999998</v>
      </c>
      <c r="T28" s="463">
        <v>25.690000260000001</v>
      </c>
      <c r="U28" s="463">
        <v>6.9342856409999998</v>
      </c>
      <c r="V28" s="463">
        <v>10.00571442</v>
      </c>
      <c r="W28" s="463">
        <v>1.254714302</v>
      </c>
      <c r="X28" s="463">
        <v>37.560714179999998</v>
      </c>
      <c r="Y28" s="463">
        <v>7.91285726</v>
      </c>
    </row>
    <row r="29" spans="1:25" ht="11.25" customHeight="1">
      <c r="A29" s="136"/>
      <c r="B29" s="138"/>
      <c r="C29" s="138"/>
      <c r="D29" s="138"/>
      <c r="E29" s="138"/>
      <c r="F29" s="138"/>
      <c r="G29" s="138"/>
      <c r="H29" s="138"/>
      <c r="I29" s="138"/>
      <c r="J29" s="25"/>
      <c r="K29" s="26"/>
      <c r="L29" s="22"/>
      <c r="P29" s="462">
        <v>26</v>
      </c>
      <c r="Q29" s="463">
        <v>8.8612857550000008</v>
      </c>
      <c r="R29" s="463">
        <v>3.5</v>
      </c>
      <c r="S29" s="463">
        <v>68.087428501674069</v>
      </c>
      <c r="T29" s="463">
        <v>30.317143300000001</v>
      </c>
      <c r="U29" s="463">
        <v>8.8971428190000008</v>
      </c>
      <c r="V29" s="463">
        <v>10</v>
      </c>
      <c r="W29" s="463">
        <v>1.4324285809999999</v>
      </c>
      <c r="X29" s="463">
        <v>37.759999409999999</v>
      </c>
      <c r="Y29" s="463">
        <v>8.911428656</v>
      </c>
    </row>
    <row r="30" spans="1:25" ht="11.25" customHeight="1">
      <c r="A30" s="136"/>
      <c r="B30" s="138"/>
      <c r="C30" s="138"/>
      <c r="D30" s="138"/>
      <c r="E30" s="138"/>
      <c r="F30" s="138"/>
      <c r="G30" s="138"/>
      <c r="H30" s="138"/>
      <c r="I30" s="138"/>
      <c r="J30" s="25"/>
      <c r="K30" s="26"/>
      <c r="L30" s="22"/>
      <c r="P30" s="462">
        <v>27</v>
      </c>
      <c r="Q30" s="463">
        <v>8.3185714990000008</v>
      </c>
      <c r="R30" s="463">
        <v>4.0900001530000001</v>
      </c>
      <c r="S30" s="463">
        <v>60.110428400000004</v>
      </c>
      <c r="T30" s="463">
        <v>28.581429350000001</v>
      </c>
      <c r="U30" s="463">
        <v>7.9442856649999998</v>
      </c>
      <c r="V30" s="463">
        <v>10.001428600000001</v>
      </c>
      <c r="W30" s="463">
        <v>1.455999987</v>
      </c>
      <c r="X30" s="463">
        <v>35.967143470000003</v>
      </c>
      <c r="Y30" s="463">
        <v>7.2057142259999996</v>
      </c>
    </row>
    <row r="31" spans="1:25" ht="11.25" customHeight="1">
      <c r="A31" s="136"/>
      <c r="B31" s="138"/>
      <c r="C31" s="138"/>
      <c r="D31" s="138"/>
      <c r="E31" s="138"/>
      <c r="F31" s="138"/>
      <c r="G31" s="138"/>
      <c r="H31" s="138"/>
      <c r="I31" s="138"/>
      <c r="J31" s="25"/>
      <c r="K31" s="26"/>
      <c r="L31" s="22"/>
      <c r="O31" s="461">
        <v>28</v>
      </c>
      <c r="P31" s="462">
        <v>28</v>
      </c>
      <c r="Q31" s="463">
        <v>7.789714268</v>
      </c>
      <c r="R31" s="463">
        <v>3.119999886</v>
      </c>
      <c r="S31" s="463">
        <v>60.986856189999997</v>
      </c>
      <c r="T31" s="463">
        <v>27.099999836512943</v>
      </c>
      <c r="U31" s="463">
        <v>7.4514284819999999</v>
      </c>
      <c r="V31" s="463">
        <v>10.0128573</v>
      </c>
      <c r="W31" s="463">
        <v>1.5508571609999999</v>
      </c>
      <c r="X31" s="463">
        <v>47.66357095</v>
      </c>
      <c r="Y31" s="463">
        <v>9.9999998639999994</v>
      </c>
    </row>
    <row r="32" spans="1:25" ht="11.25" customHeight="1">
      <c r="A32" s="136"/>
      <c r="B32" s="138"/>
      <c r="C32" s="138"/>
      <c r="D32" s="138"/>
      <c r="E32" s="138"/>
      <c r="F32" s="138"/>
      <c r="G32" s="138"/>
      <c r="H32" s="138"/>
      <c r="I32" s="138"/>
      <c r="J32" s="26"/>
      <c r="K32" s="26"/>
      <c r="L32" s="22"/>
      <c r="P32" s="462">
        <v>29</v>
      </c>
      <c r="Q32" s="463">
        <v>7.1615714349999999</v>
      </c>
      <c r="R32" s="463">
        <v>3.4249999519999998</v>
      </c>
      <c r="S32" s="463">
        <v>56.540714260000001</v>
      </c>
      <c r="T32" s="463">
        <v>23.477142610000001</v>
      </c>
      <c r="U32" s="463">
        <v>6.2828570089999998</v>
      </c>
      <c r="V32" s="463">
        <v>10.001428600000001</v>
      </c>
      <c r="W32" s="463">
        <v>2.1035714489999999</v>
      </c>
      <c r="X32" s="463">
        <v>44.25</v>
      </c>
      <c r="Y32" s="463">
        <v>6.7128572460000004</v>
      </c>
    </row>
    <row r="33" spans="1:25" ht="11.25" customHeight="1">
      <c r="A33" s="136"/>
      <c r="B33" s="138"/>
      <c r="C33" s="138"/>
      <c r="D33" s="138"/>
      <c r="E33" s="138"/>
      <c r="F33" s="138"/>
      <c r="G33" s="138"/>
      <c r="H33" s="138"/>
      <c r="I33" s="138"/>
      <c r="J33" s="25"/>
      <c r="K33" s="26"/>
      <c r="L33" s="22"/>
      <c r="P33" s="462">
        <v>30</v>
      </c>
      <c r="Q33" s="463">
        <v>6.6714285440000003</v>
      </c>
      <c r="R33" s="463">
        <v>2.8789999489999998</v>
      </c>
      <c r="S33" s="463">
        <v>65.491856709999993</v>
      </c>
      <c r="T33" s="463">
        <v>21.095714300000001</v>
      </c>
      <c r="U33" s="463">
        <v>5.8057142669999999</v>
      </c>
      <c r="V33" s="463">
        <v>10.01142883</v>
      </c>
      <c r="W33" s="463">
        <v>1.8491428750000001</v>
      </c>
      <c r="X33" s="463">
        <v>42.498571668352326</v>
      </c>
      <c r="Y33" s="463">
        <v>6.0797142300000004</v>
      </c>
    </row>
    <row r="34" spans="1:25" ht="11.25" customHeight="1">
      <c r="A34" s="136"/>
      <c r="B34" s="138"/>
      <c r="C34" s="138"/>
      <c r="D34" s="138"/>
      <c r="E34" s="138"/>
      <c r="F34" s="138"/>
      <c r="G34" s="138"/>
      <c r="H34" s="138"/>
      <c r="I34" s="138"/>
      <c r="J34" s="25"/>
      <c r="K34" s="34"/>
      <c r="L34" s="22"/>
      <c r="P34" s="462">
        <v>31</v>
      </c>
      <c r="Q34" s="463">
        <v>6.2387143543788328</v>
      </c>
      <c r="R34" s="463">
        <v>2.9382856232779297</v>
      </c>
      <c r="S34" s="463">
        <v>65.491856711251344</v>
      </c>
      <c r="T34" s="463">
        <v>20.037142889840243</v>
      </c>
      <c r="U34" s="463">
        <v>5.4814286231994549</v>
      </c>
      <c r="V34" s="463">
        <v>10.011428833007772</v>
      </c>
      <c r="W34" s="463">
        <v>1.8019999946866672</v>
      </c>
      <c r="X34" s="463">
        <v>39.98428617204933</v>
      </c>
      <c r="Y34" s="463">
        <v>4.9059999329703157</v>
      </c>
    </row>
    <row r="35" spans="1:25" ht="11.25" customHeight="1">
      <c r="A35" s="136"/>
      <c r="B35" s="138"/>
      <c r="C35" s="138"/>
      <c r="D35" s="138"/>
      <c r="E35" s="138"/>
      <c r="F35" s="138"/>
      <c r="G35" s="138"/>
      <c r="H35" s="138"/>
      <c r="I35" s="138"/>
      <c r="J35" s="25"/>
      <c r="K35" s="34"/>
      <c r="L35" s="38"/>
      <c r="O35" s="461">
        <v>32</v>
      </c>
      <c r="P35" s="462">
        <v>32</v>
      </c>
      <c r="Q35" s="463">
        <v>6.1697142459999998</v>
      </c>
      <c r="R35" s="463">
        <v>3.2030000689999998</v>
      </c>
      <c r="S35" s="463">
        <v>49.942714418571427</v>
      </c>
      <c r="T35" s="463">
        <v>23.275714059999999</v>
      </c>
      <c r="U35" s="463">
        <v>5.8257142479999997</v>
      </c>
      <c r="V35" s="463">
        <v>10.004285810000001</v>
      </c>
      <c r="W35" s="463">
        <v>1.2214285650000001</v>
      </c>
      <c r="X35" s="463">
        <v>36.654999320000002</v>
      </c>
      <c r="Y35" s="463">
        <v>4.0242800000000001</v>
      </c>
    </row>
    <row r="36" spans="1:25" ht="11.25" customHeight="1">
      <c r="A36" s="136"/>
      <c r="B36" s="138"/>
      <c r="C36" s="138"/>
      <c r="D36" s="138"/>
      <c r="E36" s="138"/>
      <c r="F36" s="138"/>
      <c r="G36" s="138"/>
      <c r="H36" s="138"/>
      <c r="I36" s="138"/>
      <c r="J36" s="25"/>
      <c r="K36" s="29"/>
      <c r="L36" s="22"/>
      <c r="P36" s="462">
        <v>33</v>
      </c>
      <c r="Q36" s="463">
        <v>6.3728570940000004</v>
      </c>
      <c r="R36" s="463">
        <v>2.841857144</v>
      </c>
      <c r="S36" s="463">
        <v>57.183571406773112</v>
      </c>
      <c r="T36" s="463">
        <v>22.619999750000002</v>
      </c>
      <c r="U36" s="463">
        <v>5.5228571210000004</v>
      </c>
      <c r="V36" s="463">
        <v>10</v>
      </c>
      <c r="W36" s="463">
        <v>1.3032857349940685</v>
      </c>
      <c r="X36" s="463">
        <v>35.152857099999999</v>
      </c>
      <c r="Y36" s="463">
        <v>4.354285752</v>
      </c>
    </row>
    <row r="37" spans="1:25" ht="11.25" customHeight="1">
      <c r="A37" s="136"/>
      <c r="B37" s="138"/>
      <c r="C37" s="138"/>
      <c r="D37" s="138"/>
      <c r="E37" s="138"/>
      <c r="F37" s="138"/>
      <c r="G37" s="138"/>
      <c r="H37" s="138"/>
      <c r="I37" s="138"/>
      <c r="J37" s="25"/>
      <c r="K37" s="29"/>
      <c r="L37" s="22"/>
      <c r="P37" s="462">
        <v>34</v>
      </c>
      <c r="Q37" s="463">
        <v>6.1195714130000001</v>
      </c>
      <c r="R37" s="463">
        <v>3.058000088</v>
      </c>
      <c r="S37" s="463">
        <v>49.366142269999997</v>
      </c>
      <c r="T37" s="463">
        <v>25.04757145</v>
      </c>
      <c r="U37" s="463">
        <v>5.8727143149999996</v>
      </c>
      <c r="V37" s="463">
        <v>10.00857162</v>
      </c>
      <c r="W37" s="463">
        <v>1.2842857160000001</v>
      </c>
      <c r="X37" s="463">
        <v>34.115715029999997</v>
      </c>
      <c r="Y37" s="463">
        <v>4.3511429509999999</v>
      </c>
    </row>
    <row r="38" spans="1:25" ht="11.25" customHeight="1">
      <c r="A38" s="136"/>
      <c r="B38" s="138"/>
      <c r="C38" s="138"/>
      <c r="D38" s="138"/>
      <c r="E38" s="138"/>
      <c r="F38" s="138"/>
      <c r="G38" s="138"/>
      <c r="H38" s="138"/>
      <c r="I38" s="138"/>
      <c r="J38" s="25"/>
      <c r="K38" s="29"/>
      <c r="L38" s="22"/>
      <c r="P38" s="462">
        <v>35</v>
      </c>
      <c r="Q38" s="463">
        <v>5.9814286230000002</v>
      </c>
      <c r="R38" s="463">
        <v>1.506999969</v>
      </c>
      <c r="S38" s="463">
        <v>56.934856959999998</v>
      </c>
      <c r="T38" s="463">
        <v>21.374285830000002</v>
      </c>
      <c r="U38" s="463">
        <v>4.9342857090000001</v>
      </c>
      <c r="V38" s="463">
        <v>10.28714289</v>
      </c>
      <c r="W38" s="463">
        <v>1.5979999810000001</v>
      </c>
      <c r="X38" s="463">
        <v>30.92</v>
      </c>
      <c r="Y38" s="463">
        <v>5.3042856629999999</v>
      </c>
    </row>
    <row r="39" spans="1:25" ht="11.25" customHeight="1">
      <c r="O39" s="461">
        <v>36</v>
      </c>
      <c r="P39" s="462">
        <v>36</v>
      </c>
      <c r="Q39" s="463">
        <v>6.03</v>
      </c>
      <c r="R39" s="463">
        <v>2.8</v>
      </c>
      <c r="S39" s="463">
        <v>48.51</v>
      </c>
      <c r="T39" s="463">
        <v>22.661428449999999</v>
      </c>
      <c r="U39" s="463">
        <v>4.9800000000000004</v>
      </c>
      <c r="V39" s="463">
        <v>11.01</v>
      </c>
      <c r="W39" s="463">
        <v>1.63</v>
      </c>
      <c r="X39" s="463">
        <v>30.922143120000001</v>
      </c>
      <c r="Y39" s="463">
        <v>7.46</v>
      </c>
    </row>
    <row r="40" spans="1:25" ht="11.25" customHeight="1">
      <c r="A40" s="955" t="s">
        <v>526</v>
      </c>
      <c r="B40" s="955"/>
      <c r="C40" s="955"/>
      <c r="D40" s="955"/>
      <c r="E40" s="955"/>
      <c r="F40" s="955"/>
      <c r="G40" s="955"/>
      <c r="H40" s="955"/>
      <c r="I40" s="955"/>
      <c r="J40" s="955"/>
      <c r="K40" s="955"/>
      <c r="L40" s="955"/>
      <c r="P40" s="462">
        <v>37</v>
      </c>
      <c r="Q40" s="463">
        <v>6.03</v>
      </c>
      <c r="R40" s="463">
        <v>2.37</v>
      </c>
      <c r="S40" s="463">
        <v>43.99</v>
      </c>
      <c r="T40" s="463">
        <v>19.149999999999999</v>
      </c>
      <c r="U40" s="463">
        <v>5.31</v>
      </c>
      <c r="V40" s="463">
        <v>11</v>
      </c>
      <c r="W40" s="463">
        <v>1.59</v>
      </c>
      <c r="X40" s="463">
        <v>29.33</v>
      </c>
      <c r="Y40" s="463">
        <v>7.79</v>
      </c>
    </row>
    <row r="41" spans="1:25" ht="11.25" customHeight="1">
      <c r="P41" s="462">
        <v>38</v>
      </c>
      <c r="Q41" s="463">
        <v>6.5951428410000004</v>
      </c>
      <c r="R41" s="463">
        <v>3.0060000420000001</v>
      </c>
      <c r="S41" s="463">
        <v>47.220570700000003</v>
      </c>
      <c r="T41" s="463">
        <v>22.304285589999999</v>
      </c>
      <c r="U41" s="463">
        <v>5.581428528</v>
      </c>
      <c r="V41" s="463">
        <v>10.85142858</v>
      </c>
      <c r="W41" s="463">
        <v>1.5402856890000001</v>
      </c>
      <c r="X41" s="463">
        <v>34.179286410000003</v>
      </c>
      <c r="Y41" s="463">
        <v>8.5442856379999998</v>
      </c>
    </row>
    <row r="42" spans="1:25" ht="11.25" customHeight="1">
      <c r="A42" s="136"/>
      <c r="B42" s="138"/>
      <c r="C42" s="138"/>
      <c r="D42" s="138"/>
      <c r="E42" s="138"/>
      <c r="F42" s="138"/>
      <c r="G42" s="138"/>
      <c r="H42" s="138"/>
      <c r="I42" s="138"/>
      <c r="O42" s="461">
        <v>39</v>
      </c>
      <c r="P42" s="462">
        <v>39</v>
      </c>
      <c r="Q42" s="463">
        <v>6.84</v>
      </c>
      <c r="R42" s="463">
        <v>3.32</v>
      </c>
      <c r="S42" s="463">
        <v>63.05</v>
      </c>
      <c r="T42" s="463">
        <v>48.7</v>
      </c>
      <c r="U42" s="463">
        <v>7.81</v>
      </c>
      <c r="V42" s="463">
        <v>11.15</v>
      </c>
      <c r="W42" s="463">
        <v>1.32</v>
      </c>
      <c r="X42" s="463">
        <v>38.82</v>
      </c>
      <c r="Y42" s="463">
        <v>6.81</v>
      </c>
    </row>
    <row r="43" spans="1:25" ht="11.25" customHeight="1">
      <c r="A43" s="136"/>
      <c r="B43" s="138"/>
      <c r="C43" s="138"/>
      <c r="D43" s="138"/>
      <c r="E43" s="138"/>
      <c r="F43" s="138"/>
      <c r="G43" s="138"/>
      <c r="H43" s="138"/>
      <c r="I43" s="138"/>
      <c r="P43" s="462">
        <v>40</v>
      </c>
      <c r="Q43" s="463">
        <v>7.6862857681428576</v>
      </c>
      <c r="R43" s="463">
        <v>3.1560000009999998</v>
      </c>
      <c r="S43" s="463">
        <v>61.54114314571428</v>
      </c>
      <c r="T43" s="463">
        <v>37.928571428999994</v>
      </c>
      <c r="U43" s="463">
        <v>7.9165713450000004</v>
      </c>
      <c r="V43" s="463">
        <v>11.005714417142856</v>
      </c>
      <c r="W43" s="463">
        <v>1.3828571522857145</v>
      </c>
      <c r="X43" s="463">
        <v>43.879284992857151</v>
      </c>
      <c r="Y43" s="463">
        <v>6.2752857208571422</v>
      </c>
    </row>
    <row r="44" spans="1:25" ht="11.25" customHeight="1">
      <c r="A44" s="136"/>
      <c r="B44" s="138"/>
      <c r="C44" s="138"/>
      <c r="D44" s="138"/>
      <c r="E44" s="138"/>
      <c r="F44" s="138"/>
      <c r="G44" s="138"/>
      <c r="H44" s="138"/>
      <c r="I44" s="138"/>
      <c r="P44" s="462">
        <v>41</v>
      </c>
      <c r="Q44" s="463">
        <v>7.1000001089913463</v>
      </c>
      <c r="R44" s="463">
        <v>2.9028571673801928</v>
      </c>
      <c r="S44" s="463">
        <v>58.117285592215353</v>
      </c>
      <c r="T44" s="463">
        <v>48.921429225376635</v>
      </c>
      <c r="U44" s="463">
        <v>8.5942858287266173</v>
      </c>
      <c r="V44" s="463">
        <v>11.002857208251914</v>
      </c>
      <c r="W44" s="463">
        <v>1.3182857036590543</v>
      </c>
      <c r="X44" s="463">
        <v>45.627857753208637</v>
      </c>
      <c r="Y44" s="463">
        <v>9.9285714966910028</v>
      </c>
    </row>
    <row r="45" spans="1:25" ht="11.25" customHeight="1">
      <c r="A45" s="136"/>
      <c r="B45" s="138"/>
      <c r="C45" s="138"/>
      <c r="D45" s="138"/>
      <c r="E45" s="138"/>
      <c r="F45" s="138"/>
      <c r="G45" s="138"/>
      <c r="H45" s="138"/>
      <c r="I45" s="138"/>
      <c r="P45" s="462">
        <v>42</v>
      </c>
      <c r="Q45" s="463">
        <v>6.7610000201428573</v>
      </c>
      <c r="R45" s="463">
        <v>2.8671428815714286</v>
      </c>
      <c r="S45" s="463">
        <v>58.888142721428572</v>
      </c>
      <c r="T45" s="463">
        <v>55.619142805714283</v>
      </c>
      <c r="U45" s="463">
        <v>9.5089999614285716</v>
      </c>
      <c r="V45" s="463">
        <v>11.007142884285715</v>
      </c>
      <c r="W45" s="463">
        <v>1.2221428497142859</v>
      </c>
      <c r="X45" s="463">
        <v>52.615000045714282</v>
      </c>
      <c r="Y45" s="463">
        <v>9.6800000322857152</v>
      </c>
    </row>
    <row r="46" spans="1:25" ht="11.25" customHeight="1">
      <c r="A46" s="136"/>
      <c r="B46" s="138"/>
      <c r="C46" s="138"/>
      <c r="D46" s="138"/>
      <c r="E46" s="138"/>
      <c r="F46" s="138"/>
      <c r="G46" s="138"/>
      <c r="H46" s="138"/>
      <c r="I46" s="138"/>
      <c r="O46" s="461">
        <v>43</v>
      </c>
      <c r="P46" s="462">
        <v>43</v>
      </c>
      <c r="Q46" s="463">
        <v>6.53</v>
      </c>
      <c r="R46" s="463">
        <v>2.37</v>
      </c>
      <c r="S46" s="463">
        <v>69.2</v>
      </c>
      <c r="T46" s="463">
        <v>54.58</v>
      </c>
      <c r="U46" s="463">
        <v>8.23</v>
      </c>
      <c r="V46" s="463">
        <v>11.01</v>
      </c>
      <c r="W46" s="463">
        <v>1.35</v>
      </c>
      <c r="X46" s="463">
        <v>50.71</v>
      </c>
      <c r="Y46" s="463">
        <v>10.33</v>
      </c>
    </row>
    <row r="47" spans="1:25" ht="11.25" customHeight="1">
      <c r="A47" s="136"/>
      <c r="B47" s="138"/>
      <c r="C47" s="138"/>
      <c r="D47" s="138"/>
      <c r="E47" s="138"/>
      <c r="F47" s="138"/>
      <c r="G47" s="138"/>
      <c r="H47" s="138"/>
      <c r="I47" s="138"/>
      <c r="P47" s="462">
        <v>44</v>
      </c>
      <c r="Q47" s="463">
        <v>7.58</v>
      </c>
      <c r="R47" s="463">
        <v>4.8899999999999997</v>
      </c>
      <c r="S47" s="463">
        <v>51.59</v>
      </c>
      <c r="T47" s="463">
        <v>57.65</v>
      </c>
      <c r="U47" s="463">
        <v>7.72</v>
      </c>
      <c r="V47" s="463">
        <v>11.01</v>
      </c>
      <c r="W47" s="463">
        <v>1.47</v>
      </c>
      <c r="X47" s="463">
        <v>48.41</v>
      </c>
      <c r="Y47" s="463">
        <v>11.29</v>
      </c>
    </row>
    <row r="48" spans="1:25">
      <c r="A48" s="136"/>
      <c r="B48" s="138"/>
      <c r="C48" s="138"/>
      <c r="D48" s="138"/>
      <c r="E48" s="138"/>
      <c r="F48" s="138"/>
      <c r="G48" s="138"/>
      <c r="H48" s="138"/>
      <c r="I48" s="138"/>
      <c r="P48" s="462">
        <v>45</v>
      </c>
      <c r="Q48" s="463">
        <v>6.95</v>
      </c>
      <c r="R48" s="463">
        <v>1.61</v>
      </c>
      <c r="S48" s="463">
        <v>72.92</v>
      </c>
      <c r="T48" s="463">
        <v>67.069999999999993</v>
      </c>
      <c r="U48" s="463">
        <v>6.9</v>
      </c>
      <c r="V48" s="463">
        <v>11</v>
      </c>
      <c r="W48" s="463">
        <v>1.42</v>
      </c>
      <c r="X48" s="463">
        <v>47.24</v>
      </c>
      <c r="Y48" s="463">
        <v>9</v>
      </c>
    </row>
    <row r="49" spans="1:25">
      <c r="A49" s="136"/>
      <c r="B49" s="138"/>
      <c r="C49" s="138"/>
      <c r="D49" s="138"/>
      <c r="E49" s="138"/>
      <c r="F49" s="138"/>
      <c r="G49" s="138"/>
      <c r="H49" s="138"/>
      <c r="I49" s="138"/>
      <c r="P49" s="462">
        <v>46</v>
      </c>
      <c r="Q49" s="463">
        <v>6.8571429249999998</v>
      </c>
      <c r="R49" s="463">
        <v>1.6428571599999999</v>
      </c>
      <c r="S49" s="463">
        <v>58.4</v>
      </c>
      <c r="T49" s="463">
        <v>34.982142860000003</v>
      </c>
      <c r="U49" s="463">
        <v>5.0667143550000002</v>
      </c>
      <c r="V49" s="463">
        <v>11.01</v>
      </c>
      <c r="W49" s="463">
        <v>1.38</v>
      </c>
      <c r="X49" s="463">
        <v>40.61</v>
      </c>
      <c r="Y49" s="463">
        <v>8.81</v>
      </c>
    </row>
    <row r="50" spans="1:25">
      <c r="A50" s="136"/>
      <c r="B50" s="138"/>
      <c r="C50" s="138"/>
      <c r="D50" s="138"/>
      <c r="E50" s="138"/>
      <c r="F50" s="138"/>
      <c r="G50" s="138"/>
      <c r="H50" s="138"/>
      <c r="I50" s="138"/>
      <c r="P50" s="462">
        <v>47</v>
      </c>
      <c r="Q50" s="463">
        <v>6.9940000260000001</v>
      </c>
      <c r="R50" s="463">
        <v>1.5142857009999999</v>
      </c>
      <c r="S50" s="463">
        <v>52.554856440000002</v>
      </c>
      <c r="T50" s="463">
        <v>29.07742855</v>
      </c>
      <c r="U50" s="463">
        <v>4.2727143420000004</v>
      </c>
      <c r="V50" s="463">
        <v>11.00286</v>
      </c>
      <c r="W50" s="463">
        <v>1.63</v>
      </c>
      <c r="X50" s="463">
        <v>41.625</v>
      </c>
      <c r="Y50" s="463">
        <v>9.3542860000000001</v>
      </c>
    </row>
    <row r="51" spans="1:25">
      <c r="A51" s="136"/>
      <c r="B51" s="138"/>
      <c r="C51" s="138"/>
      <c r="D51" s="138"/>
      <c r="E51" s="138"/>
      <c r="F51" s="138"/>
      <c r="G51" s="138"/>
      <c r="H51" s="138"/>
      <c r="I51" s="138"/>
      <c r="O51" s="461">
        <v>48</v>
      </c>
      <c r="P51" s="462">
        <v>48</v>
      </c>
      <c r="Q51" s="463">
        <v>7.1124285970000001</v>
      </c>
      <c r="R51" s="463">
        <v>1.4714285645714287</v>
      </c>
      <c r="S51" s="463">
        <v>53.429429191428575</v>
      </c>
      <c r="T51" s="463">
        <v>88.059571399999996</v>
      </c>
      <c r="U51" s="463">
        <v>7.879285812428571</v>
      </c>
      <c r="V51" s="463">
        <v>10.862857274285714</v>
      </c>
      <c r="W51" s="463">
        <v>1.6007142748571428</v>
      </c>
      <c r="X51" s="463">
        <v>41.014285495714283</v>
      </c>
      <c r="Y51" s="463">
        <v>14.194285802</v>
      </c>
    </row>
    <row r="52" spans="1:25">
      <c r="A52" s="136"/>
      <c r="B52" s="138"/>
      <c r="C52" s="138"/>
      <c r="D52" s="138"/>
      <c r="E52" s="138"/>
      <c r="F52" s="138"/>
      <c r="G52" s="138"/>
      <c r="H52" s="138"/>
      <c r="I52" s="138"/>
      <c r="P52" s="462">
        <v>49</v>
      </c>
      <c r="Q52" s="463">
        <v>8.43</v>
      </c>
      <c r="R52" s="463">
        <v>2.2400000000000002</v>
      </c>
      <c r="S52" s="463">
        <v>61.07</v>
      </c>
      <c r="T52" s="463">
        <v>106.59</v>
      </c>
      <c r="U52" s="463">
        <v>16.09</v>
      </c>
      <c r="V52" s="463">
        <v>10.5</v>
      </c>
      <c r="W52" s="463">
        <v>1.1200000000000001</v>
      </c>
      <c r="X52" s="463">
        <v>83.6</v>
      </c>
      <c r="Y52" s="463">
        <v>22.62</v>
      </c>
    </row>
    <row r="53" spans="1:25">
      <c r="A53" s="136"/>
      <c r="B53" s="138"/>
      <c r="C53" s="138"/>
      <c r="D53" s="138"/>
      <c r="E53" s="138"/>
      <c r="F53" s="138"/>
      <c r="G53" s="138"/>
      <c r="H53" s="138"/>
      <c r="I53" s="138"/>
      <c r="P53" s="462">
        <v>50</v>
      </c>
      <c r="Q53" s="463">
        <v>8.32</v>
      </c>
      <c r="R53" s="463">
        <v>2.19</v>
      </c>
      <c r="S53" s="463">
        <v>78.02</v>
      </c>
      <c r="T53" s="463">
        <v>104.79</v>
      </c>
      <c r="U53" s="463">
        <v>18.649999999999999</v>
      </c>
      <c r="V53" s="463">
        <v>10.51</v>
      </c>
      <c r="W53" s="463">
        <v>1.1399999999999999</v>
      </c>
      <c r="X53" s="463">
        <v>66.8</v>
      </c>
      <c r="Y53" s="463">
        <v>22.62</v>
      </c>
    </row>
    <row r="54" spans="1:25">
      <c r="A54" s="136"/>
      <c r="B54" s="138"/>
      <c r="C54" s="138"/>
      <c r="D54" s="138"/>
      <c r="E54" s="138"/>
      <c r="F54" s="138"/>
      <c r="G54" s="138"/>
      <c r="H54" s="138"/>
      <c r="I54" s="138"/>
      <c r="P54" s="462">
        <v>51</v>
      </c>
      <c r="Q54" s="463">
        <v>9.08</v>
      </c>
      <c r="R54" s="463">
        <v>3.71</v>
      </c>
      <c r="S54" s="463">
        <v>67.64</v>
      </c>
      <c r="T54" s="463">
        <v>69.61</v>
      </c>
      <c r="U54" s="463">
        <v>11.22</v>
      </c>
      <c r="V54" s="463">
        <v>10.5</v>
      </c>
      <c r="W54" s="463">
        <v>1.37</v>
      </c>
      <c r="X54" s="463">
        <v>55.42</v>
      </c>
      <c r="Y54" s="463">
        <v>17.489999999999998</v>
      </c>
    </row>
    <row r="55" spans="1:25">
      <c r="A55" s="136"/>
      <c r="B55" s="138"/>
      <c r="C55" s="138"/>
      <c r="D55" s="138"/>
      <c r="E55" s="138"/>
      <c r="F55" s="138"/>
      <c r="G55" s="138"/>
      <c r="H55" s="138"/>
      <c r="I55" s="138"/>
      <c r="O55" s="461">
        <v>52</v>
      </c>
      <c r="P55" s="462">
        <v>52</v>
      </c>
      <c r="Q55" s="463">
        <v>8.42</v>
      </c>
      <c r="R55" s="463">
        <v>3.57</v>
      </c>
      <c r="S55" s="463">
        <v>56.187571937142856</v>
      </c>
      <c r="T55" s="463">
        <v>58.452428545714284</v>
      </c>
      <c r="U55" s="463">
        <v>8.01</v>
      </c>
      <c r="V55" s="463">
        <v>10.507142884285715</v>
      </c>
      <c r="W55" s="463">
        <v>1.53</v>
      </c>
      <c r="X55" s="463">
        <v>59.550713675714292</v>
      </c>
      <c r="Y55" s="463">
        <v>18.608285904285712</v>
      </c>
    </row>
    <row r="56" spans="1:25">
      <c r="A56" s="136"/>
      <c r="B56" s="138"/>
      <c r="C56" s="138"/>
      <c r="D56" s="138"/>
      <c r="E56" s="138"/>
      <c r="F56" s="138"/>
      <c r="G56" s="138"/>
      <c r="H56" s="138"/>
      <c r="I56" s="138"/>
      <c r="N56" s="461">
        <v>2017</v>
      </c>
      <c r="O56" s="461">
        <v>1</v>
      </c>
      <c r="P56" s="462">
        <v>1</v>
      </c>
      <c r="Q56" s="463">
        <v>13.85</v>
      </c>
      <c r="R56" s="463">
        <v>11.3</v>
      </c>
      <c r="S56" s="463">
        <v>104.02</v>
      </c>
      <c r="T56" s="463">
        <v>148.43</v>
      </c>
      <c r="U56" s="463">
        <v>24.1</v>
      </c>
      <c r="V56" s="463">
        <v>10.220000000000001</v>
      </c>
      <c r="W56" s="463">
        <v>3.28</v>
      </c>
      <c r="X56" s="463">
        <v>89.46</v>
      </c>
      <c r="Y56" s="463">
        <v>25.43</v>
      </c>
    </row>
    <row r="57" spans="1:25">
      <c r="A57" s="136"/>
      <c r="B57" s="138"/>
      <c r="C57" s="138"/>
      <c r="D57" s="138"/>
      <c r="E57" s="138"/>
      <c r="F57" s="138"/>
      <c r="G57" s="138"/>
      <c r="H57" s="138"/>
      <c r="I57" s="138"/>
      <c r="P57" s="462">
        <v>2</v>
      </c>
      <c r="Q57" s="463">
        <v>14.96</v>
      </c>
      <c r="R57" s="463">
        <v>15.4</v>
      </c>
      <c r="S57" s="463">
        <v>143.97</v>
      </c>
      <c r="T57" s="463">
        <v>175.88</v>
      </c>
      <c r="U57" s="463">
        <v>33.74</v>
      </c>
      <c r="V57" s="463">
        <v>10.17</v>
      </c>
      <c r="W57" s="463">
        <v>6.45</v>
      </c>
      <c r="X57" s="463">
        <v>178.14</v>
      </c>
      <c r="Y57" s="463">
        <v>55.67</v>
      </c>
    </row>
    <row r="58" spans="1:25">
      <c r="A58" s="136"/>
      <c r="B58" s="138"/>
      <c r="C58" s="138"/>
      <c r="D58" s="138"/>
      <c r="E58" s="138"/>
      <c r="F58" s="138"/>
      <c r="G58" s="138"/>
      <c r="H58" s="138"/>
      <c r="I58" s="138"/>
      <c r="P58" s="462">
        <v>3</v>
      </c>
      <c r="Q58" s="463">
        <v>28.98</v>
      </c>
      <c r="R58" s="463">
        <v>21.94</v>
      </c>
      <c r="S58" s="463">
        <v>355.12</v>
      </c>
      <c r="T58" s="463">
        <v>177.57</v>
      </c>
      <c r="U58" s="463">
        <v>35.49</v>
      </c>
      <c r="V58" s="463">
        <v>10</v>
      </c>
      <c r="W58" s="463">
        <v>9.0500000000000007</v>
      </c>
      <c r="X58" s="463">
        <v>174.94</v>
      </c>
      <c r="Y58" s="463">
        <v>58.31</v>
      </c>
    </row>
    <row r="59" spans="1:25">
      <c r="A59" s="136"/>
      <c r="B59" s="138"/>
      <c r="C59" s="138"/>
      <c r="D59" s="138"/>
      <c r="E59" s="138"/>
      <c r="F59" s="138"/>
      <c r="G59" s="138"/>
      <c r="H59" s="138"/>
      <c r="I59" s="138"/>
      <c r="O59" s="461">
        <v>4</v>
      </c>
      <c r="P59" s="462">
        <v>4</v>
      </c>
      <c r="Q59" s="463">
        <v>30.46</v>
      </c>
      <c r="R59" s="463">
        <v>23.91</v>
      </c>
      <c r="S59" s="463">
        <v>519.4</v>
      </c>
      <c r="T59" s="463">
        <v>205.76</v>
      </c>
      <c r="U59" s="463">
        <v>48.48</v>
      </c>
      <c r="V59" s="463">
        <v>10</v>
      </c>
      <c r="W59" s="463">
        <v>2.4300000000000002</v>
      </c>
      <c r="X59" s="463">
        <v>141.31</v>
      </c>
      <c r="Y59" s="463">
        <v>47.49</v>
      </c>
    </row>
    <row r="60" spans="1:25">
      <c r="A60" s="136"/>
      <c r="B60" s="138"/>
      <c r="C60" s="138"/>
      <c r="D60" s="138"/>
      <c r="E60" s="138"/>
      <c r="F60" s="138"/>
      <c r="G60" s="138"/>
      <c r="H60" s="138"/>
      <c r="I60" s="138"/>
      <c r="P60" s="462">
        <v>5</v>
      </c>
      <c r="Q60" s="463">
        <v>21.36</v>
      </c>
      <c r="R60" s="463">
        <v>18.07</v>
      </c>
      <c r="S60" s="463">
        <v>330.78</v>
      </c>
      <c r="T60" s="463">
        <v>123.41</v>
      </c>
      <c r="U60" s="463">
        <v>25.33</v>
      </c>
      <c r="V60" s="463">
        <v>11.41</v>
      </c>
      <c r="W60" s="463">
        <v>2.87</v>
      </c>
      <c r="X60" s="463">
        <v>123.59</v>
      </c>
      <c r="Y60" s="463">
        <v>45.46</v>
      </c>
    </row>
    <row r="61" spans="1:25">
      <c r="A61" s="136"/>
      <c r="B61" s="138"/>
      <c r="C61" s="138"/>
      <c r="D61" s="138"/>
      <c r="E61" s="138"/>
      <c r="F61" s="138"/>
      <c r="G61" s="138"/>
      <c r="H61" s="138"/>
      <c r="I61" s="138"/>
      <c r="P61" s="462">
        <v>6</v>
      </c>
      <c r="Q61" s="463">
        <v>25.42</v>
      </c>
      <c r="R61" s="463">
        <v>21.42</v>
      </c>
      <c r="S61" s="463">
        <v>200.58</v>
      </c>
      <c r="T61" s="463">
        <v>108.48</v>
      </c>
      <c r="U61" s="463">
        <v>22.99</v>
      </c>
      <c r="V61" s="463">
        <v>10.57</v>
      </c>
      <c r="W61" s="463">
        <v>3.01</v>
      </c>
      <c r="X61" s="463">
        <v>85.48</v>
      </c>
      <c r="Y61" s="463">
        <v>28.56</v>
      </c>
    </row>
    <row r="62" spans="1:25">
      <c r="A62" s="136"/>
      <c r="B62" s="138"/>
      <c r="C62" s="138"/>
      <c r="D62" s="138"/>
      <c r="E62" s="138"/>
      <c r="F62" s="138"/>
      <c r="G62" s="138"/>
      <c r="H62" s="138"/>
      <c r="I62" s="138"/>
      <c r="P62" s="462">
        <v>7</v>
      </c>
      <c r="Q62" s="463">
        <v>35.43</v>
      </c>
      <c r="R62" s="463">
        <v>25.12</v>
      </c>
      <c r="S62" s="463">
        <v>393.69</v>
      </c>
      <c r="T62" s="463">
        <v>144.62</v>
      </c>
      <c r="U62" s="463">
        <v>39.44</v>
      </c>
      <c r="V62" s="463">
        <v>10</v>
      </c>
      <c r="W62" s="463">
        <v>2.88</v>
      </c>
      <c r="X62" s="463">
        <v>100.57</v>
      </c>
      <c r="Y62" s="463">
        <v>25.04</v>
      </c>
    </row>
    <row r="63" spans="1:25">
      <c r="A63" s="136"/>
      <c r="B63" s="138"/>
      <c r="C63" s="138"/>
      <c r="D63" s="138"/>
      <c r="E63" s="138"/>
      <c r="F63" s="138"/>
      <c r="G63" s="138"/>
      <c r="H63" s="138"/>
      <c r="I63" s="138"/>
      <c r="O63" s="461">
        <v>8</v>
      </c>
      <c r="P63" s="462">
        <v>8</v>
      </c>
      <c r="Q63" s="463">
        <v>30.45</v>
      </c>
      <c r="R63" s="463">
        <v>23.33</v>
      </c>
      <c r="S63" s="463">
        <v>345.37</v>
      </c>
      <c r="T63" s="463">
        <v>140.63</v>
      </c>
      <c r="U63" s="463">
        <v>30.47</v>
      </c>
      <c r="V63" s="463">
        <v>9.58</v>
      </c>
      <c r="W63" s="463">
        <v>2.0699999999999998</v>
      </c>
      <c r="X63" s="463">
        <v>163.72999999999999</v>
      </c>
      <c r="Y63" s="463">
        <v>58.84</v>
      </c>
    </row>
    <row r="64" spans="1:25" ht="6" customHeight="1">
      <c r="A64" s="136"/>
      <c r="B64" s="138"/>
      <c r="C64" s="138"/>
      <c r="D64" s="138"/>
      <c r="E64" s="138"/>
      <c r="F64" s="138"/>
      <c r="G64" s="138"/>
      <c r="H64" s="138"/>
      <c r="I64" s="138"/>
      <c r="P64" s="462">
        <v>9</v>
      </c>
      <c r="Q64" s="463">
        <v>37.72</v>
      </c>
      <c r="R64" s="463">
        <v>24.83</v>
      </c>
      <c r="S64" s="463">
        <v>567.22</v>
      </c>
      <c r="T64" s="463">
        <v>245.85</v>
      </c>
      <c r="U64" s="463">
        <v>67.56</v>
      </c>
      <c r="V64" s="463">
        <v>9.01</v>
      </c>
      <c r="W64" s="463">
        <v>7.33</v>
      </c>
      <c r="X64" s="463">
        <v>285.31</v>
      </c>
      <c r="Y64" s="463">
        <v>102.26</v>
      </c>
    </row>
    <row r="65" spans="1:25" ht="24.75" customHeight="1">
      <c r="A65" s="927" t="s">
        <v>527</v>
      </c>
      <c r="B65" s="927"/>
      <c r="C65" s="927"/>
      <c r="D65" s="927"/>
      <c r="E65" s="927"/>
      <c r="F65" s="927"/>
      <c r="G65" s="927"/>
      <c r="H65" s="927"/>
      <c r="I65" s="927"/>
      <c r="J65" s="927"/>
      <c r="K65" s="927"/>
      <c r="L65" s="927"/>
      <c r="P65" s="462">
        <v>10</v>
      </c>
      <c r="Q65" s="463">
        <v>36.46</v>
      </c>
      <c r="R65" s="463">
        <v>24.95</v>
      </c>
      <c r="S65" s="463">
        <v>467.04</v>
      </c>
      <c r="T65" s="463">
        <v>188.01</v>
      </c>
      <c r="U65" s="463">
        <v>50.5</v>
      </c>
      <c r="V65" s="463">
        <v>10.06</v>
      </c>
      <c r="W65" s="463">
        <v>3.71</v>
      </c>
      <c r="X65" s="463">
        <v>374.33</v>
      </c>
      <c r="Y65" s="463">
        <v>83.74</v>
      </c>
    </row>
    <row r="66" spans="1:25" ht="20.25" customHeight="1">
      <c r="P66" s="462">
        <v>11</v>
      </c>
      <c r="Q66" s="463">
        <v>35.590000000000003</v>
      </c>
      <c r="R66" s="463">
        <v>26.89</v>
      </c>
      <c r="S66" s="463">
        <v>448.3</v>
      </c>
      <c r="T66" s="463">
        <v>169.95</v>
      </c>
      <c r="U66" s="463">
        <v>51.21</v>
      </c>
      <c r="V66" s="463">
        <v>26.15</v>
      </c>
      <c r="W66" s="463">
        <v>8.66</v>
      </c>
      <c r="X66" s="463">
        <v>219.86</v>
      </c>
      <c r="Y66" s="463">
        <v>62.42</v>
      </c>
    </row>
    <row r="67" spans="1:25">
      <c r="O67" s="461">
        <v>12</v>
      </c>
      <c r="P67" s="462">
        <v>12</v>
      </c>
      <c r="Q67" s="463">
        <v>37.82</v>
      </c>
      <c r="R67" s="463">
        <v>20.6</v>
      </c>
      <c r="S67" s="463">
        <v>350.87</v>
      </c>
      <c r="T67" s="463">
        <v>146.01</v>
      </c>
      <c r="U67" s="463">
        <v>38.08</v>
      </c>
      <c r="V67" s="463">
        <v>12.43</v>
      </c>
      <c r="W67" s="463">
        <v>5.63</v>
      </c>
      <c r="X67" s="463">
        <v>190.11</v>
      </c>
      <c r="Y67" s="463">
        <v>52.01</v>
      </c>
    </row>
    <row r="68" spans="1:25">
      <c r="P68" s="462">
        <v>13</v>
      </c>
      <c r="Q68" s="463">
        <v>35.93</v>
      </c>
      <c r="R68" s="463">
        <v>24.02</v>
      </c>
      <c r="S68" s="463">
        <v>380.48</v>
      </c>
      <c r="T68" s="463">
        <v>173.02</v>
      </c>
      <c r="U68" s="463">
        <v>38.869999999999997</v>
      </c>
      <c r="V68" s="463">
        <v>11.98</v>
      </c>
      <c r="W68" s="463">
        <v>5.83</v>
      </c>
      <c r="X68" s="463">
        <v>272.08999999999997</v>
      </c>
      <c r="Y68" s="463">
        <v>65.430000000000007</v>
      </c>
    </row>
    <row r="69" spans="1:25">
      <c r="P69" s="462">
        <v>14</v>
      </c>
      <c r="Q69" s="463">
        <v>42.9</v>
      </c>
      <c r="R69" s="463">
        <v>17.87</v>
      </c>
      <c r="S69" s="463">
        <v>427.28</v>
      </c>
      <c r="T69" s="463">
        <v>137.65</v>
      </c>
      <c r="U69" s="463">
        <v>35.950000000000003</v>
      </c>
      <c r="V69" s="463">
        <v>28.72</v>
      </c>
      <c r="W69" s="463">
        <v>4.95</v>
      </c>
      <c r="X69" s="463">
        <v>301.82</v>
      </c>
      <c r="Y69" s="463">
        <v>71.06</v>
      </c>
    </row>
    <row r="70" spans="1:25">
      <c r="P70" s="462">
        <v>15</v>
      </c>
      <c r="Q70" s="463">
        <v>31.19</v>
      </c>
      <c r="R70" s="463">
        <v>17.87</v>
      </c>
      <c r="S70" s="463">
        <v>334.14</v>
      </c>
      <c r="T70" s="463">
        <v>129.9</v>
      </c>
      <c r="U70" s="463">
        <v>29.93</v>
      </c>
      <c r="V70" s="463">
        <v>16.28</v>
      </c>
      <c r="W70" s="463">
        <v>1.82</v>
      </c>
      <c r="X70" s="463">
        <v>203.49</v>
      </c>
      <c r="Y70" s="463">
        <v>77.099999999999994</v>
      </c>
    </row>
    <row r="71" spans="1:25">
      <c r="O71" s="461">
        <v>16</v>
      </c>
      <c r="P71" s="462">
        <v>16</v>
      </c>
      <c r="Q71" s="463">
        <v>22.8</v>
      </c>
      <c r="R71" s="463">
        <v>11.46</v>
      </c>
      <c r="S71" s="463">
        <v>218.96</v>
      </c>
      <c r="T71" s="463">
        <v>100.66</v>
      </c>
      <c r="U71" s="463">
        <v>21.85</v>
      </c>
      <c r="V71" s="463">
        <v>15.43</v>
      </c>
      <c r="W71" s="463">
        <v>2.33</v>
      </c>
      <c r="X71" s="463">
        <v>155.33000000000001</v>
      </c>
      <c r="Y71" s="463">
        <v>48.77</v>
      </c>
    </row>
    <row r="72" spans="1:25">
      <c r="P72" s="462">
        <v>17</v>
      </c>
      <c r="Q72" s="463">
        <v>20.18</v>
      </c>
      <c r="R72" s="463">
        <v>11.46</v>
      </c>
      <c r="S72" s="463">
        <v>180.47</v>
      </c>
      <c r="T72" s="463">
        <v>91.24</v>
      </c>
      <c r="U72" s="463">
        <v>18.89</v>
      </c>
      <c r="V72" s="463">
        <v>12.29</v>
      </c>
      <c r="W72" s="463">
        <v>1.9</v>
      </c>
      <c r="X72" s="463">
        <v>111.37</v>
      </c>
      <c r="Y72" s="463">
        <v>34.409999999999997</v>
      </c>
    </row>
    <row r="73" spans="1:25">
      <c r="P73" s="462">
        <v>18</v>
      </c>
      <c r="Q73" s="463">
        <v>19.84</v>
      </c>
      <c r="R73" s="463">
        <v>10.36</v>
      </c>
      <c r="S73" s="463">
        <v>212.89</v>
      </c>
      <c r="T73" s="463">
        <v>98.95</v>
      </c>
      <c r="U73" s="463">
        <v>19.899999999999999</v>
      </c>
      <c r="V73" s="463">
        <v>11.64</v>
      </c>
      <c r="W73" s="463">
        <v>1.46</v>
      </c>
      <c r="X73" s="463">
        <v>117.05</v>
      </c>
      <c r="Y73" s="463">
        <v>28.8</v>
      </c>
    </row>
    <row r="74" spans="1:25">
      <c r="P74" s="462">
        <v>19</v>
      </c>
      <c r="Q74" s="463">
        <v>21.4</v>
      </c>
      <c r="R74" s="463">
        <v>9.25</v>
      </c>
      <c r="S74" s="463">
        <v>199.54</v>
      </c>
      <c r="T74" s="463">
        <v>89.02</v>
      </c>
      <c r="U74" s="463">
        <v>15.9</v>
      </c>
      <c r="V74" s="463">
        <v>11</v>
      </c>
      <c r="W74" s="463">
        <v>1.36</v>
      </c>
      <c r="X74" s="463">
        <v>79.2</v>
      </c>
      <c r="Y74" s="463">
        <v>22.78</v>
      </c>
    </row>
    <row r="75" spans="1:25">
      <c r="O75" s="461">
        <v>20</v>
      </c>
      <c r="P75" s="462">
        <v>20</v>
      </c>
      <c r="Q75" s="463">
        <v>17.23</v>
      </c>
      <c r="R75" s="463">
        <v>6.32</v>
      </c>
      <c r="S75" s="463">
        <v>136.84</v>
      </c>
      <c r="T75" s="463">
        <v>72.95</v>
      </c>
      <c r="U75" s="463">
        <v>15.03</v>
      </c>
      <c r="V75" s="463">
        <v>11</v>
      </c>
      <c r="W75" s="463">
        <v>1.98</v>
      </c>
      <c r="X75" s="463">
        <v>69.37</v>
      </c>
      <c r="Y75" s="463">
        <v>17.8</v>
      </c>
    </row>
    <row r="76" spans="1:25">
      <c r="P76" s="462">
        <v>21</v>
      </c>
      <c r="Q76" s="463">
        <v>16.09</v>
      </c>
      <c r="R76" s="463">
        <v>6.32</v>
      </c>
      <c r="S76" s="463">
        <v>116.86</v>
      </c>
      <c r="T76" s="463">
        <v>99.42</v>
      </c>
      <c r="U76" s="463">
        <v>20.059999999999999</v>
      </c>
      <c r="V76" s="463">
        <v>11.01</v>
      </c>
      <c r="W76" s="463">
        <v>1.6</v>
      </c>
      <c r="X76" s="463">
        <v>68.8</v>
      </c>
      <c r="Y76" s="463">
        <v>17.84</v>
      </c>
    </row>
    <row r="77" spans="1:25">
      <c r="P77" s="462">
        <v>22</v>
      </c>
      <c r="Q77" s="463">
        <v>15.1</v>
      </c>
      <c r="R77" s="463">
        <v>5.59</v>
      </c>
      <c r="S77" s="463">
        <v>118.58</v>
      </c>
      <c r="T77" s="463">
        <v>79.099999999999994</v>
      </c>
      <c r="U77" s="463">
        <v>16</v>
      </c>
      <c r="V77" s="463">
        <v>11</v>
      </c>
      <c r="W77" s="463">
        <v>1.01</v>
      </c>
      <c r="X77" s="463">
        <v>69.05</v>
      </c>
      <c r="Y77" s="463">
        <v>16.37</v>
      </c>
    </row>
    <row r="78" spans="1:25">
      <c r="P78" s="462">
        <v>23</v>
      </c>
      <c r="Q78" s="463">
        <v>14.28</v>
      </c>
      <c r="R78" s="463">
        <v>4.8499999999999996</v>
      </c>
      <c r="S78" s="463">
        <v>112.05</v>
      </c>
      <c r="T78" s="463">
        <v>63.27</v>
      </c>
      <c r="U78" s="463">
        <v>13.78</v>
      </c>
      <c r="V78" s="463">
        <v>11</v>
      </c>
      <c r="W78" s="463">
        <v>1.82</v>
      </c>
      <c r="X78" s="463">
        <v>54.09</v>
      </c>
      <c r="Y78" s="463">
        <v>13.15</v>
      </c>
    </row>
    <row r="79" spans="1:25">
      <c r="O79" s="461">
        <v>24</v>
      </c>
      <c r="P79" s="462">
        <v>24</v>
      </c>
      <c r="Q79" s="463">
        <v>13.3</v>
      </c>
      <c r="R79" s="463">
        <v>4.8499999999999996</v>
      </c>
      <c r="S79" s="463">
        <v>91.62</v>
      </c>
      <c r="T79" s="463">
        <v>49.79</v>
      </c>
      <c r="U79" s="463">
        <v>11.29</v>
      </c>
      <c r="V79" s="463">
        <v>11</v>
      </c>
      <c r="W79" s="463">
        <v>1.89</v>
      </c>
      <c r="X79" s="463">
        <v>45.31</v>
      </c>
      <c r="Y79" s="463">
        <v>10.85</v>
      </c>
    </row>
    <row r="80" spans="1:25">
      <c r="P80" s="462">
        <v>25</v>
      </c>
      <c r="Q80" s="463">
        <v>12.63</v>
      </c>
      <c r="R80" s="463">
        <v>3.77</v>
      </c>
      <c r="S80" s="463">
        <v>81.33</v>
      </c>
      <c r="T80" s="463">
        <v>46.74</v>
      </c>
      <c r="U80" s="463">
        <v>10.02</v>
      </c>
      <c r="V80" s="463">
        <v>11</v>
      </c>
      <c r="W80" s="463">
        <v>1.77</v>
      </c>
      <c r="X80" s="463">
        <v>40.42</v>
      </c>
      <c r="Y80" s="463">
        <v>8.98</v>
      </c>
    </row>
    <row r="81" spans="15:25">
      <c r="P81" s="462">
        <v>26</v>
      </c>
      <c r="Q81" s="463">
        <v>11.92</v>
      </c>
      <c r="R81" s="463">
        <v>3.77</v>
      </c>
      <c r="S81" s="463">
        <v>80.900000000000006</v>
      </c>
      <c r="T81" s="463">
        <v>41.45</v>
      </c>
      <c r="U81" s="463">
        <v>9.24</v>
      </c>
      <c r="V81" s="463">
        <v>12</v>
      </c>
      <c r="W81" s="463">
        <v>1.86</v>
      </c>
      <c r="X81" s="463">
        <v>37.89</v>
      </c>
      <c r="Y81" s="463">
        <v>9.41</v>
      </c>
    </row>
    <row r="82" spans="15:25">
      <c r="P82" s="462">
        <v>27</v>
      </c>
      <c r="Q82" s="463">
        <v>11.92</v>
      </c>
      <c r="R82" s="463">
        <v>3.91</v>
      </c>
      <c r="S82" s="463">
        <v>82.99</v>
      </c>
      <c r="T82" s="463">
        <v>60.31</v>
      </c>
      <c r="U82" s="463">
        <v>9.73</v>
      </c>
      <c r="V82" s="463">
        <v>12</v>
      </c>
      <c r="W82" s="463">
        <v>1.9</v>
      </c>
      <c r="X82" s="463">
        <v>38.229999999999997</v>
      </c>
      <c r="Y82" s="463">
        <v>8.58</v>
      </c>
    </row>
    <row r="83" spans="15:25">
      <c r="O83" s="461">
        <v>28</v>
      </c>
      <c r="P83" s="462">
        <v>28</v>
      </c>
      <c r="Q83" s="463">
        <v>11.04</v>
      </c>
      <c r="R83" s="463">
        <v>3.91</v>
      </c>
      <c r="S83" s="463">
        <v>71.739999999999995</v>
      </c>
      <c r="T83" s="463">
        <v>39.090000000000003</v>
      </c>
      <c r="U83" s="463">
        <v>8.42</v>
      </c>
      <c r="V83" s="463">
        <v>12</v>
      </c>
      <c r="W83" s="463">
        <v>1.65</v>
      </c>
      <c r="X83" s="463">
        <v>33.9</v>
      </c>
      <c r="Y83" s="463">
        <v>6.64</v>
      </c>
    </row>
    <row r="84" spans="15:25">
      <c r="P84" s="462">
        <v>29</v>
      </c>
      <c r="Q84" s="463">
        <v>10.27</v>
      </c>
      <c r="R84" s="463">
        <v>3.42</v>
      </c>
      <c r="S84" s="463">
        <v>67.8</v>
      </c>
      <c r="T84" s="463">
        <v>32.590000000000003</v>
      </c>
      <c r="U84" s="463">
        <v>7.7</v>
      </c>
      <c r="V84" s="463">
        <v>10.51</v>
      </c>
      <c r="W84" s="463">
        <v>1.79</v>
      </c>
      <c r="X84" s="463">
        <v>31.97</v>
      </c>
      <c r="Y84" s="463">
        <v>6.49</v>
      </c>
    </row>
    <row r="85" spans="15:25">
      <c r="P85" s="462">
        <v>30</v>
      </c>
      <c r="Q85" s="463">
        <v>9.4700000000000006</v>
      </c>
      <c r="R85" s="463">
        <v>3.42</v>
      </c>
      <c r="S85" s="463">
        <v>69.62</v>
      </c>
      <c r="T85" s="463">
        <v>28.39</v>
      </c>
      <c r="U85" s="463">
        <v>7.39</v>
      </c>
      <c r="V85" s="463">
        <v>12</v>
      </c>
      <c r="W85" s="463">
        <v>1.64</v>
      </c>
      <c r="X85" s="463">
        <v>31.76</v>
      </c>
      <c r="Y85" s="463">
        <v>6.15</v>
      </c>
    </row>
    <row r="86" spans="15:25">
      <c r="P86" s="462">
        <v>31</v>
      </c>
      <c r="Q86" s="463">
        <v>9.0500000000000007</v>
      </c>
      <c r="R86" s="463">
        <v>3.3</v>
      </c>
      <c r="S86" s="463">
        <v>61.71</v>
      </c>
      <c r="T86" s="463">
        <v>26.51</v>
      </c>
      <c r="U86" s="463">
        <v>7.02</v>
      </c>
      <c r="V86" s="463">
        <v>12</v>
      </c>
      <c r="W86" s="463">
        <v>1.87</v>
      </c>
      <c r="X86" s="463">
        <v>31.68</v>
      </c>
      <c r="Y86" s="463">
        <v>5.51</v>
      </c>
    </row>
    <row r="87" spans="15:25">
      <c r="O87" s="461">
        <v>32</v>
      </c>
      <c r="P87" s="462">
        <v>32</v>
      </c>
      <c r="Q87" s="463">
        <v>9.9</v>
      </c>
      <c r="R87" s="463">
        <v>2.68</v>
      </c>
      <c r="S87" s="463">
        <v>65.38</v>
      </c>
      <c r="T87" s="463">
        <v>24.1</v>
      </c>
      <c r="U87" s="463">
        <v>6.7</v>
      </c>
      <c r="V87" s="463">
        <v>12</v>
      </c>
      <c r="W87" s="463">
        <v>1.95</v>
      </c>
      <c r="X87" s="463">
        <v>31.01</v>
      </c>
      <c r="Y87" s="463">
        <v>5.16</v>
      </c>
    </row>
    <row r="88" spans="15:25">
      <c r="P88" s="462">
        <v>33</v>
      </c>
      <c r="Q88" s="463">
        <v>9.17</v>
      </c>
      <c r="R88" s="463">
        <v>2.4300000000000002</v>
      </c>
      <c r="S88" s="463">
        <v>59.63</v>
      </c>
      <c r="T88" s="463">
        <v>24.29</v>
      </c>
      <c r="U88" s="463">
        <v>6.44</v>
      </c>
      <c r="V88" s="463">
        <v>12</v>
      </c>
      <c r="W88" s="463">
        <v>1.82</v>
      </c>
      <c r="X88" s="463">
        <v>30.23</v>
      </c>
      <c r="Y88" s="463">
        <v>5.27</v>
      </c>
    </row>
    <row r="89" spans="15:25">
      <c r="P89" s="462">
        <v>34</v>
      </c>
      <c r="Q89" s="463">
        <v>7.78</v>
      </c>
      <c r="R89" s="463">
        <v>2.61</v>
      </c>
      <c r="S89" s="463">
        <v>60.62</v>
      </c>
      <c r="T89" s="463">
        <v>25.9</v>
      </c>
      <c r="U89" s="463">
        <v>6.62</v>
      </c>
      <c r="V89" s="463">
        <v>12</v>
      </c>
      <c r="W89" s="463">
        <v>1.89</v>
      </c>
      <c r="X89" s="463">
        <v>32.17</v>
      </c>
      <c r="Y89" s="463">
        <v>5.0599999999999996</v>
      </c>
    </row>
    <row r="90" spans="15:25">
      <c r="P90" s="462">
        <v>35</v>
      </c>
      <c r="Q90" s="463">
        <v>7.73</v>
      </c>
      <c r="R90" s="463">
        <v>3.07</v>
      </c>
      <c r="S90" s="463">
        <v>58.47</v>
      </c>
      <c r="T90" s="463">
        <v>26.33</v>
      </c>
      <c r="U90" s="463">
        <v>6.66</v>
      </c>
      <c r="V90" s="463">
        <v>12.14</v>
      </c>
      <c r="W90" s="463">
        <v>1.97</v>
      </c>
      <c r="X90" s="463">
        <v>31.63</v>
      </c>
      <c r="Y90" s="463">
        <v>4.84</v>
      </c>
    </row>
    <row r="91" spans="15:25">
      <c r="O91" s="461">
        <v>36</v>
      </c>
      <c r="P91" s="462">
        <v>36</v>
      </c>
      <c r="Q91" s="463">
        <v>7.1</v>
      </c>
      <c r="R91" s="463">
        <v>3.57</v>
      </c>
      <c r="S91" s="463">
        <v>61.13</v>
      </c>
      <c r="T91" s="463">
        <v>27.35</v>
      </c>
      <c r="U91" s="463">
        <v>6.84</v>
      </c>
      <c r="V91" s="463">
        <v>13</v>
      </c>
      <c r="W91" s="463">
        <v>1.76</v>
      </c>
      <c r="X91" s="463">
        <v>34.090000000000003</v>
      </c>
      <c r="Y91" s="463">
        <v>4.8899999999999997</v>
      </c>
    </row>
    <row r="92" spans="15:25">
      <c r="P92" s="462">
        <v>37</v>
      </c>
      <c r="Q92" s="463">
        <v>7.53</v>
      </c>
      <c r="R92" s="463">
        <v>5.04</v>
      </c>
      <c r="S92" s="463">
        <v>59.93</v>
      </c>
      <c r="T92" s="463">
        <v>34.56</v>
      </c>
      <c r="U92" s="463">
        <v>7.96</v>
      </c>
      <c r="V92" s="463">
        <v>13</v>
      </c>
      <c r="W92" s="463">
        <v>1.7</v>
      </c>
      <c r="X92" s="463">
        <v>38.06</v>
      </c>
      <c r="Y92" s="463">
        <v>8.4</v>
      </c>
    </row>
    <row r="93" spans="15:25">
      <c r="P93" s="462">
        <v>38</v>
      </c>
      <c r="Q93" s="463">
        <v>9.73</v>
      </c>
      <c r="R93" s="463">
        <v>3.75</v>
      </c>
      <c r="S93" s="463">
        <v>64.319999999999993</v>
      </c>
      <c r="T93" s="463">
        <v>41.74</v>
      </c>
      <c r="U93" s="463">
        <v>9.43</v>
      </c>
      <c r="V93" s="463">
        <v>13</v>
      </c>
      <c r="W93" s="463">
        <v>1.77</v>
      </c>
      <c r="X93" s="463">
        <v>41.12</v>
      </c>
      <c r="Y93" s="463">
        <v>6.42</v>
      </c>
    </row>
    <row r="94" spans="15:25">
      <c r="O94" s="461">
        <v>39</v>
      </c>
      <c r="P94" s="462">
        <v>39</v>
      </c>
      <c r="Q94" s="463">
        <v>7.21</v>
      </c>
      <c r="R94" s="463">
        <v>3.83</v>
      </c>
      <c r="S94" s="463">
        <v>66.83</v>
      </c>
      <c r="T94" s="463">
        <v>46.48</v>
      </c>
      <c r="U94" s="463">
        <v>7.93</v>
      </c>
      <c r="V94" s="463">
        <v>13</v>
      </c>
      <c r="W94" s="463">
        <v>1.99</v>
      </c>
      <c r="X94" s="463">
        <v>33.06</v>
      </c>
      <c r="Y94" s="463">
        <v>7.98</v>
      </c>
    </row>
    <row r="95" spans="15:25">
      <c r="P95" s="462">
        <v>40</v>
      </c>
      <c r="Q95" s="463">
        <v>6.89</v>
      </c>
      <c r="R95" s="463">
        <v>3.2</v>
      </c>
      <c r="S95" s="463">
        <v>56.32</v>
      </c>
      <c r="T95" s="463">
        <v>28.11</v>
      </c>
      <c r="U95" s="463">
        <v>6.02</v>
      </c>
      <c r="V95" s="463">
        <v>13</v>
      </c>
      <c r="W95" s="463">
        <v>1.48</v>
      </c>
      <c r="X95" s="463">
        <v>35.54</v>
      </c>
      <c r="Y95" s="463">
        <v>5.32</v>
      </c>
    </row>
    <row r="96" spans="15:25">
      <c r="P96" s="462">
        <v>41</v>
      </c>
      <c r="Q96" s="463">
        <v>7.51</v>
      </c>
      <c r="R96" s="463">
        <v>3.26</v>
      </c>
      <c r="S96" s="463">
        <v>57.18</v>
      </c>
      <c r="T96" s="463">
        <v>32.11</v>
      </c>
      <c r="U96" s="463">
        <v>6.5</v>
      </c>
      <c r="V96" s="463">
        <v>13</v>
      </c>
      <c r="W96" s="463">
        <v>1.53</v>
      </c>
      <c r="X96" s="463">
        <v>37.47</v>
      </c>
      <c r="Y96" s="463">
        <v>4.95</v>
      </c>
    </row>
    <row r="97" spans="14:25">
      <c r="P97" s="462">
        <v>42</v>
      </c>
      <c r="Q97" s="463">
        <v>7.92</v>
      </c>
      <c r="R97" s="463">
        <v>3.59</v>
      </c>
      <c r="S97" s="463">
        <v>71.87</v>
      </c>
      <c r="T97" s="463">
        <v>64.69</v>
      </c>
      <c r="U97" s="463">
        <v>9.44</v>
      </c>
      <c r="V97" s="463">
        <v>13</v>
      </c>
      <c r="W97" s="463">
        <v>1.93</v>
      </c>
      <c r="X97" s="463">
        <v>52.42</v>
      </c>
      <c r="Y97" s="463">
        <v>7.39</v>
      </c>
    </row>
    <row r="98" spans="14:25">
      <c r="O98" s="461">
        <v>43</v>
      </c>
      <c r="P98" s="462">
        <v>43</v>
      </c>
      <c r="Q98" s="463">
        <v>9.16</v>
      </c>
      <c r="R98" s="463">
        <v>3.99</v>
      </c>
      <c r="S98" s="463">
        <v>73.22</v>
      </c>
      <c r="T98" s="463">
        <v>71.16</v>
      </c>
      <c r="U98" s="463">
        <v>8.8800000000000008</v>
      </c>
      <c r="V98" s="463">
        <v>13</v>
      </c>
      <c r="W98" s="463">
        <v>1.69</v>
      </c>
      <c r="X98" s="463">
        <v>43.93</v>
      </c>
      <c r="Y98" s="463">
        <v>6.18</v>
      </c>
    </row>
    <row r="99" spans="14:25">
      <c r="P99" s="462">
        <v>44</v>
      </c>
      <c r="Q99" s="463">
        <v>8.81</v>
      </c>
      <c r="R99" s="463">
        <v>5.0199999999999996</v>
      </c>
      <c r="S99" s="463">
        <v>75.150000000000006</v>
      </c>
      <c r="T99" s="463">
        <v>62.33</v>
      </c>
      <c r="U99" s="463">
        <v>10.59</v>
      </c>
      <c r="V99" s="463">
        <v>13</v>
      </c>
      <c r="W99" s="463">
        <v>1.65</v>
      </c>
      <c r="X99" s="463">
        <v>40.229999999999997</v>
      </c>
      <c r="Y99" s="463">
        <v>8.7899999999999991</v>
      </c>
    </row>
    <row r="100" spans="14:25">
      <c r="P100" s="462">
        <v>45</v>
      </c>
      <c r="Q100" s="463">
        <v>8.3800000000000008</v>
      </c>
      <c r="R100" s="463">
        <v>4.2</v>
      </c>
      <c r="S100" s="463">
        <v>67.39</v>
      </c>
      <c r="T100" s="463">
        <v>61.76</v>
      </c>
      <c r="U100" s="463">
        <v>10.039999999999999</v>
      </c>
      <c r="V100" s="463">
        <v>13</v>
      </c>
      <c r="W100" s="463">
        <v>1.51</v>
      </c>
      <c r="X100" s="463">
        <v>41.85</v>
      </c>
      <c r="Y100" s="463">
        <v>11.45</v>
      </c>
    </row>
    <row r="101" spans="14:25">
      <c r="P101" s="462">
        <v>46</v>
      </c>
      <c r="Q101" s="463">
        <v>7.55</v>
      </c>
      <c r="R101" s="463">
        <v>3.7</v>
      </c>
      <c r="S101" s="463">
        <v>66.959999999999994</v>
      </c>
      <c r="T101" s="463">
        <v>66.040000000000006</v>
      </c>
      <c r="U101" s="463">
        <v>8.7799999999999994</v>
      </c>
      <c r="V101" s="463">
        <v>13</v>
      </c>
      <c r="W101" s="463">
        <v>1.65</v>
      </c>
      <c r="X101" s="463">
        <v>70.849999999999994</v>
      </c>
      <c r="Y101" s="463">
        <v>14.58</v>
      </c>
    </row>
    <row r="102" spans="14:25">
      <c r="P102" s="462">
        <v>47</v>
      </c>
      <c r="Q102" s="463">
        <v>7.39</v>
      </c>
      <c r="R102" s="463">
        <v>3.85</v>
      </c>
      <c r="S102" s="463">
        <v>67.72</v>
      </c>
      <c r="T102" s="463">
        <v>52.82</v>
      </c>
      <c r="U102" s="463">
        <v>7.81</v>
      </c>
      <c r="V102" s="463">
        <v>13</v>
      </c>
      <c r="W102" s="463">
        <v>1.6</v>
      </c>
      <c r="X102" s="463">
        <v>64.819999999999993</v>
      </c>
      <c r="Y102" s="463">
        <v>12.14</v>
      </c>
    </row>
    <row r="103" spans="14:25">
      <c r="O103" s="461">
        <v>48</v>
      </c>
      <c r="P103" s="462">
        <v>48</v>
      </c>
      <c r="Q103" s="463">
        <v>7.9678571564285718</v>
      </c>
      <c r="R103" s="463">
        <v>3.558142900428571</v>
      </c>
      <c r="S103" s="463">
        <v>77.366571698571434</v>
      </c>
      <c r="T103" s="463">
        <v>66.577285762857144</v>
      </c>
      <c r="U103" s="463">
        <v>9.1851428580000007</v>
      </c>
      <c r="V103" s="463">
        <v>13.005714417142858</v>
      </c>
      <c r="W103" s="463">
        <v>1.6</v>
      </c>
      <c r="X103" s="463">
        <v>47.846427917142854</v>
      </c>
      <c r="Y103" s="463">
        <v>12.516714369142859</v>
      </c>
    </row>
    <row r="104" spans="14:25">
      <c r="P104" s="462">
        <v>49</v>
      </c>
      <c r="Q104" s="463">
        <v>8.4875713758571436</v>
      </c>
      <c r="R104" s="463">
        <v>3.2600000074285718</v>
      </c>
      <c r="S104" s="463">
        <v>84.55585806714285</v>
      </c>
      <c r="T104" s="463">
        <v>72.732000077142857</v>
      </c>
      <c r="U104" s="463">
        <v>14.04828548342857</v>
      </c>
      <c r="V104" s="463">
        <v>13.002857208571429</v>
      </c>
      <c r="W104" s="463">
        <v>1.6</v>
      </c>
      <c r="X104" s="463">
        <v>57.322143555714298</v>
      </c>
      <c r="Y104" s="463">
        <v>18.826999800000003</v>
      </c>
    </row>
    <row r="105" spans="14:25">
      <c r="P105" s="462">
        <v>50</v>
      </c>
      <c r="Q105" s="463">
        <v>8.7257142747142868</v>
      </c>
      <c r="R105" s="463">
        <v>3.4628571441428577</v>
      </c>
      <c r="S105" s="463">
        <v>77.460142951428566</v>
      </c>
      <c r="T105" s="463">
        <v>64.097142899999994</v>
      </c>
      <c r="U105" s="463">
        <v>11.032857077571427</v>
      </c>
      <c r="V105" s="463">
        <v>13</v>
      </c>
      <c r="W105" s="463">
        <v>1.6000000240000001</v>
      </c>
      <c r="X105" s="463">
        <v>51.470714571428573</v>
      </c>
      <c r="Y105" s="463">
        <v>20.280285972857143</v>
      </c>
    </row>
    <row r="106" spans="14:25">
      <c r="P106" s="462">
        <v>51</v>
      </c>
      <c r="Q106" s="463">
        <v>9.7215715127142861</v>
      </c>
      <c r="R106" s="463">
        <v>4.2539999484285715</v>
      </c>
      <c r="S106" s="463">
        <v>78.166143688571424</v>
      </c>
      <c r="T106" s="463">
        <v>94.237856191428577</v>
      </c>
      <c r="U106" s="463">
        <v>14.381428445285712</v>
      </c>
      <c r="V106" s="463">
        <v>13.01285743857143</v>
      </c>
      <c r="W106" s="463">
        <v>1.6257142851428572</v>
      </c>
      <c r="X106" s="463">
        <v>65.58357184285714</v>
      </c>
      <c r="Y106" s="463">
        <v>34.849000112857141</v>
      </c>
    </row>
    <row r="107" spans="14:25">
      <c r="O107" s="461">
        <v>52</v>
      </c>
      <c r="P107" s="462">
        <v>52</v>
      </c>
      <c r="Q107" s="463">
        <v>10.323285784571427</v>
      </c>
      <c r="R107" s="463">
        <v>4.6457142829999993</v>
      </c>
      <c r="S107" s="463">
        <v>86.972714017142849</v>
      </c>
      <c r="T107" s="463">
        <v>94.357285634285716</v>
      </c>
      <c r="U107" s="463">
        <v>13.293999945714287</v>
      </c>
      <c r="V107" s="463">
        <v>13.09681579142857</v>
      </c>
      <c r="W107" s="463">
        <v>1.644999981</v>
      </c>
      <c r="X107" s="463">
        <v>104.27285767571428</v>
      </c>
      <c r="Y107" s="463">
        <v>35.335714887142856</v>
      </c>
    </row>
    <row r="108" spans="14:25">
      <c r="N108" s="461">
        <v>2018</v>
      </c>
      <c r="O108" s="461">
        <v>1</v>
      </c>
      <c r="P108" s="462">
        <v>1</v>
      </c>
      <c r="Q108" s="463">
        <v>10.34</v>
      </c>
      <c r="R108" s="463">
        <v>4.4628571428571426</v>
      </c>
      <c r="S108" s="463">
        <v>140.04142857142858</v>
      </c>
      <c r="T108" s="463">
        <v>143.09</v>
      </c>
      <c r="U108" s="463">
        <v>20.63</v>
      </c>
      <c r="V108" s="463">
        <v>13</v>
      </c>
      <c r="W108" s="463">
        <v>1.64</v>
      </c>
      <c r="X108" s="463">
        <v>201.2428571428571</v>
      </c>
      <c r="Y108" s="463">
        <v>63.23</v>
      </c>
    </row>
    <row r="109" spans="14:25">
      <c r="P109" s="462">
        <v>2</v>
      </c>
      <c r="Q109" s="463">
        <v>13.730999947142859</v>
      </c>
      <c r="R109" s="463">
        <v>3.5944285392857145</v>
      </c>
      <c r="S109" s="463">
        <v>209.91800362857143</v>
      </c>
      <c r="T109" s="463">
        <v>160.98214394285716</v>
      </c>
      <c r="U109" s="463">
        <v>36.213856559999996</v>
      </c>
      <c r="V109" s="463">
        <v>11.774285724285715</v>
      </c>
      <c r="W109" s="463">
        <v>1.5914286031428568</v>
      </c>
      <c r="X109" s="463">
        <v>229.4250030571429</v>
      </c>
      <c r="Y109" s="463">
        <v>56.654285431428562</v>
      </c>
    </row>
    <row r="110" spans="14:25">
      <c r="P110" s="462">
        <v>3</v>
      </c>
      <c r="Q110" s="463">
        <v>15.983285902857142</v>
      </c>
      <c r="R110" s="463">
        <v>8.3045714242857152</v>
      </c>
      <c r="S110" s="463">
        <v>223.6645725857143</v>
      </c>
      <c r="T110" s="463">
        <v>190.44042751428574</v>
      </c>
      <c r="U110" s="463">
        <v>30.819142750000001</v>
      </c>
      <c r="V110" s="463">
        <v>11.857142857142858</v>
      </c>
      <c r="W110" s="463">
        <v>1.5814286125714285</v>
      </c>
      <c r="X110" s="463">
        <v>261.56357028571426</v>
      </c>
      <c r="Y110" s="463">
        <v>68.516428267142857</v>
      </c>
    </row>
    <row r="111" spans="14:25">
      <c r="O111" s="461">
        <v>4</v>
      </c>
      <c r="P111" s="462">
        <v>4</v>
      </c>
      <c r="Q111" s="463">
        <v>21.988571574285714</v>
      </c>
      <c r="R111" s="463">
        <v>15.598142828000002</v>
      </c>
      <c r="S111" s="463">
        <v>346.88342720000003</v>
      </c>
      <c r="T111" s="463">
        <v>205.5832868285714</v>
      </c>
      <c r="U111" s="463">
        <v>40.893000467142862</v>
      </c>
      <c r="V111" s="463">
        <v>18.734285627142857</v>
      </c>
      <c r="W111" s="463">
        <v>1.5700000519999997</v>
      </c>
      <c r="X111" s="463">
        <v>261.98000009999998</v>
      </c>
      <c r="Y111" s="463">
        <v>58.935427530000005</v>
      </c>
    </row>
    <row r="112" spans="14:25">
      <c r="P112" s="462">
        <v>5</v>
      </c>
      <c r="Q112" s="463">
        <v>17.729000225714284</v>
      </c>
      <c r="R112" s="463">
        <v>13.724571365714285</v>
      </c>
      <c r="S112" s="463">
        <v>214.95928737142859</v>
      </c>
      <c r="T112" s="463">
        <v>93.607142857142861</v>
      </c>
      <c r="U112" s="463">
        <v>17.748285841428572</v>
      </c>
      <c r="V112" s="463">
        <v>23.390000208571426</v>
      </c>
      <c r="W112" s="463">
        <v>1.5700000519999997</v>
      </c>
      <c r="X112" s="463">
        <v>141.83571514285714</v>
      </c>
      <c r="Y112" s="463">
        <v>45.332857951428579</v>
      </c>
    </row>
    <row r="113" spans="15:25">
      <c r="P113" s="462">
        <v>6</v>
      </c>
      <c r="Q113" s="463">
        <v>13.582571572857143</v>
      </c>
      <c r="R113" s="463">
        <v>8.6634286477142854</v>
      </c>
      <c r="S113" s="463">
        <v>166.34242902857142</v>
      </c>
      <c r="T113" s="463">
        <v>108.25571334000001</v>
      </c>
      <c r="U113" s="463">
        <v>18.79157175142857</v>
      </c>
      <c r="V113" s="463">
        <v>20.201017107142857</v>
      </c>
      <c r="W113" s="463">
        <v>2.3694285491428571</v>
      </c>
      <c r="X113" s="463">
        <v>164.55714089999998</v>
      </c>
      <c r="Y113" s="463">
        <v>65.987571171428584</v>
      </c>
    </row>
    <row r="114" spans="15:25">
      <c r="P114" s="462">
        <v>7</v>
      </c>
      <c r="Q114" s="463">
        <v>14.722571237142859</v>
      </c>
      <c r="R114" s="463">
        <v>11.071428435428571</v>
      </c>
      <c r="S114" s="463">
        <v>239.50057330000001</v>
      </c>
      <c r="T114" s="463">
        <v>202.98199900000003</v>
      </c>
      <c r="U114" s="463">
        <v>42.088571821428573</v>
      </c>
      <c r="V114" s="463">
        <v>15.283185821428571</v>
      </c>
      <c r="W114" s="463">
        <v>3.1689999100000001</v>
      </c>
      <c r="X114" s="463">
        <v>355.31285748571423</v>
      </c>
      <c r="Y114" s="463">
        <v>97.722999031428586</v>
      </c>
    </row>
    <row r="115" spans="15:25">
      <c r="O115" s="461">
        <v>8</v>
      </c>
      <c r="P115" s="462">
        <v>8</v>
      </c>
      <c r="Q115" s="463">
        <v>18.48</v>
      </c>
      <c r="R115" s="463">
        <v>14.97</v>
      </c>
      <c r="S115" s="463">
        <v>357.61814662857148</v>
      </c>
      <c r="T115" s="463">
        <v>251.1</v>
      </c>
      <c r="U115" s="463">
        <v>43.74</v>
      </c>
      <c r="V115" s="463">
        <v>16.564</v>
      </c>
      <c r="W115" s="463">
        <v>3.16</v>
      </c>
      <c r="X115" s="463">
        <v>437.78</v>
      </c>
      <c r="Y115" s="463">
        <v>142.13</v>
      </c>
    </row>
    <row r="116" spans="15:25">
      <c r="P116" s="462">
        <v>9</v>
      </c>
      <c r="Q116" s="463">
        <v>21.652428627142854</v>
      </c>
      <c r="R116" s="463">
        <v>14.185285431142857</v>
      </c>
      <c r="S116" s="463">
        <v>333.90885488571433</v>
      </c>
      <c r="T116" s="463">
        <v>204.95843285714287</v>
      </c>
      <c r="U116" s="463">
        <v>31.755000522857138</v>
      </c>
      <c r="V116" s="463">
        <v>15.852976190476195</v>
      </c>
      <c r="W116" s="463">
        <v>3.1689999100000001</v>
      </c>
      <c r="X116" s="463">
        <v>424.14571271428576</v>
      </c>
      <c r="Y116" s="463">
        <v>142.13857270714286</v>
      </c>
    </row>
    <row r="117" spans="15:25">
      <c r="P117" s="462">
        <v>10</v>
      </c>
      <c r="Q117" s="463">
        <v>30.272714344285713</v>
      </c>
      <c r="R117" s="463">
        <v>17.434571538571429</v>
      </c>
      <c r="S117" s="463">
        <v>431.64157101428572</v>
      </c>
      <c r="T117" s="463">
        <v>177.15485925714287</v>
      </c>
      <c r="U117" s="463">
        <v>31.196571622857142</v>
      </c>
      <c r="V117" s="463">
        <v>14.442</v>
      </c>
      <c r="W117" s="463">
        <v>4.7437142644285712</v>
      </c>
      <c r="X117" s="463">
        <v>293.69142804285718</v>
      </c>
      <c r="Y117" s="463">
        <v>72.30971418</v>
      </c>
    </row>
    <row r="118" spans="15:25">
      <c r="P118" s="462">
        <v>11</v>
      </c>
      <c r="Q118" s="463">
        <v>28.071857179999999</v>
      </c>
      <c r="R118" s="463">
        <v>17.048571724285715</v>
      </c>
      <c r="S118" s="463">
        <v>485.98543439999997</v>
      </c>
      <c r="T118" s="463">
        <v>169.375</v>
      </c>
      <c r="U118" s="463">
        <v>52.626284462857136</v>
      </c>
      <c r="V118" s="463">
        <v>18.273</v>
      </c>
      <c r="W118" s="463">
        <v>3.0879999738571429</v>
      </c>
      <c r="X118" s="463">
        <v>511.54500034285724</v>
      </c>
      <c r="Y118" s="463">
        <v>119.7894287057143</v>
      </c>
    </row>
    <row r="119" spans="15:25">
      <c r="O119" s="461">
        <v>12</v>
      </c>
      <c r="P119" s="462">
        <v>12</v>
      </c>
      <c r="Q119" s="463">
        <v>29.90999984714286</v>
      </c>
      <c r="R119" s="463">
        <v>21.62</v>
      </c>
      <c r="S119" s="463">
        <v>465.24414497142863</v>
      </c>
      <c r="T119" s="463">
        <v>201.58328465714288</v>
      </c>
      <c r="U119" s="463">
        <v>57.669144221428567</v>
      </c>
      <c r="V119" s="463">
        <v>23.244</v>
      </c>
      <c r="W119" s="463">
        <v>4.5095714328571432</v>
      </c>
      <c r="X119" s="463">
        <v>433.89143152857145</v>
      </c>
      <c r="Y119" s="463">
        <v>152.80443028571429</v>
      </c>
    </row>
    <row r="120" spans="15:25">
      <c r="P120" s="462">
        <v>13</v>
      </c>
      <c r="Q120" s="463">
        <v>28.360142844285718</v>
      </c>
      <c r="R120" s="463">
        <v>17.439428465714283</v>
      </c>
      <c r="S120" s="463">
        <v>396.37686155714289</v>
      </c>
      <c r="T120" s="463">
        <v>163.75585502857143</v>
      </c>
      <c r="U120" s="463">
        <v>35.725570951428573</v>
      </c>
      <c r="V120" s="463">
        <v>23.143392837142859</v>
      </c>
      <c r="W120" s="463">
        <v>3.3929999999999998</v>
      </c>
      <c r="X120" s="463">
        <v>281.79928587142859</v>
      </c>
      <c r="Y120" s="463">
        <v>107.32928468714286</v>
      </c>
    </row>
    <row r="121" spans="15:25">
      <c r="P121" s="462">
        <v>14</v>
      </c>
      <c r="Q121" s="463">
        <v>23.830285752857144</v>
      </c>
      <c r="R121" s="463">
        <v>12.833285604571429</v>
      </c>
      <c r="S121" s="463">
        <v>226.32643345714288</v>
      </c>
      <c r="T121" s="463">
        <v>133.53585814285714</v>
      </c>
      <c r="U121" s="463">
        <v>28.622000282857147</v>
      </c>
      <c r="V121" s="463">
        <v>19.16</v>
      </c>
      <c r="W121" s="463">
        <v>1.736</v>
      </c>
      <c r="X121" s="463">
        <v>176.23214502857144</v>
      </c>
      <c r="Y121" s="463">
        <v>80.936570849999995</v>
      </c>
    </row>
    <row r="122" spans="15:25">
      <c r="P122" s="462">
        <v>15</v>
      </c>
      <c r="Q122" s="463">
        <v>27</v>
      </c>
      <c r="R122" s="463">
        <v>15.571285655714286</v>
      </c>
      <c r="S122" s="463">
        <v>207.40800040000002</v>
      </c>
      <c r="T122" s="463">
        <v>107.59514291428572</v>
      </c>
      <c r="U122" s="463">
        <v>30.753999982857145</v>
      </c>
      <c r="V122" s="463">
        <v>14.377143042857142</v>
      </c>
      <c r="W122" s="463">
        <v>1.8612856864285716</v>
      </c>
      <c r="X122" s="463">
        <v>130.09</v>
      </c>
      <c r="Y122" s="463">
        <v>42.693143572857146</v>
      </c>
    </row>
    <row r="123" spans="15:25">
      <c r="O123" s="461">
        <v>16</v>
      </c>
      <c r="P123" s="462">
        <v>16</v>
      </c>
      <c r="Q123" s="463">
        <v>19.899999999999999</v>
      </c>
      <c r="R123" s="463">
        <v>12.83</v>
      </c>
      <c r="S123" s="463">
        <v>166.38871437142856</v>
      </c>
      <c r="T123" s="463">
        <v>95.78</v>
      </c>
      <c r="U123" s="463">
        <v>29.88</v>
      </c>
      <c r="V123" s="463">
        <v>12.36</v>
      </c>
      <c r="W123" s="463">
        <v>1.9</v>
      </c>
      <c r="X123" s="463">
        <v>96.9</v>
      </c>
      <c r="Y123" s="463">
        <v>33.717142651428574</v>
      </c>
    </row>
    <row r="124" spans="15:25">
      <c r="P124" s="462">
        <v>17</v>
      </c>
      <c r="Q124" s="463">
        <v>19.14</v>
      </c>
      <c r="R124" s="463">
        <v>13.52</v>
      </c>
      <c r="S124" s="463">
        <v>168.19342804285716</v>
      </c>
      <c r="T124" s="463">
        <v>95.39</v>
      </c>
      <c r="U124" s="463">
        <v>22.257285525714284</v>
      </c>
      <c r="V124" s="463">
        <v>13.4</v>
      </c>
      <c r="W124" s="463">
        <v>1.7940000124285713</v>
      </c>
      <c r="X124" s="463">
        <v>89.59</v>
      </c>
      <c r="Y124" s="463">
        <v>27.06</v>
      </c>
    </row>
    <row r="125" spans="15:25">
      <c r="P125" s="462">
        <v>18</v>
      </c>
      <c r="Q125" s="463">
        <v>19.703571455714286</v>
      </c>
      <c r="R125" s="463">
        <v>14.166857039571427</v>
      </c>
      <c r="S125" s="463">
        <v>171.5428597714286</v>
      </c>
      <c r="T125" s="463">
        <v>85.958285739999994</v>
      </c>
      <c r="U125" s="463">
        <v>21.651714052857141</v>
      </c>
      <c r="V125" s="463">
        <v>12.785805702857145</v>
      </c>
      <c r="W125" s="463">
        <v>2.3024285860000004</v>
      </c>
      <c r="X125" s="463">
        <v>89.602142331428567</v>
      </c>
      <c r="Y125" s="463">
        <v>22.269714081428571</v>
      </c>
    </row>
    <row r="126" spans="15:25">
      <c r="P126" s="462">
        <v>19</v>
      </c>
      <c r="Q126" s="463">
        <v>15.48828561</v>
      </c>
      <c r="R126" s="463">
        <v>12.650857108142857</v>
      </c>
      <c r="S126" s="463">
        <v>146.54485865714287</v>
      </c>
      <c r="T126" s="463">
        <v>88.244000028571435</v>
      </c>
      <c r="U126" s="463">
        <v>19.037142890000002</v>
      </c>
      <c r="V126" s="463">
        <v>11.328391347142857</v>
      </c>
      <c r="W126" s="463">
        <v>1.8057142665714285</v>
      </c>
      <c r="X126" s="463">
        <v>75.568572998571426</v>
      </c>
      <c r="Y126" s="463">
        <v>17.565999711428571</v>
      </c>
    </row>
    <row r="127" spans="15:25">
      <c r="O127" s="461">
        <v>20</v>
      </c>
      <c r="P127" s="462">
        <v>20</v>
      </c>
      <c r="Q127" s="463">
        <v>14.601142882857145</v>
      </c>
      <c r="R127" s="463">
        <v>10.013285772</v>
      </c>
      <c r="S127" s="463">
        <v>112.76242937142857</v>
      </c>
      <c r="T127" s="463">
        <v>64.809571402857145</v>
      </c>
      <c r="U127" s="463">
        <v>16.531571660000001</v>
      </c>
      <c r="V127" s="463">
        <v>10.899261474285714</v>
      </c>
      <c r="W127" s="463">
        <v>1.7767143248571429</v>
      </c>
      <c r="X127" s="463">
        <v>62.208570752857149</v>
      </c>
      <c r="Y127" s="463">
        <v>14.502285821428572</v>
      </c>
    </row>
    <row r="128" spans="15:25">
      <c r="P128" s="462">
        <v>21</v>
      </c>
      <c r="Q128" s="463">
        <v>13.411285537142858</v>
      </c>
      <c r="R128" s="463">
        <v>7.8631429672857154</v>
      </c>
      <c r="S128" s="463">
        <v>94.636570517142857</v>
      </c>
      <c r="T128" s="463">
        <v>49.303714208571428</v>
      </c>
      <c r="U128" s="463">
        <v>13.450571468571427</v>
      </c>
      <c r="V128" s="463">
        <v>11.166911400000002</v>
      </c>
      <c r="W128" s="463">
        <v>1.8437143055714282</v>
      </c>
      <c r="X128" s="463">
        <v>54.38714218285714</v>
      </c>
      <c r="Y128" s="463">
        <v>12.214999879999999</v>
      </c>
    </row>
    <row r="129" spans="15:26">
      <c r="P129" s="462">
        <v>22</v>
      </c>
      <c r="Q129" s="463">
        <v>12.490285737142855</v>
      </c>
      <c r="R129" s="463">
        <v>6.4215714250000007</v>
      </c>
      <c r="S129" s="463">
        <v>81.718714031428576</v>
      </c>
      <c r="T129" s="463">
        <v>42.928571428571431</v>
      </c>
      <c r="U129" s="463">
        <v>11.897571562857141</v>
      </c>
      <c r="V129" s="463">
        <v>10.57333578442857</v>
      </c>
      <c r="W129" s="463">
        <v>1.8770000252857142</v>
      </c>
      <c r="X129" s="463">
        <v>48.837857382857138</v>
      </c>
      <c r="Y129" s="463">
        <v>10.894571441428569</v>
      </c>
    </row>
    <row r="130" spans="15:26">
      <c r="P130" s="462">
        <v>23</v>
      </c>
      <c r="Q130" s="463">
        <v>12.278000014285713</v>
      </c>
      <c r="R130" s="463">
        <v>5.5577142921428564</v>
      </c>
      <c r="S130" s="463">
        <v>83.760285512857152</v>
      </c>
      <c r="T130" s="463">
        <v>67.797571451428567</v>
      </c>
      <c r="U130" s="463">
        <v>15.801714215714284</v>
      </c>
      <c r="V130" s="463">
        <v>11.341294289999999</v>
      </c>
      <c r="W130" s="463">
        <v>1.7928571701428571</v>
      </c>
      <c r="X130" s="463">
        <v>58.175000328571436</v>
      </c>
      <c r="Y130" s="463">
        <v>13.860571451428571</v>
      </c>
    </row>
    <row r="131" spans="15:26">
      <c r="O131" s="461">
        <v>24</v>
      </c>
      <c r="P131" s="462">
        <v>24</v>
      </c>
      <c r="Q131" s="463">
        <v>10.882714271142857</v>
      </c>
      <c r="R131" s="463">
        <v>5.3317142215714286</v>
      </c>
      <c r="S131" s="463">
        <v>82.799001421428557</v>
      </c>
      <c r="T131" s="463">
        <v>63.982142857142854</v>
      </c>
      <c r="U131" s="463">
        <v>15.595999989999999</v>
      </c>
      <c r="V131" s="463">
        <v>11.96411841142857</v>
      </c>
      <c r="W131" s="463">
        <v>2.0252857377142854</v>
      </c>
      <c r="X131" s="463">
        <v>61.988572801428582</v>
      </c>
      <c r="Y131" s="463">
        <v>13.392856871428572</v>
      </c>
    </row>
    <row r="132" spans="15:26">
      <c r="P132" s="462">
        <v>25</v>
      </c>
      <c r="Q132" s="463">
        <v>10.290999957142857</v>
      </c>
      <c r="R132" s="463">
        <v>3.7498572211428569</v>
      </c>
      <c r="S132" s="463">
        <v>74.093855721428568</v>
      </c>
      <c r="T132" s="463">
        <v>53.035571505714287</v>
      </c>
      <c r="U132" s="463">
        <v>14.135857038571428</v>
      </c>
      <c r="V132" s="463">
        <v>11.79</v>
      </c>
      <c r="W132" s="463">
        <v>2.0514285564285717</v>
      </c>
      <c r="X132" s="463">
        <v>51.970714024285719</v>
      </c>
      <c r="Y132" s="463">
        <v>10.749428476857142</v>
      </c>
    </row>
    <row r="133" spans="15:26">
      <c r="P133" s="462">
        <v>26</v>
      </c>
      <c r="Q133" s="463">
        <v>9.5591429302857147</v>
      </c>
      <c r="R133" s="463">
        <v>3.5651427677142853</v>
      </c>
      <c r="S133" s="463">
        <v>66.795142037142867</v>
      </c>
      <c r="T133" s="463">
        <v>40.369000025714286</v>
      </c>
      <c r="U133" s="463">
        <v>10.912428581428573</v>
      </c>
      <c r="V133" s="463">
        <v>10.93</v>
      </c>
      <c r="W133" s="463">
        <v>2.1038571597142854</v>
      </c>
      <c r="X133" s="463">
        <v>44.390714371428579</v>
      </c>
      <c r="Y133" s="463">
        <v>9.1145714351428584</v>
      </c>
    </row>
    <row r="134" spans="15:26">
      <c r="P134" s="462">
        <v>27</v>
      </c>
      <c r="Q134" s="463">
        <v>9.3137141635714293</v>
      </c>
      <c r="R134" s="463">
        <v>4.7600000245714282</v>
      </c>
      <c r="S134" s="463">
        <v>67.368571689999996</v>
      </c>
      <c r="T134" s="463">
        <v>33.409999999999997</v>
      </c>
      <c r="U134" s="463">
        <v>9.4035714009999989</v>
      </c>
      <c r="V134" s="463">
        <v>12.51</v>
      </c>
      <c r="W134" s="463">
        <v>2.0499999999999998</v>
      </c>
      <c r="X134" s="463">
        <v>39.173571994285716</v>
      </c>
      <c r="Y134" s="463">
        <v>7.6487142698571438</v>
      </c>
    </row>
    <row r="135" spans="15:26">
      <c r="O135" s="461">
        <v>28</v>
      </c>
      <c r="P135" s="462">
        <v>28</v>
      </c>
      <c r="Q135" s="463">
        <v>8.7544284548571447</v>
      </c>
      <c r="R135" s="463">
        <v>2.5707143034285713</v>
      </c>
      <c r="S135" s="463">
        <v>65.073571887142847</v>
      </c>
      <c r="T135" s="463">
        <v>33.160714285714285</v>
      </c>
      <c r="U135" s="463">
        <v>9.4155716217142871</v>
      </c>
      <c r="V135" s="463">
        <v>12.3</v>
      </c>
      <c r="W135" s="463">
        <v>2.2505714212857142</v>
      </c>
      <c r="X135" s="463">
        <v>36.999285560000011</v>
      </c>
      <c r="Y135" s="463">
        <v>7.0544285774285713</v>
      </c>
    </row>
    <row r="136" spans="15:26">
      <c r="P136" s="462">
        <v>29</v>
      </c>
      <c r="Q136" s="463">
        <v>8.6149000000000004</v>
      </c>
      <c r="R136" s="463">
        <v>3.7006000000000001</v>
      </c>
      <c r="S136" s="463">
        <v>62.515714285714289</v>
      </c>
      <c r="T136" s="463">
        <v>35.738</v>
      </c>
      <c r="U136" s="463">
        <v>9.5503999999999998</v>
      </c>
      <c r="V136" s="463">
        <v>12.245714285714286</v>
      </c>
      <c r="W136" s="463">
        <v>1.9771428571428571</v>
      </c>
      <c r="X136" s="463">
        <v>38.677142857142861</v>
      </c>
      <c r="Y136" s="463">
        <v>6.3400000000000007</v>
      </c>
    </row>
    <row r="137" spans="15:26">
      <c r="P137" s="462">
        <v>30</v>
      </c>
      <c r="Q137" s="463">
        <v>8.1221428598571439</v>
      </c>
      <c r="R137" s="463">
        <v>4.9111429789999992</v>
      </c>
      <c r="S137" s="463">
        <v>57.148857115714286</v>
      </c>
      <c r="T137" s="463">
        <v>85.065429679999994</v>
      </c>
      <c r="U137" s="463">
        <v>15.534142631428571</v>
      </c>
      <c r="V137" s="463">
        <v>10.995952741142858</v>
      </c>
      <c r="W137" s="463">
        <v>2.2859999964285715</v>
      </c>
      <c r="X137" s="463">
        <v>56.166428702857139</v>
      </c>
      <c r="Y137" s="463">
        <v>9.4385714285714304</v>
      </c>
    </row>
    <row r="138" spans="15:26">
      <c r="P138" s="462">
        <v>31</v>
      </c>
      <c r="Q138" s="463">
        <v>7.5620000000000003</v>
      </c>
      <c r="R138" s="463">
        <v>3.28</v>
      </c>
      <c r="S138" s="463">
        <v>58.768000000000001</v>
      </c>
      <c r="T138" s="463">
        <v>40.375</v>
      </c>
      <c r="U138" s="463">
        <v>8.5579999999999998</v>
      </c>
      <c r="V138" s="463">
        <v>13.18</v>
      </c>
      <c r="W138" s="463">
        <v>2</v>
      </c>
      <c r="X138" s="463">
        <v>50.215000000000003</v>
      </c>
      <c r="Y138" s="463">
        <v>8.5770238095238049</v>
      </c>
    </row>
    <row r="139" spans="15:26">
      <c r="O139" s="461">
        <v>32</v>
      </c>
      <c r="P139" s="462">
        <v>32</v>
      </c>
      <c r="Q139" s="463">
        <v>8.4994284765714276</v>
      </c>
      <c r="R139" s="463">
        <v>4.8781427315714287</v>
      </c>
      <c r="S139" s="463">
        <v>54.703428540000004</v>
      </c>
      <c r="T139" s="463">
        <v>52.946428571428569</v>
      </c>
      <c r="U139" s="463">
        <v>10.739857128857144</v>
      </c>
      <c r="V139" s="463">
        <v>10.850328444285712</v>
      </c>
      <c r="W139" s="463">
        <v>2.0667142697142857</v>
      </c>
      <c r="X139" s="463">
        <v>50.460713522857141</v>
      </c>
      <c r="Y139" s="463">
        <v>9.7962856299999999</v>
      </c>
    </row>
    <row r="140" spans="15:26">
      <c r="P140" s="462">
        <v>33</v>
      </c>
      <c r="Q140" s="463">
        <v>7.8117142411428571</v>
      </c>
      <c r="R140" s="463">
        <v>4.5999999999999996</v>
      </c>
      <c r="S140" s="463">
        <v>59.066285269999995</v>
      </c>
      <c r="T140" s="463">
        <v>47.13</v>
      </c>
      <c r="U140" s="463">
        <v>9.23</v>
      </c>
      <c r="V140" s="463">
        <v>10.84</v>
      </c>
      <c r="W140" s="463">
        <v>2.0499999999999998</v>
      </c>
      <c r="X140" s="463">
        <v>44.64</v>
      </c>
      <c r="Y140" s="463">
        <v>8.7822855541428577</v>
      </c>
    </row>
    <row r="141" spans="15:26">
      <c r="P141" s="462">
        <v>34</v>
      </c>
      <c r="Q141" s="463">
        <v>6.44</v>
      </c>
      <c r="R141" s="463">
        <v>5.1568571165714285</v>
      </c>
      <c r="S141" s="463">
        <v>82.033571515714272</v>
      </c>
      <c r="T141" s="463">
        <v>63.892999920000001</v>
      </c>
      <c r="U141" s="463">
        <v>10.917285918714287</v>
      </c>
      <c r="V141" s="463">
        <v>10.534582955714285</v>
      </c>
      <c r="W141" s="463">
        <v>1.8788571358571429</v>
      </c>
      <c r="X141" s="463">
        <v>35.627857751428571</v>
      </c>
      <c r="Y141" s="463">
        <v>11.383714402571428</v>
      </c>
    </row>
    <row r="142" spans="15:26">
      <c r="P142" s="462">
        <v>35</v>
      </c>
      <c r="Q142" s="463">
        <v>7.5428571428571427</v>
      </c>
      <c r="R142" s="463">
        <v>2.15</v>
      </c>
      <c r="S142" s="463">
        <v>71.48</v>
      </c>
      <c r="T142" s="463">
        <v>45.64</v>
      </c>
      <c r="U142" s="463">
        <v>9.4700000000000006</v>
      </c>
      <c r="V142" s="463">
        <v>10.92</v>
      </c>
      <c r="W142" s="463">
        <v>1.88</v>
      </c>
      <c r="X142" s="463">
        <v>32.979999999999997</v>
      </c>
      <c r="Y142" s="463">
        <v>7.88</v>
      </c>
    </row>
    <row r="143" spans="15:26">
      <c r="O143" s="461">
        <v>36</v>
      </c>
      <c r="P143" s="462">
        <v>36</v>
      </c>
      <c r="Q143" s="463">
        <v>7.1671427998571433</v>
      </c>
      <c r="R143" s="463">
        <v>4.8342857142857136</v>
      </c>
      <c r="S143" s="463">
        <v>63.092857142857149</v>
      </c>
      <c r="T143" s="463">
        <v>34.571428571428569</v>
      </c>
      <c r="U143" s="463">
        <v>7.5942857142857134</v>
      </c>
      <c r="V143" s="463">
        <v>11.091428571428571</v>
      </c>
      <c r="W143" s="463">
        <v>1.8442857142857143</v>
      </c>
      <c r="X143" s="463">
        <v>31.20428571428571</v>
      </c>
      <c r="Y143" s="463">
        <v>8.0857142857142854</v>
      </c>
      <c r="Z143" s="492"/>
    </row>
    <row r="144" spans="15:26">
      <c r="P144" s="462">
        <v>37</v>
      </c>
      <c r="Q144" s="463">
        <v>7.1637143408571422</v>
      </c>
      <c r="R144" s="463">
        <v>3.1535714688571423</v>
      </c>
      <c r="S144" s="463">
        <v>61.141713821428574</v>
      </c>
      <c r="T144" s="463">
        <v>28.744000025714286</v>
      </c>
      <c r="U144" s="463">
        <v>6.5637142318571433</v>
      </c>
      <c r="V144" s="463">
        <v>10.825238499999999</v>
      </c>
      <c r="W144" s="463">
        <v>1.8114285809999999</v>
      </c>
      <c r="X144" s="463">
        <v>29.614285605714283</v>
      </c>
      <c r="Y144" s="463">
        <v>8.6452856064285708</v>
      </c>
    </row>
    <row r="145" spans="14:25">
      <c r="P145" s="462">
        <v>38</v>
      </c>
      <c r="Q145" s="463">
        <v>8.31</v>
      </c>
      <c r="R145" s="463">
        <v>3.3441428289999995</v>
      </c>
      <c r="S145" s="463">
        <v>49.664428712857145</v>
      </c>
      <c r="T145" s="463">
        <v>35.571571351428574</v>
      </c>
      <c r="U145" s="463">
        <v>7.2939999444285712</v>
      </c>
      <c r="V145" s="463">
        <v>11.159824370000001</v>
      </c>
      <c r="W145" s="463">
        <v>1.8427142925714282</v>
      </c>
      <c r="X145" s="463">
        <v>30.912857054285716</v>
      </c>
      <c r="Y145" s="463">
        <v>8.6452856064285708</v>
      </c>
    </row>
    <row r="146" spans="14:25">
      <c r="P146" s="462">
        <v>39</v>
      </c>
      <c r="Q146" s="463">
        <v>7.621428489714285</v>
      </c>
      <c r="R146" s="463">
        <v>4.6500000000000004</v>
      </c>
      <c r="S146" s="463">
        <v>42.24</v>
      </c>
      <c r="T146" s="463">
        <v>39.39</v>
      </c>
      <c r="U146" s="463">
        <v>7.68</v>
      </c>
      <c r="V146" s="463">
        <v>11.33</v>
      </c>
      <c r="W146" s="463">
        <v>1.64</v>
      </c>
      <c r="X146" s="463">
        <v>37.200000000000003</v>
      </c>
      <c r="Y146" s="463">
        <v>7.4194285528571422</v>
      </c>
    </row>
    <row r="147" spans="14:25">
      <c r="O147" s="461">
        <v>40</v>
      </c>
      <c r="P147" s="462">
        <v>40</v>
      </c>
      <c r="Q147" s="463">
        <v>7.621428489714285</v>
      </c>
      <c r="R147" s="463">
        <v>5.128571373571428</v>
      </c>
      <c r="S147" s="463">
        <v>38.906285422857138</v>
      </c>
      <c r="T147" s="463">
        <v>41.34000069857143</v>
      </c>
      <c r="U147" s="463">
        <v>9.112857137571428</v>
      </c>
      <c r="V147" s="463">
        <v>11.565001485714285</v>
      </c>
      <c r="W147" s="463">
        <v>1.8221428395714285</v>
      </c>
      <c r="X147" s="463">
        <v>42.197143011428572</v>
      </c>
      <c r="Y147" s="463">
        <v>9.6005713597142837</v>
      </c>
    </row>
    <row r="148" spans="14:25">
      <c r="P148" s="462">
        <v>41</v>
      </c>
      <c r="Q148" s="463">
        <v>7.2698572022574259</v>
      </c>
      <c r="R148" s="463">
        <v>4.8594285079410948</v>
      </c>
      <c r="S148" s="463">
        <v>42.923713956560341</v>
      </c>
      <c r="T148" s="463">
        <v>56.607142857142847</v>
      </c>
      <c r="U148" s="463">
        <v>11.170142854962995</v>
      </c>
      <c r="V148" s="463">
        <v>12.740178653172041</v>
      </c>
      <c r="W148" s="463">
        <v>1.7041428429739784</v>
      </c>
      <c r="X148" s="463">
        <v>49.475714547293492</v>
      </c>
      <c r="Y148" s="463">
        <v>10.943285942077617</v>
      </c>
    </row>
    <row r="149" spans="14:25">
      <c r="P149" s="462">
        <v>42</v>
      </c>
      <c r="Q149" s="463">
        <v>6.2732856614249064</v>
      </c>
      <c r="R149" s="463">
        <v>4.00314286776951</v>
      </c>
      <c r="S149" s="463">
        <v>73.976001194545148</v>
      </c>
      <c r="T149" s="463">
        <v>89.232285635811792</v>
      </c>
      <c r="U149" s="463">
        <v>19.282285690307582</v>
      </c>
      <c r="V149" s="463">
        <v>11.792381422860229</v>
      </c>
      <c r="W149" s="463">
        <v>1.5524285691124997</v>
      </c>
      <c r="X149" s="463">
        <v>72.350713457379968</v>
      </c>
      <c r="Y149" s="463">
        <v>17.972571236746628</v>
      </c>
    </row>
    <row r="150" spans="14:25">
      <c r="P150" s="462">
        <v>43</v>
      </c>
      <c r="Q150" s="463">
        <v>8.3208571161542526</v>
      </c>
      <c r="R150" s="463">
        <v>6.0481427737644662</v>
      </c>
      <c r="S150" s="463">
        <v>97.234427315848038</v>
      </c>
      <c r="T150" s="463">
        <v>125.70828465052978</v>
      </c>
      <c r="U150" s="463">
        <v>26.382142475673081</v>
      </c>
      <c r="V150" s="463">
        <v>12.0416071755545</v>
      </c>
      <c r="W150" s="463">
        <v>1.585428544453207</v>
      </c>
      <c r="X150" s="463">
        <v>82.484284537179079</v>
      </c>
      <c r="Y150" s="463">
        <v>19.552571432931028</v>
      </c>
    </row>
    <row r="151" spans="14:25">
      <c r="O151" s="461">
        <v>44</v>
      </c>
      <c r="P151" s="462">
        <v>44</v>
      </c>
      <c r="Q151" s="463">
        <v>9.2941429947142868</v>
      </c>
      <c r="R151" s="463">
        <v>7.6531428608571428</v>
      </c>
      <c r="S151" s="463">
        <v>120.62971387142855</v>
      </c>
      <c r="T151" s="463">
        <v>157.60714285714286</v>
      </c>
      <c r="U151" s="463">
        <v>33.364427840000005</v>
      </c>
      <c r="V151" s="463">
        <v>12.188929967142856</v>
      </c>
      <c r="W151" s="463">
        <v>1.6864285471428571</v>
      </c>
      <c r="X151" s="463">
        <v>110.40928649571428</v>
      </c>
      <c r="Y151" s="463">
        <v>33.081571032857141</v>
      </c>
    </row>
    <row r="152" spans="14:25">
      <c r="P152" s="462">
        <v>45</v>
      </c>
      <c r="Q152" s="463">
        <v>8.6642857274285721</v>
      </c>
      <c r="R152" s="463">
        <v>4.2061428341428568</v>
      </c>
      <c r="S152" s="463">
        <v>125.43157086857143</v>
      </c>
      <c r="T152" s="463">
        <v>105.63685608857143</v>
      </c>
      <c r="U152" s="463">
        <v>18.735571588571428</v>
      </c>
      <c r="V152" s="463">
        <v>13</v>
      </c>
      <c r="W152" s="463">
        <v>1.7397142818571427</v>
      </c>
      <c r="X152" s="463">
        <v>114.14357212285714</v>
      </c>
      <c r="Y152" s="463">
        <v>39.80185754</v>
      </c>
    </row>
    <row r="153" spans="14:25">
      <c r="P153" s="462">
        <v>46</v>
      </c>
      <c r="Q153" s="463">
        <v>8.5371428571428574</v>
      </c>
      <c r="R153" s="463">
        <v>5.9</v>
      </c>
      <c r="S153" s="463">
        <v>78.757142857142853</v>
      </c>
      <c r="T153" s="463">
        <v>79.304285714285712</v>
      </c>
      <c r="U153" s="463">
        <v>13.16</v>
      </c>
      <c r="V153" s="463">
        <v>13.001428571428571</v>
      </c>
      <c r="W153" s="463">
        <v>1.5</v>
      </c>
      <c r="X153" s="463">
        <v>93.457142857142841</v>
      </c>
      <c r="Y153" s="463">
        <v>37.212857142857146</v>
      </c>
    </row>
    <row r="154" spans="14:25">
      <c r="P154" s="462">
        <v>47</v>
      </c>
      <c r="Q154" s="463">
        <v>9.0094285692857135</v>
      </c>
      <c r="R154" s="463">
        <v>7.1015714912857133</v>
      </c>
      <c r="S154" s="463">
        <v>88.111712864285735</v>
      </c>
      <c r="T154" s="463">
        <v>74.684428622857141</v>
      </c>
      <c r="U154" s="463">
        <v>13.483142988571428</v>
      </c>
      <c r="V154" s="463">
        <v>12.142405645714286</v>
      </c>
      <c r="W154" s="463">
        <v>1.5</v>
      </c>
      <c r="X154" s="463">
        <v>104.10500007571429</v>
      </c>
      <c r="Y154" s="463">
        <v>35.055428368571434</v>
      </c>
    </row>
    <row r="155" spans="14:25">
      <c r="O155" s="461">
        <v>48</v>
      </c>
      <c r="P155" s="462">
        <v>48</v>
      </c>
      <c r="Q155" s="463">
        <v>8.5042856081428582</v>
      </c>
      <c r="R155" s="463">
        <v>4.3617142950000005</v>
      </c>
      <c r="S155" s="463">
        <v>80.151286534285717</v>
      </c>
      <c r="T155" s="463">
        <v>95.303570342857142</v>
      </c>
      <c r="U155" s="463">
        <v>12.543571337142859</v>
      </c>
      <c r="V155" s="463">
        <v>11.975262778571429</v>
      </c>
      <c r="W155" s="463">
        <v>1.5</v>
      </c>
      <c r="X155" s="463">
        <v>91.569999695714287</v>
      </c>
      <c r="Y155" s="463">
        <v>28.370000294285713</v>
      </c>
    </row>
    <row r="156" spans="14:25">
      <c r="P156" s="462">
        <v>49</v>
      </c>
      <c r="Q156" s="463">
        <v>8.27</v>
      </c>
      <c r="R156" s="463">
        <v>6.9099999999999993</v>
      </c>
      <c r="S156" s="463">
        <v>66.555714285714288</v>
      </c>
      <c r="T156" s="463">
        <v>54.31</v>
      </c>
      <c r="U156" s="463">
        <v>8.99</v>
      </c>
      <c r="V156" s="463">
        <v>12.26</v>
      </c>
      <c r="W156" s="463">
        <v>1.5</v>
      </c>
      <c r="X156" s="463">
        <v>62.974285714285706</v>
      </c>
      <c r="Y156" s="463">
        <v>22.919999999999998</v>
      </c>
    </row>
    <row r="157" spans="14:25">
      <c r="P157" s="462">
        <v>50</v>
      </c>
      <c r="Q157" s="463">
        <v>8.1765714374285707</v>
      </c>
      <c r="R157" s="463">
        <v>6.5639999597142857</v>
      </c>
      <c r="S157" s="463">
        <v>61.602715082857152</v>
      </c>
      <c r="T157" s="463">
        <v>52.47614288285714</v>
      </c>
      <c r="U157" s="463">
        <v>10.909571511285714</v>
      </c>
      <c r="V157" s="463">
        <v>13.001428604285715</v>
      </c>
      <c r="W157" s="463">
        <v>1.457142846857143</v>
      </c>
      <c r="X157" s="463">
        <v>52.244286674285718</v>
      </c>
      <c r="Y157" s="463">
        <v>17.695714271428571</v>
      </c>
    </row>
    <row r="158" spans="14:25">
      <c r="P158" s="462">
        <v>51</v>
      </c>
      <c r="Q158" s="463">
        <v>10.342857142857142</v>
      </c>
      <c r="R158" s="463">
        <v>7.3285714285714283</v>
      </c>
      <c r="S158" s="463">
        <v>53.9</v>
      </c>
      <c r="T158" s="463">
        <v>126.14285714285714</v>
      </c>
      <c r="U158" s="463">
        <v>16.8</v>
      </c>
      <c r="V158" s="463">
        <v>12.257142857142856</v>
      </c>
      <c r="W158" s="463">
        <v>1.3857142857142859</v>
      </c>
      <c r="X158" s="463">
        <v>86.528571428571439</v>
      </c>
      <c r="Y158" s="463">
        <v>33.51428571428572</v>
      </c>
    </row>
    <row r="159" spans="14:25">
      <c r="O159" s="461">
        <v>52</v>
      </c>
      <c r="P159" s="462">
        <v>52</v>
      </c>
      <c r="Q159" s="463">
        <v>10.661999840142856</v>
      </c>
      <c r="R159" s="463">
        <v>7.4820000789999996</v>
      </c>
      <c r="S159" s="463">
        <v>57.504999978571433</v>
      </c>
      <c r="T159" s="463">
        <v>100.38085719714286</v>
      </c>
      <c r="U159" s="463">
        <v>16.435142652857145</v>
      </c>
      <c r="V159" s="463">
        <v>12.222315514285714</v>
      </c>
      <c r="W159" s="463">
        <v>1.2999999520000001</v>
      </c>
      <c r="X159" s="463">
        <v>103.53357153142858</v>
      </c>
      <c r="Y159" s="463">
        <v>52.753143308571431</v>
      </c>
    </row>
    <row r="160" spans="14:25">
      <c r="N160" s="461">
        <v>2019</v>
      </c>
      <c r="O160" s="461">
        <v>1</v>
      </c>
      <c r="P160" s="462">
        <v>1</v>
      </c>
      <c r="Q160" s="463">
        <v>8.992857251428573</v>
      </c>
      <c r="R160" s="463">
        <v>4.4642857141428571</v>
      </c>
      <c r="S160" s="463">
        <v>57.514999934285704</v>
      </c>
      <c r="T160" s="463">
        <v>79.871427261428579</v>
      </c>
      <c r="U160" s="463">
        <v>13.115714484285716</v>
      </c>
      <c r="V160" s="463">
        <v>11.571904317142856</v>
      </c>
      <c r="W160" s="463">
        <v>1.2999999520000001</v>
      </c>
      <c r="X160" s="463">
        <v>121.75642612857142</v>
      </c>
      <c r="Y160" s="463">
        <v>64.398429325714275</v>
      </c>
    </row>
    <row r="161" spans="15:25">
      <c r="P161" s="462">
        <v>2</v>
      </c>
      <c r="Q161" s="463">
        <v>7.4904285157142843</v>
      </c>
      <c r="R161" s="463">
        <v>3.3685714177142856</v>
      </c>
      <c r="S161" s="463">
        <v>63.363856724285711</v>
      </c>
      <c r="T161" s="463">
        <v>84.184571402857145</v>
      </c>
      <c r="U161" s="463">
        <v>16.11014284285714</v>
      </c>
      <c r="V161" s="463">
        <v>11.570298602857141</v>
      </c>
      <c r="W161" s="463">
        <v>1.2999999520000001</v>
      </c>
      <c r="X161" s="463">
        <v>180.32999965714288</v>
      </c>
      <c r="Y161" s="463">
        <v>70.997858864285703</v>
      </c>
    </row>
    <row r="162" spans="15:25">
      <c r="P162" s="462">
        <v>3</v>
      </c>
      <c r="Q162" s="463">
        <v>14.36</v>
      </c>
      <c r="R162" s="463">
        <v>10.74</v>
      </c>
      <c r="S162" s="463">
        <v>80.75</v>
      </c>
      <c r="T162" s="463">
        <v>149.30000000000001</v>
      </c>
      <c r="U162" s="463">
        <v>29.23</v>
      </c>
      <c r="V162" s="463">
        <v>11.28</v>
      </c>
      <c r="W162" s="463">
        <v>1.33</v>
      </c>
      <c r="X162" s="463">
        <v>167.22</v>
      </c>
      <c r="Y162" s="463">
        <v>68.83</v>
      </c>
    </row>
    <row r="163" spans="15:25">
      <c r="O163" s="461">
        <v>4</v>
      </c>
      <c r="P163" s="462">
        <v>4</v>
      </c>
      <c r="Q163" s="463">
        <v>17.131428719999999</v>
      </c>
      <c r="R163" s="463">
        <v>11.155714580142858</v>
      </c>
      <c r="S163" s="463">
        <v>85.689570837142853</v>
      </c>
      <c r="T163" s="463">
        <v>168.80999974285714</v>
      </c>
      <c r="U163" s="463">
        <v>36.200000218571425</v>
      </c>
      <c r="V163" s="463">
        <v>11.843988554285716</v>
      </c>
      <c r="W163" s="463">
        <v>3.0287143159999999</v>
      </c>
      <c r="X163" s="463">
        <v>185.51500375714286</v>
      </c>
      <c r="Y163" s="463">
        <v>70.089428494285713</v>
      </c>
    </row>
    <row r="164" spans="15:25">
      <c r="P164" s="462">
        <v>5</v>
      </c>
      <c r="Q164" s="463">
        <v>30.592286245714288</v>
      </c>
      <c r="R164" s="463">
        <v>16.463000024285716</v>
      </c>
      <c r="S164" s="463">
        <v>416.48700821428571</v>
      </c>
      <c r="T164" s="463">
        <v>195.24999782857142</v>
      </c>
      <c r="U164" s="463">
        <v>36.703999928571427</v>
      </c>
      <c r="V164" s="463">
        <v>12.496724401428571</v>
      </c>
      <c r="W164" s="463">
        <v>6.6928571292857146</v>
      </c>
      <c r="X164" s="463">
        <v>199.03571430000002</v>
      </c>
      <c r="Y164" s="463">
        <v>74.655428748571438</v>
      </c>
    </row>
    <row r="165" spans="15:25">
      <c r="P165" s="462">
        <v>6</v>
      </c>
      <c r="Q165" s="463">
        <v>20.372857142857146</v>
      </c>
      <c r="R165" s="463">
        <v>17.05857142857143</v>
      </c>
      <c r="S165" s="463">
        <v>426.67142857142863</v>
      </c>
      <c r="T165" s="463">
        <v>265.28000000000003</v>
      </c>
      <c r="U165" s="463">
        <v>51.29</v>
      </c>
      <c r="V165" s="463">
        <v>12.744285714285715</v>
      </c>
      <c r="W165" s="463">
        <v>14.464285714285714</v>
      </c>
      <c r="X165" s="463">
        <v>338.89857142857142</v>
      </c>
      <c r="Y165" s="463">
        <v>117.82857142857142</v>
      </c>
    </row>
    <row r="166" spans="15:25">
      <c r="P166" s="462">
        <v>7</v>
      </c>
      <c r="Q166" s="463">
        <v>28.837571554285717</v>
      </c>
      <c r="R166" s="463">
        <v>18.065285818571429</v>
      </c>
      <c r="S166" s="463">
        <v>581.62514822857145</v>
      </c>
      <c r="T166" s="463">
        <v>230.7322888857143</v>
      </c>
      <c r="U166" s="463">
        <v>46.224000658571427</v>
      </c>
      <c r="V166" s="463">
        <v>23.841369902857146</v>
      </c>
      <c r="W166" s="463">
        <v>21.059571402857141</v>
      </c>
      <c r="X166" s="463">
        <v>288.0957205571429</v>
      </c>
      <c r="Y166" s="463">
        <v>118.07871352857144</v>
      </c>
    </row>
    <row r="167" spans="15:25">
      <c r="O167" s="461">
        <v>8</v>
      </c>
      <c r="P167" s="462">
        <v>8</v>
      </c>
      <c r="Q167" s="463">
        <v>20.077857700000003</v>
      </c>
      <c r="R167" s="463">
        <v>14.531571660571432</v>
      </c>
      <c r="S167" s="463">
        <v>439.74099729999995</v>
      </c>
      <c r="T167" s="463">
        <v>219.37485614285717</v>
      </c>
      <c r="U167" s="463">
        <v>42.94585745571429</v>
      </c>
      <c r="V167" s="463">
        <v>23.894881112857146</v>
      </c>
      <c r="W167" s="463">
        <v>6.8928571428571432</v>
      </c>
      <c r="X167" s="463">
        <v>411.75142995714288</v>
      </c>
      <c r="Y167" s="463">
        <v>98.32</v>
      </c>
    </row>
    <row r="168" spans="15:25">
      <c r="P168" s="462">
        <v>9</v>
      </c>
      <c r="Q168" s="463">
        <v>26.317999977142858</v>
      </c>
      <c r="R168" s="463">
        <v>19.520428521428574</v>
      </c>
      <c r="S168" s="463">
        <v>316.26999772857147</v>
      </c>
      <c r="T168" s="463">
        <v>191.17842539999998</v>
      </c>
      <c r="U168" s="463">
        <v>34.696428571428569</v>
      </c>
      <c r="V168" s="463">
        <v>22.406962801428573</v>
      </c>
      <c r="W168" s="463">
        <v>3.3807143142857146</v>
      </c>
      <c r="X168" s="463">
        <v>249.46285358571427</v>
      </c>
      <c r="Y168" s="463">
        <v>120.90099988571428</v>
      </c>
    </row>
    <row r="169" spans="15:25">
      <c r="P169" s="462">
        <v>10</v>
      </c>
      <c r="Q169" s="463">
        <v>27.959571565714288</v>
      </c>
      <c r="R169" s="463">
        <v>20.831714628571426</v>
      </c>
      <c r="S169" s="463">
        <v>326.63642664285715</v>
      </c>
      <c r="T169" s="463">
        <v>184.08928571428572</v>
      </c>
      <c r="U169" s="463">
        <v>38.680999754285715</v>
      </c>
      <c r="V169" s="463">
        <v>23.828572680000001</v>
      </c>
      <c r="W169" s="463">
        <v>2.3840000118571427</v>
      </c>
      <c r="X169" s="463">
        <v>225.10000174285716</v>
      </c>
      <c r="Y169" s="463">
        <v>78.177285328571429</v>
      </c>
    </row>
    <row r="170" spans="15:25">
      <c r="P170" s="462">
        <v>11</v>
      </c>
      <c r="Q170" s="463">
        <v>27.959571565714288</v>
      </c>
      <c r="R170" s="463">
        <v>22.247142927987216</v>
      </c>
      <c r="S170" s="463">
        <v>416.08099801199745</v>
      </c>
      <c r="T170" s="463">
        <v>226.88085501534573</v>
      </c>
      <c r="U170" s="463">
        <v>42.633285522460888</v>
      </c>
      <c r="V170" s="463">
        <v>23.809881482805473</v>
      </c>
      <c r="W170" s="463">
        <v>1.9291428668158341</v>
      </c>
      <c r="X170" s="463">
        <v>217.45642525809117</v>
      </c>
      <c r="Y170" s="463">
        <v>44.638999938964801</v>
      </c>
    </row>
    <row r="171" spans="15:25">
      <c r="O171" s="461">
        <v>12</v>
      </c>
      <c r="P171" s="462">
        <v>12</v>
      </c>
      <c r="Q171" s="463">
        <v>28.476714270455457</v>
      </c>
      <c r="R171" s="463">
        <v>21.707857131428572</v>
      </c>
      <c r="S171" s="463">
        <v>394.13957431428571</v>
      </c>
      <c r="T171" s="463">
        <v>203.44642857142858</v>
      </c>
      <c r="U171" s="463">
        <v>43.529285431428569</v>
      </c>
      <c r="V171" s="463">
        <v>19.572964258571432</v>
      </c>
      <c r="W171" s="463">
        <v>1.7968571012857144</v>
      </c>
      <c r="X171" s="463">
        <v>327.82142857142861</v>
      </c>
      <c r="Y171" s="463">
        <v>98.4</v>
      </c>
    </row>
    <row r="172" spans="15:25">
      <c r="P172" s="462">
        <v>13</v>
      </c>
      <c r="Q172" s="463">
        <v>24.844714028571435</v>
      </c>
      <c r="R172" s="463">
        <v>20.569142751428576</v>
      </c>
      <c r="S172" s="463">
        <v>522.42285592857138</v>
      </c>
      <c r="T172" s="463">
        <v>225.26185825714285</v>
      </c>
      <c r="U172" s="463">
        <v>57.974427901428569</v>
      </c>
      <c r="V172" s="463">
        <v>12.582738467142859</v>
      </c>
      <c r="W172" s="463">
        <v>1.6904285634285714</v>
      </c>
      <c r="X172" s="463">
        <v>339.04356602857143</v>
      </c>
      <c r="Y172" s="463">
        <v>92.103571201428579</v>
      </c>
    </row>
    <row r="173" spans="15:25">
      <c r="P173" s="462">
        <v>14</v>
      </c>
      <c r="Q173" s="463">
        <v>29.483285902857141</v>
      </c>
      <c r="R173" s="463">
        <v>18.767857142857142</v>
      </c>
      <c r="S173" s="463">
        <v>316.33943394285717</v>
      </c>
      <c r="T173" s="463">
        <v>152.47643277142856</v>
      </c>
      <c r="U173" s="463">
        <v>55.119428907142868</v>
      </c>
      <c r="V173" s="463">
        <v>21.303751674285714</v>
      </c>
      <c r="W173" s="463">
        <v>1.6808571647142858</v>
      </c>
      <c r="X173" s="463">
        <v>250.08571298571431</v>
      </c>
      <c r="Y173" s="463">
        <v>65.665856497142855</v>
      </c>
    </row>
    <row r="174" spans="15:25">
      <c r="P174" s="462">
        <v>15</v>
      </c>
      <c r="Q174" s="463">
        <v>20.040428705714284</v>
      </c>
      <c r="R174" s="463">
        <v>14.275999887714287</v>
      </c>
      <c r="S174" s="463">
        <v>168.45457024285716</v>
      </c>
      <c r="T174" s="463">
        <v>98.160714291428576</v>
      </c>
      <c r="U174" s="463">
        <v>27.713714872857139</v>
      </c>
      <c r="V174" s="463">
        <v>17.810774395714287</v>
      </c>
      <c r="W174" s="463">
        <v>1.7205714498571432</v>
      </c>
      <c r="X174" s="463">
        <v>148.48785617142858</v>
      </c>
      <c r="Y174" s="463">
        <v>49.633285522857136</v>
      </c>
    </row>
    <row r="175" spans="15:25">
      <c r="O175" s="461">
        <v>16</v>
      </c>
      <c r="P175" s="462">
        <v>16</v>
      </c>
      <c r="Q175" s="463">
        <v>16.072142737142858</v>
      </c>
      <c r="R175" s="463">
        <v>10.180143014285713</v>
      </c>
      <c r="S175" s="463">
        <v>131.80142647142856</v>
      </c>
      <c r="T175" s="463">
        <v>98.279714314285712</v>
      </c>
      <c r="U175" s="463">
        <v>22.869143077142859</v>
      </c>
      <c r="V175" s="463">
        <v>12.210951395714286</v>
      </c>
      <c r="W175" s="463">
        <v>1.789857131857143</v>
      </c>
      <c r="X175" s="463">
        <v>105.47928511571429</v>
      </c>
      <c r="Y175" s="463">
        <v>31.291000095714285</v>
      </c>
    </row>
    <row r="176" spans="15:25">
      <c r="P176" s="462">
        <v>17</v>
      </c>
      <c r="Q176" s="463">
        <v>15.383999960000001</v>
      </c>
      <c r="R176" s="463">
        <v>12.121571608857142</v>
      </c>
      <c r="S176" s="463">
        <v>143.84128789999997</v>
      </c>
      <c r="T176" s="463">
        <v>83.547571454285716</v>
      </c>
      <c r="U176" s="463">
        <v>20.273857388571425</v>
      </c>
      <c r="V176" s="463">
        <v>12.949641501428573</v>
      </c>
      <c r="W176" s="463">
        <v>1.6648571664285714</v>
      </c>
      <c r="X176" s="463">
        <v>103.81928579571429</v>
      </c>
      <c r="Y176" s="463">
        <v>25.921857015714284</v>
      </c>
    </row>
    <row r="177" spans="15:25">
      <c r="P177" s="462">
        <v>18</v>
      </c>
      <c r="Q177" s="463">
        <v>16.026142665714286</v>
      </c>
      <c r="R177" s="463">
        <v>11.996285711571428</v>
      </c>
      <c r="S177" s="463">
        <v>111.12314277285714</v>
      </c>
      <c r="T177" s="463">
        <v>74.392857142857139</v>
      </c>
      <c r="U177" s="463">
        <v>18.103142875714287</v>
      </c>
      <c r="V177" s="463">
        <v>11.493274145714285</v>
      </c>
      <c r="W177" s="463">
        <v>1.55</v>
      </c>
      <c r="X177" s="463">
        <v>91.532855442857141</v>
      </c>
      <c r="Y177" s="463">
        <v>22.190428595714284</v>
      </c>
    </row>
    <row r="178" spans="15:25">
      <c r="P178" s="462">
        <v>19</v>
      </c>
      <c r="Q178" s="463">
        <v>14.769714355714287</v>
      </c>
      <c r="R178" s="463">
        <v>10.123285769857144</v>
      </c>
      <c r="S178" s="463">
        <v>89.41828482428572</v>
      </c>
      <c r="T178" s="463">
        <v>60.613000051428571</v>
      </c>
      <c r="U178" s="463">
        <v>15.728999954285714</v>
      </c>
      <c r="V178" s="463">
        <v>10.883738517142858</v>
      </c>
      <c r="W178" s="463">
        <v>1.5914285865714286</v>
      </c>
      <c r="X178" s="463">
        <v>82.45500183</v>
      </c>
      <c r="Y178" s="463">
        <v>20.991285870000006</v>
      </c>
    </row>
    <row r="179" spans="15:25">
      <c r="P179" s="462">
        <v>20</v>
      </c>
      <c r="Q179" s="463">
        <v>13.81242861</v>
      </c>
      <c r="R179" s="463">
        <v>9.3731427190000005</v>
      </c>
      <c r="S179" s="463">
        <v>79.212427410000004</v>
      </c>
      <c r="T179" s="463">
        <v>72.321428569999995</v>
      </c>
      <c r="U179" s="463">
        <v>20.647571429999999</v>
      </c>
      <c r="V179" s="463">
        <v>11.153748650000001</v>
      </c>
      <c r="W179" s="463">
        <v>1.5371428389999999</v>
      </c>
      <c r="X179" s="463">
        <v>76.857142859999996</v>
      </c>
      <c r="Y179" s="463">
        <v>23.085714070000002</v>
      </c>
    </row>
    <row r="180" spans="15:25">
      <c r="P180" s="462">
        <v>21</v>
      </c>
      <c r="Q180" s="463">
        <v>12.849714414285714</v>
      </c>
      <c r="R180" s="463">
        <v>7.085428442285715</v>
      </c>
      <c r="S180" s="463">
        <v>62.717000688571432</v>
      </c>
      <c r="T180" s="463">
        <v>52.565571377142859</v>
      </c>
      <c r="U180" s="463">
        <v>14.46171447</v>
      </c>
      <c r="V180" s="463">
        <v>12</v>
      </c>
      <c r="W180" s="463">
        <v>1.5128571304285714</v>
      </c>
      <c r="X180" s="463">
        <v>58.057856968571436</v>
      </c>
      <c r="Y180" s="463">
        <v>17.858285902857144</v>
      </c>
    </row>
    <row r="181" spans="15:25">
      <c r="O181" s="461">
        <v>22</v>
      </c>
      <c r="P181" s="462">
        <v>22</v>
      </c>
      <c r="Q181" s="463">
        <v>12.105428559999998</v>
      </c>
      <c r="R181" s="463">
        <v>7.3308571058571435</v>
      </c>
      <c r="S181" s="463">
        <v>49.261999948571429</v>
      </c>
      <c r="T181" s="463">
        <v>49.261999948571429</v>
      </c>
      <c r="U181" s="463">
        <v>12.621714454285712</v>
      </c>
      <c r="V181" s="463">
        <v>10.442797251571431</v>
      </c>
      <c r="W181" s="463">
        <v>1.5</v>
      </c>
      <c r="X181" s="463">
        <v>51.520714895714285</v>
      </c>
      <c r="Y181" s="463">
        <v>15.324571202857143</v>
      </c>
    </row>
    <row r="182" spans="15:25">
      <c r="P182" s="462">
        <v>23</v>
      </c>
      <c r="Q182" s="463">
        <v>11.272714207142856</v>
      </c>
      <c r="R182" s="463">
        <v>7.7242857718571427</v>
      </c>
      <c r="S182" s="463">
        <v>40.500142779999997</v>
      </c>
      <c r="T182" s="463">
        <v>40.500142779999997</v>
      </c>
      <c r="U182" s="463">
        <v>10.571857179142857</v>
      </c>
      <c r="V182" s="463">
        <v>10.979225701428572</v>
      </c>
      <c r="W182" s="463">
        <v>1.5</v>
      </c>
      <c r="X182" s="463">
        <v>46.520714351428573</v>
      </c>
      <c r="Y182" s="463">
        <v>13.868142808571431</v>
      </c>
    </row>
    <row r="183" spans="15:25">
      <c r="P183" s="462">
        <v>24</v>
      </c>
      <c r="Q183" s="463">
        <v>10.867999894285715</v>
      </c>
      <c r="R183" s="463">
        <v>8.8337143495714301</v>
      </c>
      <c r="S183" s="463">
        <v>35.785857065714289</v>
      </c>
      <c r="T183" s="463">
        <v>35.785857065714289</v>
      </c>
      <c r="U183" s="463">
        <v>9.2180000031428584</v>
      </c>
      <c r="V183" s="463">
        <v>11.096784181428571</v>
      </c>
      <c r="W183" s="463">
        <v>1.5</v>
      </c>
      <c r="X183" s="463">
        <v>42.473571777142858</v>
      </c>
      <c r="Y183" s="463">
        <v>12.512571334285715</v>
      </c>
    </row>
    <row r="184" spans="15:25">
      <c r="P184" s="462">
        <v>25</v>
      </c>
      <c r="Q184" s="463">
        <v>10.167285918857143</v>
      </c>
      <c r="R184" s="463">
        <v>7.6592858184285708</v>
      </c>
      <c r="S184" s="463">
        <v>33.357000077142857</v>
      </c>
      <c r="T184" s="463">
        <v>33.357000077142857</v>
      </c>
      <c r="U184" s="463">
        <v>8.9321429390000002</v>
      </c>
      <c r="V184" s="463">
        <v>10.461965969999998</v>
      </c>
      <c r="W184" s="463">
        <v>1.5</v>
      </c>
      <c r="X184" s="463">
        <v>43.729285104285715</v>
      </c>
      <c r="Y184" s="463">
        <v>11.450428658571429</v>
      </c>
    </row>
    <row r="185" spans="15:25">
      <c r="O185" s="461">
        <v>26</v>
      </c>
      <c r="P185" s="462">
        <v>26</v>
      </c>
      <c r="Q185" s="463">
        <v>9.3535717554285718</v>
      </c>
      <c r="R185" s="463">
        <v>6.2751428064285708</v>
      </c>
      <c r="S185" s="463">
        <v>29.154571531428569</v>
      </c>
      <c r="T185" s="463">
        <v>29.154571531428569</v>
      </c>
      <c r="U185" s="463">
        <v>8.3007144928571428</v>
      </c>
      <c r="V185" s="463">
        <v>11.259941372857144</v>
      </c>
      <c r="W185" s="463">
        <v>1.5</v>
      </c>
      <c r="X185" s="463">
        <v>44.616428919999997</v>
      </c>
      <c r="Y185" s="463">
        <v>9.6660000944285702</v>
      </c>
    </row>
    <row r="186" spans="15:25">
      <c r="P186" s="462">
        <v>27</v>
      </c>
      <c r="Q186" s="463"/>
      <c r="R186" s="463"/>
      <c r="S186" s="463"/>
      <c r="T186" s="463"/>
      <c r="U186" s="463"/>
      <c r="V186" s="463"/>
      <c r="W186" s="463"/>
      <c r="X186" s="463"/>
      <c r="Y186" s="463"/>
    </row>
    <row r="187" spans="15:25">
      <c r="P187" s="462">
        <v>28</v>
      </c>
      <c r="Q187" s="463"/>
      <c r="R187" s="463"/>
      <c r="S187" s="463"/>
      <c r="T187" s="463"/>
      <c r="U187" s="463"/>
      <c r="V187" s="463"/>
      <c r="W187" s="463"/>
      <c r="X187" s="463"/>
      <c r="Y187" s="463"/>
    </row>
    <row r="188" spans="15:25">
      <c r="P188" s="462">
        <v>29</v>
      </c>
      <c r="Q188" s="463"/>
      <c r="R188" s="463"/>
      <c r="S188" s="463"/>
      <c r="T188" s="463"/>
      <c r="U188" s="463"/>
      <c r="V188" s="463"/>
      <c r="W188" s="463"/>
      <c r="X188" s="463"/>
      <c r="Y188" s="463"/>
    </row>
    <row r="189" spans="15:25">
      <c r="P189" s="462">
        <v>30</v>
      </c>
      <c r="Q189" s="463"/>
      <c r="R189" s="463"/>
      <c r="S189" s="463"/>
      <c r="T189" s="463"/>
      <c r="U189" s="463"/>
      <c r="V189" s="463"/>
      <c r="W189" s="463"/>
      <c r="X189" s="463"/>
      <c r="Y189" s="463"/>
    </row>
    <row r="190" spans="15:25">
      <c r="P190" s="462">
        <v>31</v>
      </c>
      <c r="Q190" s="463"/>
      <c r="R190" s="463"/>
      <c r="S190" s="463"/>
      <c r="T190" s="463"/>
      <c r="U190" s="463"/>
      <c r="V190" s="463"/>
      <c r="W190" s="463"/>
      <c r="X190" s="463"/>
      <c r="Y190" s="463"/>
    </row>
    <row r="191" spans="15:25">
      <c r="O191" s="461">
        <v>32</v>
      </c>
      <c r="P191" s="462">
        <v>32</v>
      </c>
      <c r="Q191" s="463"/>
      <c r="R191" s="463"/>
      <c r="S191" s="463"/>
      <c r="T191" s="463"/>
      <c r="U191" s="463"/>
      <c r="V191" s="463"/>
      <c r="W191" s="463"/>
      <c r="X191" s="463"/>
      <c r="Y191" s="463"/>
    </row>
    <row r="192" spans="15:25">
      <c r="P192" s="462">
        <v>33</v>
      </c>
      <c r="Q192" s="463"/>
      <c r="R192" s="463"/>
      <c r="S192" s="463"/>
      <c r="T192" s="463"/>
      <c r="U192" s="463"/>
      <c r="V192" s="463"/>
      <c r="W192" s="463"/>
      <c r="X192" s="463"/>
      <c r="Y192" s="463"/>
    </row>
    <row r="193" spans="15:25">
      <c r="P193" s="462">
        <v>34</v>
      </c>
      <c r="Q193" s="463"/>
      <c r="R193" s="463"/>
      <c r="S193" s="463"/>
      <c r="T193" s="463"/>
      <c r="U193" s="463"/>
      <c r="V193" s="463"/>
      <c r="W193" s="463"/>
      <c r="X193" s="463"/>
      <c r="Y193" s="463"/>
    </row>
    <row r="194" spans="15:25">
      <c r="P194" s="462">
        <v>35</v>
      </c>
      <c r="Q194" s="463"/>
      <c r="R194" s="463"/>
      <c r="S194" s="463"/>
      <c r="T194" s="463"/>
      <c r="U194" s="463"/>
      <c r="V194" s="463"/>
      <c r="W194" s="463"/>
      <c r="X194" s="463"/>
      <c r="Y194" s="463"/>
    </row>
    <row r="195" spans="15:25">
      <c r="O195" s="461">
        <v>36</v>
      </c>
      <c r="P195" s="462">
        <v>36</v>
      </c>
      <c r="Q195" s="463"/>
      <c r="R195" s="463"/>
      <c r="S195" s="463"/>
      <c r="T195" s="463"/>
      <c r="U195" s="463"/>
      <c r="V195" s="463"/>
      <c r="W195" s="463"/>
      <c r="X195" s="463"/>
      <c r="Y195" s="463"/>
    </row>
    <row r="196" spans="15:25">
      <c r="P196" s="462">
        <v>37</v>
      </c>
      <c r="Q196" s="463"/>
      <c r="R196" s="463"/>
      <c r="S196" s="463"/>
      <c r="T196" s="463"/>
      <c r="U196" s="463"/>
      <c r="V196" s="463"/>
      <c r="W196" s="463"/>
      <c r="X196" s="463"/>
      <c r="Y196" s="463"/>
    </row>
    <row r="197" spans="15:25">
      <c r="P197" s="462">
        <v>38</v>
      </c>
      <c r="Q197" s="463"/>
      <c r="R197" s="463"/>
      <c r="S197" s="463"/>
      <c r="T197" s="463"/>
      <c r="U197" s="463"/>
      <c r="V197" s="463"/>
      <c r="W197" s="463"/>
      <c r="X197" s="463"/>
      <c r="Y197" s="463"/>
    </row>
    <row r="198" spans="15:25">
      <c r="P198" s="462">
        <v>39</v>
      </c>
      <c r="Q198" s="463"/>
      <c r="R198" s="463"/>
      <c r="S198" s="463"/>
      <c r="T198" s="463"/>
      <c r="U198" s="463"/>
      <c r="V198" s="463"/>
      <c r="W198" s="463"/>
      <c r="X198" s="463"/>
      <c r="Y198" s="463"/>
    </row>
    <row r="199" spans="15:25">
      <c r="O199" s="461">
        <v>40</v>
      </c>
      <c r="P199" s="462">
        <v>40</v>
      </c>
      <c r="Q199" s="463"/>
      <c r="R199" s="463"/>
      <c r="S199" s="463"/>
      <c r="T199" s="463"/>
      <c r="U199" s="463"/>
      <c r="V199" s="463"/>
      <c r="W199" s="463"/>
      <c r="X199" s="463"/>
      <c r="Y199" s="463"/>
    </row>
    <row r="200" spans="15:25">
      <c r="P200" s="462">
        <v>41</v>
      </c>
      <c r="Q200" s="463"/>
      <c r="R200" s="463"/>
      <c r="S200" s="463"/>
      <c r="T200" s="463"/>
      <c r="U200" s="463"/>
      <c r="V200" s="463"/>
      <c r="W200" s="463"/>
      <c r="X200" s="463"/>
      <c r="Y200" s="463"/>
    </row>
    <row r="201" spans="15:25">
      <c r="P201" s="462">
        <v>42</v>
      </c>
      <c r="Q201" s="463"/>
      <c r="R201" s="463"/>
      <c r="S201" s="463"/>
      <c r="T201" s="463"/>
      <c r="U201" s="463"/>
      <c r="V201" s="463"/>
      <c r="W201" s="463"/>
      <c r="X201" s="463"/>
      <c r="Y201" s="463"/>
    </row>
    <row r="202" spans="15:25">
      <c r="P202" s="462">
        <v>43</v>
      </c>
      <c r="Q202" s="463"/>
      <c r="R202" s="463"/>
      <c r="S202" s="463"/>
      <c r="T202" s="463"/>
      <c r="U202" s="463"/>
      <c r="V202" s="463"/>
      <c r="W202" s="463"/>
      <c r="X202" s="463"/>
      <c r="Y202" s="463"/>
    </row>
    <row r="203" spans="15:25">
      <c r="O203" s="461">
        <v>44</v>
      </c>
      <c r="P203" s="462">
        <v>44</v>
      </c>
      <c r="Q203" s="463"/>
      <c r="R203" s="463"/>
      <c r="S203" s="463"/>
      <c r="T203" s="463"/>
      <c r="U203" s="463"/>
      <c r="V203" s="463"/>
      <c r="W203" s="463"/>
      <c r="X203" s="463"/>
      <c r="Y203" s="463"/>
    </row>
    <row r="204" spans="15:25">
      <c r="P204" s="462">
        <v>45</v>
      </c>
      <c r="Q204" s="463"/>
      <c r="R204" s="463"/>
      <c r="S204" s="463"/>
      <c r="T204" s="463"/>
      <c r="U204" s="463"/>
      <c r="V204" s="463"/>
      <c r="W204" s="463"/>
      <c r="X204" s="463"/>
      <c r="Y204" s="463"/>
    </row>
    <row r="205" spans="15:25">
      <c r="P205" s="462">
        <v>46</v>
      </c>
      <c r="Q205" s="463"/>
      <c r="R205" s="463"/>
      <c r="S205" s="463"/>
      <c r="T205" s="463"/>
      <c r="U205" s="463"/>
      <c r="V205" s="463"/>
      <c r="W205" s="463"/>
      <c r="X205" s="463"/>
      <c r="Y205" s="463"/>
    </row>
    <row r="206" spans="15:25">
      <c r="P206" s="462">
        <v>47</v>
      </c>
      <c r="Q206" s="463"/>
      <c r="R206" s="463"/>
      <c r="S206" s="463"/>
      <c r="T206" s="463"/>
      <c r="U206" s="463"/>
      <c r="V206" s="463"/>
      <c r="W206" s="463"/>
      <c r="X206" s="463"/>
      <c r="Y206" s="463"/>
    </row>
    <row r="207" spans="15:25">
      <c r="O207" s="461">
        <v>48</v>
      </c>
      <c r="P207" s="462">
        <v>48</v>
      </c>
      <c r="Q207" s="463"/>
      <c r="R207" s="463"/>
      <c r="S207" s="463"/>
      <c r="T207" s="463"/>
      <c r="U207" s="463"/>
      <c r="V207" s="463"/>
      <c r="W207" s="463"/>
      <c r="X207" s="463"/>
      <c r="Y207" s="463"/>
    </row>
    <row r="208" spans="15:25">
      <c r="P208" s="462">
        <v>49</v>
      </c>
      <c r="Q208" s="463"/>
      <c r="R208" s="463"/>
      <c r="S208" s="463"/>
      <c r="T208" s="463"/>
      <c r="U208" s="463"/>
      <c r="V208" s="463"/>
      <c r="W208" s="463"/>
      <c r="X208" s="463"/>
      <c r="Y208" s="463"/>
    </row>
    <row r="209" spans="15:25">
      <c r="P209" s="462">
        <v>50</v>
      </c>
      <c r="Q209" s="463"/>
      <c r="R209" s="463"/>
      <c r="S209" s="463"/>
      <c r="T209" s="463"/>
      <c r="U209" s="463"/>
      <c r="V209" s="463"/>
      <c r="W209" s="463"/>
      <c r="X209" s="463"/>
      <c r="Y209" s="463"/>
    </row>
    <row r="210" spans="15:25">
      <c r="P210" s="462">
        <v>51</v>
      </c>
      <c r="Q210" s="463"/>
      <c r="R210" s="463"/>
      <c r="S210" s="463"/>
      <c r="T210" s="463"/>
      <c r="U210" s="463"/>
      <c r="V210" s="463"/>
      <c r="W210" s="463"/>
      <c r="X210" s="463"/>
      <c r="Y210" s="463"/>
    </row>
    <row r="211" spans="15:25">
      <c r="O211" s="461">
        <v>52</v>
      </c>
      <c r="P211" s="462">
        <v>52</v>
      </c>
      <c r="Q211" s="463"/>
      <c r="R211" s="463"/>
      <c r="S211" s="463"/>
      <c r="T211" s="463"/>
      <c r="U211" s="463"/>
      <c r="V211" s="463"/>
      <c r="W211" s="463"/>
      <c r="X211" s="463"/>
      <c r="Y211" s="463"/>
    </row>
    <row r="212" spans="15:25">
      <c r="P212" s="462"/>
    </row>
    <row r="213" spans="15:25">
      <c r="P213" s="462"/>
    </row>
    <row r="214" spans="15:25">
      <c r="P214" s="462"/>
    </row>
    <row r="220" spans="15:25">
      <c r="Q220" s="491" t="s">
        <v>280</v>
      </c>
      <c r="R220" s="491" t="s">
        <v>281</v>
      </c>
      <c r="S220" s="491" t="s">
        <v>282</v>
      </c>
      <c r="T220" s="491" t="s">
        <v>283</v>
      </c>
      <c r="U220" s="491" t="s">
        <v>284</v>
      </c>
      <c r="V220" s="491" t="s">
        <v>285</v>
      </c>
      <c r="W220" s="491" t="s">
        <v>286</v>
      </c>
      <c r="X220" s="491" t="s">
        <v>287</v>
      </c>
      <c r="Y220" s="491" t="s">
        <v>288</v>
      </c>
    </row>
  </sheetData>
  <mergeCells count="3">
    <mergeCell ref="A65:L65"/>
    <mergeCell ref="A40:L40"/>
    <mergeCell ref="A18:L18"/>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77A5"/>
  </sheetPr>
  <dimension ref="A1:T59"/>
  <sheetViews>
    <sheetView showGridLines="0" view="pageBreakPreview" zoomScale="130" zoomScaleNormal="100" zoomScaleSheetLayoutView="130" zoomScalePageLayoutView="160" workbookViewId="0">
      <selection activeCell="C12" sqref="C12"/>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720" customWidth="1"/>
    <col min="12" max="12" width="9.33203125" style="720"/>
    <col min="13" max="13" width="20.5" style="766" customWidth="1"/>
    <col min="14" max="15" width="9.33203125" style="311"/>
    <col min="16" max="20" width="9.33203125" style="720"/>
  </cols>
  <sheetData>
    <row r="1" spans="1:15" ht="11.25" customHeight="1"/>
    <row r="2" spans="1:15" ht="11.25" customHeight="1">
      <c r="A2" s="932" t="s">
        <v>452</v>
      </c>
      <c r="B2" s="932"/>
      <c r="C2" s="932"/>
      <c r="D2" s="932"/>
      <c r="E2" s="932"/>
      <c r="F2" s="932"/>
      <c r="G2" s="932"/>
      <c r="H2" s="932"/>
      <c r="I2" s="932"/>
      <c r="J2" s="932"/>
      <c r="K2" s="932"/>
    </row>
    <row r="3" spans="1:15" ht="11.25" customHeight="1">
      <c r="A3" s="18"/>
      <c r="B3" s="18"/>
      <c r="C3" s="18"/>
      <c r="D3" s="18"/>
      <c r="E3" s="18"/>
      <c r="F3" s="18"/>
      <c r="G3" s="18"/>
      <c r="H3" s="18"/>
      <c r="I3" s="18"/>
      <c r="J3" s="749"/>
      <c r="K3" s="749"/>
      <c r="L3" s="358"/>
    </row>
    <row r="4" spans="1:15" ht="11.25" customHeight="1">
      <c r="A4" s="917" t="s">
        <v>453</v>
      </c>
      <c r="B4" s="917"/>
      <c r="C4" s="917"/>
      <c r="D4" s="917"/>
      <c r="E4" s="917"/>
      <c r="F4" s="917"/>
      <c r="G4" s="917"/>
      <c r="H4" s="917"/>
      <c r="I4" s="184"/>
      <c r="J4" s="750"/>
      <c r="L4" s="358"/>
    </row>
    <row r="5" spans="1:15" ht="7.5" customHeight="1">
      <c r="A5" s="185"/>
      <c r="B5" s="185"/>
      <c r="C5" s="185"/>
      <c r="D5" s="185"/>
      <c r="E5" s="185"/>
      <c r="F5" s="185"/>
      <c r="G5" s="185"/>
      <c r="H5" s="185"/>
      <c r="I5" s="185"/>
      <c r="J5" s="751"/>
      <c r="L5" s="752"/>
    </row>
    <row r="6" spans="1:15" ht="11.25" customHeight="1">
      <c r="A6" s="185"/>
      <c r="B6" s="189" t="s">
        <v>454</v>
      </c>
      <c r="C6" s="185"/>
      <c r="D6" s="185"/>
      <c r="E6" s="185"/>
      <c r="F6" s="185"/>
      <c r="G6" s="185"/>
      <c r="H6" s="185"/>
      <c r="I6" s="185"/>
      <c r="J6" s="751"/>
      <c r="L6" s="753"/>
    </row>
    <row r="7" spans="1:15" ht="7.5" customHeight="1">
      <c r="A7" s="185"/>
      <c r="B7" s="186"/>
      <c r="C7" s="185"/>
      <c r="D7" s="185"/>
      <c r="E7" s="185"/>
      <c r="F7" s="185"/>
      <c r="G7" s="185"/>
      <c r="H7" s="185"/>
      <c r="I7" s="185"/>
      <c r="J7" s="751"/>
      <c r="L7" s="754"/>
    </row>
    <row r="8" spans="1:15" ht="21" customHeight="1">
      <c r="A8" s="185"/>
      <c r="B8" s="547" t="s">
        <v>168</v>
      </c>
      <c r="C8" s="548" t="s">
        <v>169</v>
      </c>
      <c r="D8" s="548" t="s">
        <v>170</v>
      </c>
      <c r="E8" s="548" t="s">
        <v>173</v>
      </c>
      <c r="F8" s="548" t="s">
        <v>172</v>
      </c>
      <c r="G8" s="549" t="s">
        <v>171</v>
      </c>
      <c r="H8" s="181"/>
      <c r="I8" s="181"/>
      <c r="J8" s="755"/>
      <c r="L8" s="756"/>
      <c r="M8" s="767" t="s">
        <v>169</v>
      </c>
      <c r="N8" s="768" t="str">
        <f>M8&amp;"
 ("&amp;ROUND(HLOOKUP(M8,$C$8:$G$9,2,0),2)&amp;"   USD/MWh)"</f>
        <v>PIURA OESTE 220
 (9,55   USD/MWh)</v>
      </c>
    </row>
    <row r="9" spans="1:15" ht="18" customHeight="1">
      <c r="A9" s="185"/>
      <c r="B9" s="550" t="s">
        <v>174</v>
      </c>
      <c r="C9" s="277">
        <v>9.5543781556062086</v>
      </c>
      <c r="D9" s="277">
        <v>9.5088161970195912</v>
      </c>
      <c r="E9" s="277">
        <v>9.411081274907156</v>
      </c>
      <c r="F9" s="277">
        <v>9.3994023433805953</v>
      </c>
      <c r="G9" s="277">
        <v>9.345472108662598</v>
      </c>
      <c r="H9" s="181"/>
      <c r="I9" s="181"/>
      <c r="J9" s="755"/>
      <c r="K9" s="755"/>
      <c r="L9" s="756"/>
      <c r="M9" s="767" t="s">
        <v>170</v>
      </c>
      <c r="N9" s="768" t="str">
        <f>M9&amp;"
("&amp;ROUND(HLOOKUP(M9,$C$8:$G$9,2,0),2)&amp;" USD/MWh)"</f>
        <v>CHICLAYO 220
(9,51 USD/MWh)</v>
      </c>
    </row>
    <row r="10" spans="1:15" ht="14.25" customHeight="1">
      <c r="A10" s="185"/>
      <c r="B10" s="956" t="str">
        <f>"Cuadro N°11: Valor de los costos marginales medios registrados en las principales barras del área norte durante el mes de "&amp;'1. Resumen'!Q4</f>
        <v>Cuadro N°11: Valor de los costos marginales medios registrados en las principales barras del área norte durante el mes de junio</v>
      </c>
      <c r="C10" s="956"/>
      <c r="D10" s="956"/>
      <c r="E10" s="956"/>
      <c r="F10" s="956"/>
      <c r="G10" s="956"/>
      <c r="H10" s="956"/>
      <c r="I10" s="956"/>
      <c r="J10" s="755"/>
      <c r="K10" s="755"/>
      <c r="L10" s="756"/>
      <c r="M10" s="767" t="s">
        <v>172</v>
      </c>
      <c r="N10" s="768" t="str">
        <f>M10&amp;"
("&amp;ROUND(HLOOKUP(M10,$C$8:$G$9,2,0),2)&amp;" USD/MWh)"</f>
        <v>TRUJILLO 220
(9,4 USD/MWh)</v>
      </c>
    </row>
    <row r="11" spans="1:15" ht="11.25" customHeight="1">
      <c r="A11" s="185"/>
      <c r="B11" s="192"/>
      <c r="C11" s="181"/>
      <c r="D11" s="181"/>
      <c r="E11" s="181"/>
      <c r="F11" s="181"/>
      <c r="G11" s="181"/>
      <c r="H11" s="181"/>
      <c r="I11" s="181"/>
      <c r="J11" s="755"/>
      <c r="K11" s="755"/>
      <c r="L11" s="756"/>
      <c r="M11" s="767" t="s">
        <v>171</v>
      </c>
      <c r="N11" s="768" t="str">
        <f>M11&amp;"
("&amp;ROUND(HLOOKUP(M11,$C$8:$G$9,2,0),2)&amp;" USD/MWh)"</f>
        <v>CHIMBOTE1 138
(9,35 USD/MWh)</v>
      </c>
    </row>
    <row r="12" spans="1:15" ht="11.25" customHeight="1">
      <c r="A12" s="185"/>
      <c r="B12" s="181"/>
      <c r="C12" s="181"/>
      <c r="D12" s="181"/>
      <c r="E12" s="181"/>
      <c r="F12" s="181"/>
      <c r="G12" s="181"/>
      <c r="H12" s="181"/>
      <c r="I12" s="181"/>
      <c r="J12" s="755"/>
      <c r="K12" s="755"/>
      <c r="L12" s="757"/>
      <c r="M12" s="767" t="s">
        <v>173</v>
      </c>
      <c r="N12" s="768" t="str">
        <f>M12&amp;"
("&amp;ROUND(HLOOKUP(M12,$C$8:$G$9,2,0),2)&amp;" USD/MWh)"</f>
        <v>CAJAMARCA 220
(9,41 USD/MWh)</v>
      </c>
    </row>
    <row r="13" spans="1:15" ht="11.25" customHeight="1">
      <c r="A13" s="185"/>
      <c r="B13" s="181"/>
      <c r="C13" s="181"/>
      <c r="D13" s="181"/>
      <c r="E13" s="181"/>
      <c r="F13" s="181"/>
      <c r="G13" s="181"/>
      <c r="H13" s="181"/>
      <c r="I13" s="181"/>
      <c r="J13" s="755"/>
      <c r="K13" s="755"/>
      <c r="L13" s="756"/>
      <c r="M13" s="767"/>
      <c r="N13" s="768"/>
      <c r="O13" s="767"/>
    </row>
    <row r="14" spans="1:15" ht="11.25" customHeight="1">
      <c r="A14" s="185"/>
      <c r="B14" s="181"/>
      <c r="C14" s="181"/>
      <c r="D14" s="181"/>
      <c r="E14" s="181"/>
      <c r="F14" s="181"/>
      <c r="G14" s="181"/>
      <c r="H14" s="181"/>
      <c r="I14" s="181"/>
      <c r="J14" s="755"/>
      <c r="K14" s="755"/>
      <c r="L14" s="756"/>
      <c r="M14" s="767" t="s">
        <v>597</v>
      </c>
      <c r="N14" s="768" t="str">
        <f>M14&amp;"
("&amp;ROUND(HLOOKUP(M14,$C$26:$I$27,2,0),2)&amp;" USD/MWh)"</f>
        <v>CHAVARRIA 220
(9,07 USD/MWh)</v>
      </c>
    </row>
    <row r="15" spans="1:15" ht="11.25" customHeight="1">
      <c r="A15" s="185"/>
      <c r="B15" s="181"/>
      <c r="C15" s="181"/>
      <c r="D15" s="181"/>
      <c r="E15" s="181"/>
      <c r="F15" s="181"/>
      <c r="G15" s="181"/>
      <c r="H15" s="181"/>
      <c r="I15" s="181"/>
      <c r="J15" s="755"/>
      <c r="K15" s="755"/>
      <c r="L15" s="756"/>
      <c r="M15" s="767" t="s">
        <v>177</v>
      </c>
      <c r="N15" s="768" t="str">
        <f t="shared" ref="N15:N20" si="0">M15&amp;"
("&amp;ROUND(HLOOKUP(M15,$C$26:$I$27,2,0),2)&amp;" USD/MWh)"</f>
        <v>INDEPENDENCIA 220
(9,11 USD/MWh)</v>
      </c>
    </row>
    <row r="16" spans="1:15" ht="11.25" customHeight="1">
      <c r="A16" s="185"/>
      <c r="B16" s="181"/>
      <c r="C16" s="181"/>
      <c r="D16" s="181"/>
      <c r="E16" s="181"/>
      <c r="F16" s="181"/>
      <c r="G16" s="181"/>
      <c r="H16" s="181"/>
      <c r="I16" s="181"/>
      <c r="J16" s="755"/>
      <c r="K16" s="755"/>
      <c r="L16" s="756"/>
      <c r="M16" s="767" t="s">
        <v>178</v>
      </c>
      <c r="N16" s="768" t="str">
        <f t="shared" si="0"/>
        <v>CARABAYLLO 220
(9,04 USD/MWh)</v>
      </c>
    </row>
    <row r="17" spans="1:14" ht="11.25" customHeight="1">
      <c r="A17" s="185"/>
      <c r="B17" s="181"/>
      <c r="C17" s="181"/>
      <c r="D17" s="181"/>
      <c r="E17" s="181"/>
      <c r="F17" s="181"/>
      <c r="G17" s="181"/>
      <c r="H17" s="181"/>
      <c r="I17" s="181"/>
      <c r="J17" s="755"/>
      <c r="K17" s="755"/>
      <c r="L17" s="756"/>
      <c r="M17" s="767" t="s">
        <v>175</v>
      </c>
      <c r="N17" s="768" t="str">
        <f t="shared" si="0"/>
        <v>SANTA ROSA 220
(9,06 USD/MWh)</v>
      </c>
    </row>
    <row r="18" spans="1:14" ht="11.25" customHeight="1">
      <c r="A18" s="185"/>
      <c r="B18" s="181"/>
      <c r="C18" s="181"/>
      <c r="D18" s="181"/>
      <c r="E18" s="181"/>
      <c r="F18" s="181"/>
      <c r="G18" s="181"/>
      <c r="H18" s="181"/>
      <c r="I18" s="181"/>
      <c r="J18" s="755"/>
      <c r="K18" s="755"/>
      <c r="L18" s="756"/>
      <c r="M18" s="767" t="s">
        <v>176</v>
      </c>
      <c r="N18" s="768" t="str">
        <f t="shared" si="0"/>
        <v>SAN JUAN 220
(8,99 USD/MWh)</v>
      </c>
    </row>
    <row r="19" spans="1:14" ht="11.25" customHeight="1">
      <c r="A19" s="185"/>
      <c r="B19" s="181"/>
      <c r="C19" s="181"/>
      <c r="D19" s="181"/>
      <c r="E19" s="181"/>
      <c r="F19" s="181"/>
      <c r="G19" s="181"/>
      <c r="H19" s="181"/>
      <c r="I19" s="181"/>
      <c r="J19" s="755"/>
      <c r="K19" s="755"/>
      <c r="L19" s="758"/>
      <c r="M19" s="767" t="s">
        <v>179</v>
      </c>
      <c r="N19" s="768" t="str">
        <f t="shared" si="0"/>
        <v>POMACOCHA 220
(8,91 USD/MWh)</v>
      </c>
    </row>
    <row r="20" spans="1:14" ht="11.25" customHeight="1">
      <c r="A20" s="185"/>
      <c r="B20" s="191"/>
      <c r="C20" s="191"/>
      <c r="D20" s="191"/>
      <c r="E20" s="191"/>
      <c r="F20" s="191"/>
      <c r="G20" s="181"/>
      <c r="H20" s="181"/>
      <c r="I20" s="181"/>
      <c r="J20" s="755"/>
      <c r="K20" s="755"/>
      <c r="L20" s="756"/>
      <c r="M20" s="767" t="s">
        <v>180</v>
      </c>
      <c r="N20" s="768" t="str">
        <f t="shared" si="0"/>
        <v>OROYA NUEVA 50
(8,8 USD/MWh)</v>
      </c>
    </row>
    <row r="21" spans="1:14" ht="11.25" customHeight="1">
      <c r="A21" s="185"/>
      <c r="B21" s="957" t="str">
        <f>"Gráfico N°20: Costos marginales medios registrados en las principales barras del área norte durante el mes de "&amp;'1. Resumen'!Q4</f>
        <v>Gráfico N°20: Costos marginales medios registrados en las principales barras del área norte durante el mes de junio</v>
      </c>
      <c r="C21" s="957"/>
      <c r="D21" s="957"/>
      <c r="E21" s="957"/>
      <c r="F21" s="957"/>
      <c r="G21" s="957"/>
      <c r="H21" s="957"/>
      <c r="I21" s="957"/>
      <c r="J21" s="755"/>
      <c r="K21" s="755"/>
      <c r="L21" s="756"/>
      <c r="M21" s="767"/>
      <c r="N21" s="768"/>
    </row>
    <row r="22" spans="1:14" ht="7.5" customHeight="1">
      <c r="A22" s="185"/>
      <c r="B22" s="187"/>
      <c r="C22" s="187"/>
      <c r="D22" s="187"/>
      <c r="E22" s="187"/>
      <c r="F22" s="187"/>
      <c r="G22" s="185"/>
      <c r="H22" s="185"/>
      <c r="I22" s="185"/>
      <c r="J22" s="751"/>
      <c r="K22" s="751"/>
      <c r="L22" s="753"/>
      <c r="M22" s="767"/>
      <c r="N22" s="768"/>
    </row>
    <row r="23" spans="1:14" ht="11.25" customHeight="1">
      <c r="A23" s="185"/>
      <c r="B23" s="187"/>
      <c r="C23" s="187"/>
      <c r="D23" s="187"/>
      <c r="E23" s="187"/>
      <c r="F23" s="187"/>
      <c r="G23" s="185"/>
      <c r="H23" s="185"/>
      <c r="I23" s="185"/>
      <c r="J23" s="751"/>
      <c r="K23" s="751"/>
      <c r="L23" s="759"/>
      <c r="M23" s="767" t="s">
        <v>181</v>
      </c>
      <c r="N23" s="768" t="str">
        <f t="shared" ref="N23:N29" si="1">M23&amp;"
("&amp;ROUND(HLOOKUP(M23,$C$45:$I$46,2,0),2)&amp;" USD/MWh)"</f>
        <v>TINTAYA NUEVA 220
(10,02 USD/MWh)</v>
      </c>
    </row>
    <row r="24" spans="1:14" ht="11.25" customHeight="1">
      <c r="A24" s="185"/>
      <c r="B24" s="190" t="s">
        <v>455</v>
      </c>
      <c r="C24" s="187"/>
      <c r="D24" s="187"/>
      <c r="E24" s="187"/>
      <c r="F24" s="187"/>
      <c r="G24" s="185"/>
      <c r="H24" s="185"/>
      <c r="I24" s="185"/>
      <c r="J24" s="751"/>
      <c r="K24" s="751"/>
      <c r="L24" s="753"/>
      <c r="M24" s="767" t="s">
        <v>182</v>
      </c>
      <c r="N24" s="768" t="str">
        <f t="shared" si="1"/>
        <v>PUNO 138
(9,8 USD/MWh)</v>
      </c>
    </row>
    <row r="25" spans="1:14" ht="6.75" customHeight="1">
      <c r="A25" s="185"/>
      <c r="B25" s="187"/>
      <c r="C25" s="187"/>
      <c r="D25" s="187"/>
      <c r="E25" s="187"/>
      <c r="F25" s="187"/>
      <c r="G25" s="185"/>
      <c r="H25" s="185"/>
      <c r="I25" s="185"/>
      <c r="J25" s="751"/>
      <c r="K25" s="751"/>
      <c r="L25" s="753"/>
      <c r="M25" s="767" t="s">
        <v>183</v>
      </c>
      <c r="N25" s="768" t="str">
        <f t="shared" si="1"/>
        <v>SOCABAYA 220
(9,67 USD/MWh)</v>
      </c>
    </row>
    <row r="26" spans="1:14" ht="25.5" customHeight="1">
      <c r="A26" s="185"/>
      <c r="B26" s="551" t="s">
        <v>168</v>
      </c>
      <c r="C26" s="548" t="s">
        <v>177</v>
      </c>
      <c r="D26" s="548" t="s">
        <v>597</v>
      </c>
      <c r="E26" s="548" t="s">
        <v>175</v>
      </c>
      <c r="F26" s="548" t="s">
        <v>178</v>
      </c>
      <c r="G26" s="548" t="s">
        <v>176</v>
      </c>
      <c r="H26" s="548" t="s">
        <v>179</v>
      </c>
      <c r="I26" s="549" t="s">
        <v>180</v>
      </c>
      <c r="J26" s="760"/>
      <c r="K26" s="755"/>
      <c r="L26" s="756"/>
      <c r="M26" s="767" t="s">
        <v>184</v>
      </c>
      <c r="N26" s="768" t="str">
        <f t="shared" si="1"/>
        <v>MOQUEGUA 138
(9,66 USD/MWh)</v>
      </c>
    </row>
    <row r="27" spans="1:14" ht="18" customHeight="1">
      <c r="A27" s="185"/>
      <c r="B27" s="552" t="s">
        <v>174</v>
      </c>
      <c r="C27" s="277">
        <v>9.1087240716818716</v>
      </c>
      <c r="D27" s="277">
        <v>9.0709228271698699</v>
      </c>
      <c r="E27" s="277">
        <v>9.0572105658983162</v>
      </c>
      <c r="F27" s="277">
        <v>9.0447943813322933</v>
      </c>
      <c r="G27" s="277">
        <v>8.9935272629601677</v>
      </c>
      <c r="H27" s="277">
        <v>8.9100826688618309</v>
      </c>
      <c r="I27" s="277">
        <v>8.7964804692249459</v>
      </c>
      <c r="J27" s="761"/>
      <c r="K27" s="755"/>
      <c r="L27" s="756"/>
      <c r="M27" s="767" t="s">
        <v>185</v>
      </c>
      <c r="N27" s="768" t="str">
        <f t="shared" si="1"/>
        <v>DOLORESPATA 138
(9,5 USD/MWh)</v>
      </c>
    </row>
    <row r="28" spans="1:14" ht="19.5" customHeight="1">
      <c r="A28" s="185"/>
      <c r="B28" s="958" t="str">
        <f>"Cuadro N°12: Valor de los costos marginales medios registrados en las principales barras del área centro durante el mes de "&amp;'1. Resumen'!Q4</f>
        <v>Cuadro N°12: Valor de los costos marginales medios registrados en las principales barras del área centro durante el mes de junio</v>
      </c>
      <c r="C28" s="958"/>
      <c r="D28" s="958"/>
      <c r="E28" s="958"/>
      <c r="F28" s="958"/>
      <c r="G28" s="958"/>
      <c r="H28" s="958"/>
      <c r="I28" s="958"/>
      <c r="J28" s="755"/>
      <c r="K28" s="755"/>
      <c r="L28" s="756"/>
      <c r="M28" s="767" t="s">
        <v>186</v>
      </c>
      <c r="N28" s="768" t="str">
        <f t="shared" si="1"/>
        <v>COTARUSE 220
(9,32 USD/MWh)</v>
      </c>
    </row>
    <row r="29" spans="1:14" ht="11.25" customHeight="1">
      <c r="A29" s="185"/>
      <c r="B29" s="191"/>
      <c r="C29" s="191"/>
      <c r="D29" s="191"/>
      <c r="E29" s="191"/>
      <c r="F29" s="191"/>
      <c r="G29" s="191"/>
      <c r="H29" s="191"/>
      <c r="I29" s="191"/>
      <c r="J29" s="762"/>
      <c r="K29" s="762"/>
      <c r="L29" s="756"/>
      <c r="M29" s="767" t="s">
        <v>187</v>
      </c>
      <c r="N29" s="768" t="str">
        <f t="shared" si="1"/>
        <v>SAN GABAN 138
(9,32 USD/MWh)</v>
      </c>
    </row>
    <row r="30" spans="1:14" ht="11.25" customHeight="1">
      <c r="A30" s="185"/>
      <c r="B30" s="191"/>
      <c r="C30" s="191"/>
      <c r="D30" s="191"/>
      <c r="E30" s="191"/>
      <c r="F30" s="191"/>
      <c r="G30" s="191"/>
      <c r="H30" s="191"/>
      <c r="I30" s="191"/>
      <c r="J30" s="762"/>
      <c r="K30" s="762"/>
      <c r="L30" s="756"/>
      <c r="M30" s="767"/>
      <c r="N30" s="719"/>
    </row>
    <row r="31" spans="1:14" ht="11.25" customHeight="1">
      <c r="A31" s="185"/>
      <c r="B31" s="191"/>
      <c r="C31" s="191"/>
      <c r="D31" s="191"/>
      <c r="E31" s="191"/>
      <c r="F31" s="191"/>
      <c r="G31" s="191"/>
      <c r="H31" s="191"/>
      <c r="I31" s="191"/>
      <c r="J31" s="762"/>
      <c r="K31" s="762"/>
      <c r="L31" s="756"/>
      <c r="M31" s="767"/>
      <c r="N31" s="719"/>
    </row>
    <row r="32" spans="1:14" ht="11.25" customHeight="1">
      <c r="A32" s="185"/>
      <c r="B32" s="191"/>
      <c r="C32" s="191"/>
      <c r="D32" s="191"/>
      <c r="E32" s="191"/>
      <c r="F32" s="191"/>
      <c r="G32" s="191"/>
      <c r="H32" s="191"/>
      <c r="I32" s="191"/>
      <c r="J32" s="762"/>
      <c r="K32" s="762"/>
      <c r="L32" s="756"/>
      <c r="M32" s="767"/>
    </row>
    <row r="33" spans="1:12" ht="11.25" customHeight="1">
      <c r="A33" s="185"/>
      <c r="B33" s="191"/>
      <c r="C33" s="191"/>
      <c r="D33" s="191"/>
      <c r="E33" s="191"/>
      <c r="F33" s="191"/>
      <c r="G33" s="191"/>
      <c r="H33" s="191"/>
      <c r="I33" s="191"/>
      <c r="J33" s="762"/>
      <c r="K33" s="762"/>
      <c r="L33" s="756"/>
    </row>
    <row r="34" spans="1:12" ht="11.25" customHeight="1">
      <c r="A34" s="185"/>
      <c r="B34" s="191"/>
      <c r="C34" s="191"/>
      <c r="D34" s="191"/>
      <c r="E34" s="191"/>
      <c r="F34" s="191"/>
      <c r="G34" s="191"/>
      <c r="H34" s="191"/>
      <c r="I34" s="191"/>
      <c r="J34" s="762"/>
      <c r="K34" s="762"/>
      <c r="L34" s="756"/>
    </row>
    <row r="35" spans="1:12" ht="11.25" customHeight="1">
      <c r="A35" s="185"/>
      <c r="B35" s="191"/>
      <c r="C35" s="191"/>
      <c r="D35" s="191"/>
      <c r="E35" s="191"/>
      <c r="F35" s="191"/>
      <c r="G35" s="191"/>
      <c r="H35" s="191"/>
      <c r="I35" s="191"/>
      <c r="J35" s="762"/>
      <c r="K35" s="762"/>
      <c r="L35" s="763"/>
    </row>
    <row r="36" spans="1:12" ht="11.25" customHeight="1">
      <c r="A36" s="185"/>
      <c r="B36" s="191"/>
      <c r="C36" s="191"/>
      <c r="D36" s="191"/>
      <c r="E36" s="191"/>
      <c r="F36" s="191"/>
      <c r="G36" s="191"/>
      <c r="H36" s="191"/>
      <c r="I36" s="191"/>
      <c r="J36" s="762"/>
      <c r="K36" s="762"/>
      <c r="L36" s="756"/>
    </row>
    <row r="37" spans="1:12" ht="11.25" customHeight="1">
      <c r="A37" s="185"/>
      <c r="B37" s="191"/>
      <c r="C37" s="191"/>
      <c r="D37" s="191"/>
      <c r="E37" s="191"/>
      <c r="F37" s="191"/>
      <c r="G37" s="191"/>
      <c r="H37" s="191"/>
      <c r="I37" s="191"/>
      <c r="J37" s="762"/>
      <c r="K37" s="762"/>
      <c r="L37" s="756"/>
    </row>
    <row r="38" spans="1:12" ht="11.25" customHeight="1">
      <c r="A38" s="185"/>
      <c r="B38" s="191"/>
      <c r="C38" s="191"/>
      <c r="D38" s="191"/>
      <c r="E38" s="191"/>
      <c r="F38" s="191"/>
      <c r="G38" s="191"/>
      <c r="H38" s="191"/>
      <c r="I38" s="191"/>
      <c r="J38" s="762"/>
      <c r="K38" s="762"/>
      <c r="L38" s="756"/>
    </row>
    <row r="39" spans="1:12" ht="11.25" customHeight="1">
      <c r="A39" s="185"/>
      <c r="B39" s="191"/>
      <c r="C39" s="191"/>
      <c r="D39" s="191"/>
      <c r="E39" s="191"/>
      <c r="F39" s="191"/>
      <c r="G39" s="191"/>
      <c r="H39" s="191"/>
      <c r="I39" s="191"/>
      <c r="J39" s="762"/>
      <c r="K39" s="762"/>
      <c r="L39" s="756"/>
    </row>
    <row r="40" spans="1:12" ht="13.5" customHeight="1">
      <c r="A40" s="185"/>
      <c r="B40" s="956" t="str">
        <f>"Gráfico N°21: Costos marginales medios registrados en las principales barras del área centro durante el mes de "&amp;'1. Resumen'!Q4</f>
        <v>Gráfico N°21: Costos marginales medios registrados en las principales barras del área centro durante el mes de junio</v>
      </c>
      <c r="C40" s="956"/>
      <c r="D40" s="956"/>
      <c r="E40" s="956"/>
      <c r="F40" s="956"/>
      <c r="G40" s="956"/>
      <c r="H40" s="956"/>
      <c r="I40" s="956"/>
      <c r="J40" s="762"/>
      <c r="K40" s="762"/>
      <c r="L40" s="756"/>
    </row>
    <row r="41" spans="1:12" ht="6.75" customHeight="1">
      <c r="A41" s="185"/>
      <c r="B41" s="191"/>
      <c r="C41" s="191"/>
      <c r="D41" s="191"/>
      <c r="E41" s="191"/>
      <c r="F41" s="191"/>
      <c r="G41" s="191"/>
      <c r="H41" s="191"/>
      <c r="I41" s="191"/>
      <c r="J41" s="762"/>
      <c r="K41" s="762"/>
      <c r="L41" s="756"/>
    </row>
    <row r="42" spans="1:12" ht="8.25" customHeight="1">
      <c r="A42" s="185"/>
      <c r="B42" s="187"/>
      <c r="C42" s="187"/>
      <c r="D42" s="187"/>
      <c r="E42" s="187"/>
      <c r="F42" s="187"/>
      <c r="G42" s="187"/>
      <c r="H42" s="187"/>
      <c r="I42" s="187"/>
      <c r="J42" s="764"/>
      <c r="K42" s="764"/>
      <c r="L42" s="11"/>
    </row>
    <row r="43" spans="1:12" ht="11.25" customHeight="1">
      <c r="A43" s="185"/>
      <c r="B43" s="190" t="s">
        <v>456</v>
      </c>
      <c r="C43" s="187"/>
      <c r="D43" s="187"/>
      <c r="E43" s="187"/>
      <c r="F43" s="187"/>
      <c r="G43" s="187"/>
      <c r="H43" s="187"/>
      <c r="I43" s="187"/>
      <c r="J43" s="764"/>
      <c r="K43" s="764"/>
      <c r="L43" s="11"/>
    </row>
    <row r="44" spans="1:12" ht="6.75" customHeight="1">
      <c r="A44" s="185"/>
      <c r="B44" s="187"/>
      <c r="C44" s="187"/>
      <c r="D44" s="187"/>
      <c r="E44" s="187"/>
      <c r="F44" s="187"/>
      <c r="G44" s="187"/>
      <c r="H44" s="187"/>
      <c r="I44" s="187"/>
      <c r="J44" s="764"/>
      <c r="K44" s="764"/>
      <c r="L44" s="11"/>
    </row>
    <row r="45" spans="1:12" ht="27" customHeight="1">
      <c r="A45" s="185"/>
      <c r="B45" s="551" t="s">
        <v>168</v>
      </c>
      <c r="C45" s="548" t="s">
        <v>181</v>
      </c>
      <c r="D45" s="548" t="s">
        <v>182</v>
      </c>
      <c r="E45" s="548" t="s">
        <v>183</v>
      </c>
      <c r="F45" s="548" t="s">
        <v>184</v>
      </c>
      <c r="G45" s="548" t="s">
        <v>185</v>
      </c>
      <c r="H45" s="548" t="s">
        <v>187</v>
      </c>
      <c r="I45" s="549" t="s">
        <v>186</v>
      </c>
      <c r="J45" s="760"/>
      <c r="K45" s="762"/>
    </row>
    <row r="46" spans="1:12" ht="18.75" customHeight="1">
      <c r="A46" s="185"/>
      <c r="B46" s="552" t="s">
        <v>174</v>
      </c>
      <c r="C46" s="277">
        <v>10.016613418608593</v>
      </c>
      <c r="D46" s="277">
        <v>9.7961594353681374</v>
      </c>
      <c r="E46" s="277">
        <v>9.6731703548210017</v>
      </c>
      <c r="F46" s="277">
        <v>9.6577584268406227</v>
      </c>
      <c r="G46" s="277">
        <v>9.4984551424772423</v>
      </c>
      <c r="H46" s="277">
        <v>9.3243550219520159</v>
      </c>
      <c r="I46" s="277">
        <v>9.3158082022543152</v>
      </c>
      <c r="J46" s="761"/>
      <c r="K46" s="762"/>
    </row>
    <row r="47" spans="1:12" ht="18" customHeight="1">
      <c r="A47" s="185"/>
      <c r="B47" s="958" t="str">
        <f>"Cuadro N°13: Valor de los costos marginales medios registrados en las principales barras del área sur durante el mes de "&amp;'1. Resumen'!Q4</f>
        <v>Cuadro N°13: Valor de los costos marginales medios registrados en las principales barras del área sur durante el mes de junio</v>
      </c>
      <c r="C47" s="958"/>
      <c r="D47" s="958"/>
      <c r="E47" s="958"/>
      <c r="F47" s="958"/>
      <c r="G47" s="958"/>
      <c r="H47" s="958"/>
      <c r="I47" s="958"/>
      <c r="J47" s="761"/>
      <c r="K47" s="762"/>
    </row>
    <row r="48" spans="1:12" ht="12.75">
      <c r="A48" s="185"/>
      <c r="B48" s="191"/>
      <c r="C48" s="191"/>
      <c r="D48" s="191"/>
      <c r="E48" s="191"/>
      <c r="F48" s="191"/>
      <c r="G48" s="181"/>
      <c r="H48" s="181"/>
      <c r="I48" s="181"/>
      <c r="J48" s="755"/>
      <c r="K48" s="762"/>
    </row>
    <row r="49" spans="1:11" ht="12.75">
      <c r="A49" s="185"/>
      <c r="B49" s="181"/>
      <c r="C49" s="181"/>
      <c r="D49" s="181"/>
      <c r="E49" s="181"/>
      <c r="F49" s="181"/>
      <c r="G49" s="181"/>
      <c r="H49" s="181"/>
      <c r="I49" s="181"/>
      <c r="J49" s="755"/>
      <c r="K49" s="762"/>
    </row>
    <row r="50" spans="1:11" ht="12.75">
      <c r="A50" s="185"/>
      <c r="B50" s="111"/>
      <c r="C50" s="111"/>
      <c r="D50" s="111"/>
      <c r="E50" s="111"/>
      <c r="F50" s="111"/>
      <c r="G50" s="111"/>
      <c r="H50" s="111"/>
      <c r="I50" s="111"/>
      <c r="J50" s="765"/>
      <c r="K50" s="762"/>
    </row>
    <row r="51" spans="1:11" ht="12.75">
      <c r="A51" s="185"/>
      <c r="B51" s="111"/>
      <c r="C51" s="111"/>
      <c r="D51" s="111"/>
      <c r="E51" s="111"/>
      <c r="F51" s="111"/>
      <c r="G51" s="111"/>
      <c r="H51" s="111"/>
      <c r="I51" s="111"/>
      <c r="J51" s="765"/>
      <c r="K51" s="762"/>
    </row>
    <row r="52" spans="1:11" ht="12.75">
      <c r="A52" s="185"/>
      <c r="B52" s="111"/>
      <c r="C52" s="111"/>
      <c r="D52" s="111"/>
      <c r="E52" s="111"/>
      <c r="F52" s="111"/>
      <c r="G52" s="111"/>
      <c r="H52" s="111"/>
      <c r="I52" s="111"/>
      <c r="J52" s="765"/>
      <c r="K52" s="762"/>
    </row>
    <row r="53" spans="1:11" ht="12.75">
      <c r="A53" s="185"/>
      <c r="B53" s="111"/>
      <c r="C53" s="111"/>
      <c r="D53" s="111"/>
      <c r="E53" s="111"/>
      <c r="F53" s="111"/>
      <c r="G53" s="111"/>
      <c r="H53" s="111"/>
      <c r="I53" s="111"/>
      <c r="J53" s="765"/>
      <c r="K53" s="762"/>
    </row>
    <row r="54" spans="1:11" ht="12.75">
      <c r="A54" s="185"/>
      <c r="B54" s="111"/>
      <c r="C54" s="111"/>
      <c r="D54" s="111"/>
      <c r="E54" s="111"/>
      <c r="F54" s="111"/>
      <c r="G54" s="111"/>
      <c r="H54" s="111"/>
      <c r="I54" s="111"/>
      <c r="J54" s="765"/>
      <c r="K54" s="762"/>
    </row>
    <row r="55" spans="1:11" ht="12.75">
      <c r="A55" s="185"/>
      <c r="B55" s="111"/>
      <c r="C55" s="111"/>
      <c r="D55" s="111"/>
      <c r="E55" s="111"/>
      <c r="F55" s="111"/>
      <c r="G55" s="111"/>
      <c r="H55" s="111"/>
      <c r="I55" s="111"/>
      <c r="J55" s="765"/>
      <c r="K55" s="762"/>
    </row>
    <row r="56" spans="1:11" ht="12.75">
      <c r="A56" s="185"/>
      <c r="B56" s="181"/>
      <c r="C56" s="181"/>
      <c r="D56" s="181"/>
      <c r="E56" s="181"/>
      <c r="F56" s="181"/>
      <c r="G56" s="181"/>
      <c r="H56" s="181"/>
      <c r="I56" s="181"/>
      <c r="J56" s="755"/>
      <c r="K56" s="762"/>
    </row>
    <row r="57" spans="1:11" ht="12.75">
      <c r="A57" s="185"/>
      <c r="B57" s="181"/>
      <c r="C57" s="181"/>
      <c r="D57" s="181"/>
      <c r="E57" s="181"/>
      <c r="F57" s="181"/>
      <c r="G57" s="181"/>
      <c r="H57" s="181"/>
      <c r="I57" s="181"/>
      <c r="J57" s="755"/>
      <c r="K57" s="762"/>
    </row>
    <row r="58" spans="1:11" ht="12.75">
      <c r="A58" s="185"/>
      <c r="B58" s="956" t="str">
        <f>"Gráfico N°22: Costos marginales medios registrados en las principales barras del área sur durante el mes de "&amp;'1. Resumen'!Q4</f>
        <v>Gráfico N°22: Costos marginales medios registrados en las principales barras del área sur durante el mes de junio</v>
      </c>
      <c r="C58" s="956"/>
      <c r="D58" s="956"/>
      <c r="E58" s="956"/>
      <c r="F58" s="956"/>
      <c r="G58" s="956"/>
      <c r="H58" s="956"/>
      <c r="I58" s="956"/>
      <c r="J58" s="755"/>
      <c r="K58" s="762"/>
    </row>
    <row r="59" spans="1:11" ht="12.75">
      <c r="A59" s="74"/>
      <c r="B59" s="136"/>
      <c r="C59" s="136"/>
      <c r="D59" s="136"/>
      <c r="E59" s="136"/>
      <c r="F59" s="136"/>
      <c r="G59" s="136"/>
      <c r="H59" s="181"/>
      <c r="I59" s="181"/>
      <c r="J59" s="755"/>
      <c r="K59" s="762"/>
    </row>
  </sheetData>
  <mergeCells count="8">
    <mergeCell ref="B58:I58"/>
    <mergeCell ref="B21:I21"/>
    <mergeCell ref="B10:I10"/>
    <mergeCell ref="A2:K2"/>
    <mergeCell ref="A4:H4"/>
    <mergeCell ref="B28:I28"/>
    <mergeCell ref="B47:I47"/>
    <mergeCell ref="B40:I40"/>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77A5"/>
  </sheetPr>
  <dimension ref="A1:L71"/>
  <sheetViews>
    <sheetView showGridLines="0" view="pageBreakPreview" zoomScale="190" zoomScaleNormal="100" zoomScaleSheetLayoutView="190" zoomScalePageLayoutView="145" workbookViewId="0">
      <selection activeCell="C12" sqref="C12"/>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17" t="s">
        <v>458</v>
      </c>
      <c r="B2" s="917"/>
      <c r="C2" s="917"/>
      <c r="D2" s="917"/>
      <c r="E2" s="917"/>
      <c r="F2" s="917"/>
      <c r="G2" s="917"/>
      <c r="H2" s="917"/>
      <c r="I2" s="917"/>
      <c r="J2" s="917"/>
      <c r="K2" s="917"/>
      <c r="L2" s="917"/>
    </row>
    <row r="3" spans="1:12" ht="11.25" customHeight="1">
      <c r="A3" s="185"/>
      <c r="B3" s="185"/>
      <c r="C3" s="185"/>
      <c r="D3" s="185"/>
      <c r="E3" s="185"/>
      <c r="F3" s="185"/>
      <c r="G3" s="185"/>
      <c r="H3" s="185"/>
      <c r="I3" s="185"/>
      <c r="J3" s="185"/>
      <c r="K3" s="185"/>
      <c r="L3" s="193"/>
    </row>
    <row r="4" spans="1:12" ht="11.25" customHeight="1">
      <c r="A4" s="185"/>
      <c r="B4" s="185"/>
      <c r="C4" s="185"/>
      <c r="D4" s="185"/>
      <c r="E4" s="185"/>
      <c r="F4" s="185"/>
      <c r="G4" s="185"/>
      <c r="H4" s="185"/>
      <c r="I4" s="185"/>
      <c r="J4" s="185"/>
      <c r="K4" s="185"/>
      <c r="L4" s="17"/>
    </row>
    <row r="5" spans="1:12" ht="11.25" customHeight="1">
      <c r="A5" s="185"/>
      <c r="B5" s="185"/>
      <c r="C5" s="185"/>
      <c r="D5" s="185"/>
      <c r="E5" s="185"/>
      <c r="F5" s="185"/>
      <c r="G5" s="185"/>
      <c r="H5" s="185"/>
      <c r="I5" s="185"/>
      <c r="J5" s="185"/>
      <c r="K5" s="185"/>
      <c r="L5" s="17"/>
    </row>
    <row r="6" spans="1:12" ht="11.25" customHeight="1">
      <c r="A6" s="185"/>
      <c r="B6" s="185"/>
      <c r="C6" s="185"/>
      <c r="D6" s="185"/>
      <c r="E6" s="185"/>
      <c r="F6" s="185"/>
      <c r="G6" s="185"/>
      <c r="H6" s="185"/>
      <c r="I6" s="185"/>
      <c r="J6" s="185"/>
      <c r="K6" s="185"/>
      <c r="L6" s="17"/>
    </row>
    <row r="7" spans="1:12" ht="11.25" customHeight="1">
      <c r="A7" s="185"/>
      <c r="B7" s="186"/>
      <c r="C7" s="185"/>
      <c r="D7" s="185"/>
      <c r="E7" s="185"/>
      <c r="F7" s="185"/>
      <c r="G7" s="185"/>
      <c r="H7" s="185"/>
      <c r="I7" s="185"/>
      <c r="J7" s="185"/>
      <c r="K7" s="185"/>
      <c r="L7" s="17"/>
    </row>
    <row r="8" spans="1:12" ht="11.25" customHeight="1">
      <c r="A8" s="185"/>
      <c r="B8" s="186"/>
      <c r="C8" s="185"/>
      <c r="D8" s="185"/>
      <c r="E8" s="185"/>
      <c r="F8" s="185"/>
      <c r="G8" s="185"/>
      <c r="H8" s="185"/>
      <c r="I8" s="185"/>
      <c r="J8" s="185"/>
      <c r="K8" s="185"/>
      <c r="L8" s="17"/>
    </row>
    <row r="9" spans="1:12" ht="11.25" customHeight="1">
      <c r="A9" s="185"/>
      <c r="B9" s="186"/>
      <c r="C9" s="185"/>
      <c r="D9" s="185"/>
      <c r="E9" s="185"/>
      <c r="F9" s="185"/>
      <c r="G9" s="185"/>
      <c r="H9" s="185"/>
      <c r="I9" s="185"/>
      <c r="J9" s="185"/>
      <c r="K9" s="185"/>
      <c r="L9" s="17"/>
    </row>
    <row r="10" spans="1:12" ht="11.25" customHeight="1">
      <c r="A10" s="185"/>
      <c r="B10" s="185"/>
      <c r="C10" s="185"/>
      <c r="D10" s="185"/>
      <c r="E10" s="185"/>
      <c r="F10" s="185"/>
      <c r="G10" s="185"/>
      <c r="H10" s="185"/>
      <c r="I10" s="185"/>
      <c r="J10" s="185"/>
      <c r="K10" s="185"/>
      <c r="L10" s="17"/>
    </row>
    <row r="11" spans="1:12" ht="11.25" customHeight="1">
      <c r="A11" s="185"/>
      <c r="B11" s="185"/>
      <c r="C11" s="185"/>
      <c r="D11" s="185"/>
      <c r="E11" s="185"/>
      <c r="F11" s="185"/>
      <c r="G11" s="185"/>
      <c r="H11" s="185"/>
      <c r="I11" s="185"/>
      <c r="J11" s="185"/>
      <c r="K11" s="185"/>
      <c r="L11" s="17"/>
    </row>
    <row r="12" spans="1:12" ht="11.25" customHeight="1">
      <c r="A12" s="185"/>
      <c r="B12" s="185"/>
      <c r="C12" s="185"/>
      <c r="D12" s="185"/>
      <c r="E12" s="185"/>
      <c r="F12" s="185"/>
      <c r="G12" s="185"/>
      <c r="H12" s="185"/>
      <c r="I12" s="185"/>
      <c r="J12" s="185"/>
      <c r="K12" s="185"/>
      <c r="L12" s="17"/>
    </row>
    <row r="13" spans="1:12" ht="11.25" customHeight="1">
      <c r="A13" s="185"/>
      <c r="B13" s="185"/>
      <c r="C13" s="185"/>
      <c r="D13" s="185"/>
      <c r="E13" s="185"/>
      <c r="F13" s="185"/>
      <c r="G13" s="185"/>
      <c r="H13" s="185"/>
      <c r="I13" s="185"/>
      <c r="J13" s="185"/>
      <c r="K13" s="185"/>
      <c r="L13" s="17"/>
    </row>
    <row r="14" spans="1:12" ht="11.25" customHeight="1">
      <c r="A14" s="185"/>
      <c r="B14" s="185"/>
      <c r="C14" s="185"/>
      <c r="D14" s="185"/>
      <c r="E14" s="185"/>
      <c r="F14" s="185"/>
      <c r="G14" s="185"/>
      <c r="H14" s="185"/>
      <c r="I14" s="185"/>
      <c r="J14" s="185"/>
      <c r="K14" s="185"/>
      <c r="L14" s="17"/>
    </row>
    <row r="15" spans="1:12" ht="11.25" customHeight="1">
      <c r="A15" s="185"/>
      <c r="B15" s="185"/>
      <c r="C15" s="185"/>
      <c r="D15" s="185"/>
      <c r="E15" s="185"/>
      <c r="F15" s="185"/>
      <c r="G15" s="185"/>
      <c r="H15" s="185"/>
      <c r="I15" s="185"/>
      <c r="J15" s="185"/>
      <c r="K15" s="185"/>
      <c r="L15" s="17"/>
    </row>
    <row r="16" spans="1:12" ht="11.25" customHeight="1">
      <c r="A16" s="185"/>
      <c r="B16" s="185"/>
      <c r="C16" s="185"/>
      <c r="D16" s="185"/>
      <c r="E16" s="185"/>
      <c r="F16" s="185"/>
      <c r="G16" s="185"/>
      <c r="H16" s="185"/>
      <c r="I16" s="185"/>
      <c r="J16" s="185"/>
      <c r="K16" s="185"/>
      <c r="L16" s="17"/>
    </row>
    <row r="17" spans="1:12" ht="11.25" customHeight="1">
      <c r="A17" s="185"/>
      <c r="B17" s="185"/>
      <c r="C17" s="185"/>
      <c r="D17" s="185"/>
      <c r="E17" s="185"/>
      <c r="F17" s="185"/>
      <c r="G17" s="185"/>
      <c r="H17" s="185"/>
      <c r="I17" s="185"/>
      <c r="J17" s="185"/>
      <c r="K17" s="185"/>
      <c r="L17" s="17"/>
    </row>
    <row r="18" spans="1:12" ht="11.25" customHeight="1">
      <c r="A18" s="185"/>
      <c r="B18" s="185"/>
      <c r="C18" s="185"/>
      <c r="D18" s="185"/>
      <c r="E18" s="185"/>
      <c r="F18" s="185"/>
      <c r="G18" s="185"/>
      <c r="H18" s="185"/>
      <c r="I18" s="185"/>
      <c r="J18" s="185"/>
      <c r="K18" s="185"/>
      <c r="L18" s="193"/>
    </row>
    <row r="19" spans="1:12" ht="11.25" customHeight="1">
      <c r="A19" s="185"/>
      <c r="B19" s="185"/>
      <c r="C19" s="185"/>
      <c r="D19" s="185"/>
      <c r="E19" s="185"/>
      <c r="F19" s="185"/>
      <c r="G19" s="185"/>
      <c r="H19" s="185"/>
      <c r="I19" s="185"/>
      <c r="J19" s="185"/>
      <c r="K19" s="185"/>
      <c r="L19" s="193"/>
    </row>
    <row r="20" spans="1:12" ht="11.25" customHeight="1">
      <c r="A20" s="185"/>
      <c r="B20" s="185"/>
      <c r="C20" s="185"/>
      <c r="D20" s="185"/>
      <c r="E20" s="185"/>
      <c r="F20" s="185"/>
      <c r="G20" s="185"/>
      <c r="H20" s="185"/>
      <c r="I20" s="185"/>
      <c r="J20" s="185"/>
      <c r="K20" s="185"/>
      <c r="L20" s="193"/>
    </row>
    <row r="21" spans="1:12" ht="11.25" customHeight="1">
      <c r="A21" s="185"/>
      <c r="B21" s="185"/>
      <c r="C21" s="185"/>
      <c r="D21" s="185"/>
      <c r="E21" s="185"/>
      <c r="F21" s="185"/>
      <c r="G21" s="185"/>
      <c r="H21" s="185"/>
      <c r="I21" s="185"/>
      <c r="J21" s="185"/>
      <c r="K21" s="185"/>
      <c r="L21" s="193"/>
    </row>
    <row r="22" spans="1:12" ht="11.25" customHeight="1">
      <c r="A22" s="185"/>
      <c r="B22" s="185"/>
      <c r="C22" s="185"/>
      <c r="D22" s="185"/>
      <c r="E22" s="185"/>
      <c r="F22" s="185"/>
      <c r="G22" s="185"/>
      <c r="H22" s="185"/>
      <c r="I22" s="185"/>
      <c r="J22" s="185"/>
      <c r="K22" s="185"/>
      <c r="L22" s="193"/>
    </row>
    <row r="23" spans="1:12" ht="11.25" customHeight="1">
      <c r="A23" s="185"/>
      <c r="B23" s="185"/>
      <c r="C23" s="185"/>
      <c r="D23" s="185"/>
      <c r="E23" s="185"/>
      <c r="F23" s="185"/>
      <c r="G23" s="185"/>
      <c r="H23" s="185"/>
      <c r="I23" s="185"/>
      <c r="J23" s="185"/>
      <c r="K23" s="185"/>
      <c r="L23" s="193"/>
    </row>
    <row r="24" spans="1:12" ht="11.25" customHeight="1">
      <c r="A24" s="185"/>
      <c r="B24" s="185"/>
      <c r="C24" s="185"/>
      <c r="D24" s="185"/>
      <c r="E24" s="185"/>
      <c r="F24" s="185"/>
      <c r="G24" s="185"/>
      <c r="H24" s="185"/>
      <c r="I24" s="185"/>
      <c r="J24" s="185"/>
      <c r="K24" s="185"/>
      <c r="L24" s="193"/>
    </row>
    <row r="25" spans="1:12" ht="11.25" customHeight="1">
      <c r="A25" s="185"/>
      <c r="B25" s="185"/>
      <c r="C25" s="185"/>
      <c r="D25" s="185"/>
      <c r="E25" s="185"/>
      <c r="F25" s="185"/>
      <c r="G25" s="185"/>
      <c r="H25" s="185"/>
      <c r="I25" s="185"/>
      <c r="J25" s="185"/>
      <c r="K25" s="185"/>
      <c r="L25" s="193"/>
    </row>
    <row r="26" spans="1:12" ht="11.25" customHeight="1">
      <c r="A26" s="185"/>
      <c r="B26" s="185"/>
      <c r="C26" s="185"/>
      <c r="D26" s="185"/>
      <c r="E26" s="185"/>
      <c r="F26" s="185"/>
      <c r="G26" s="185"/>
      <c r="H26" s="185"/>
      <c r="I26" s="185"/>
      <c r="J26" s="185"/>
      <c r="K26" s="185"/>
      <c r="L26" s="193"/>
    </row>
    <row r="27" spans="1:12" ht="11.25" customHeight="1">
      <c r="A27" s="185"/>
      <c r="B27" s="185"/>
      <c r="C27" s="185"/>
      <c r="D27" s="185"/>
      <c r="E27" s="185"/>
      <c r="F27" s="185"/>
      <c r="G27" s="185"/>
      <c r="H27" s="185"/>
      <c r="I27" s="185"/>
      <c r="J27" s="185"/>
      <c r="K27" s="185"/>
      <c r="L27" s="193"/>
    </row>
    <row r="28" spans="1:12" ht="11.25" customHeight="1">
      <c r="A28" s="185"/>
      <c r="B28" s="185"/>
      <c r="C28" s="185"/>
      <c r="D28" s="185"/>
      <c r="E28" s="185"/>
      <c r="F28" s="185"/>
      <c r="G28" s="185"/>
      <c r="H28" s="185"/>
      <c r="I28" s="185"/>
      <c r="J28" s="185"/>
      <c r="K28" s="185"/>
      <c r="L28" s="193"/>
    </row>
    <row r="29" spans="1:12" ht="11.25" customHeight="1">
      <c r="A29" s="185"/>
      <c r="B29" s="185"/>
      <c r="C29" s="185"/>
      <c r="D29" s="185"/>
      <c r="E29" s="185"/>
      <c r="F29" s="185"/>
      <c r="G29" s="185"/>
      <c r="H29" s="185"/>
      <c r="I29" s="185"/>
      <c r="J29" s="185"/>
      <c r="K29" s="185"/>
      <c r="L29" s="193"/>
    </row>
    <row r="30" spans="1:12" ht="11.25" customHeight="1">
      <c r="A30" s="185"/>
      <c r="B30" s="185"/>
      <c r="C30" s="185"/>
      <c r="D30" s="185"/>
      <c r="E30" s="185"/>
      <c r="F30" s="185"/>
      <c r="G30" s="185"/>
      <c r="H30" s="185"/>
      <c r="I30" s="185"/>
      <c r="J30" s="185"/>
      <c r="K30" s="185"/>
      <c r="L30" s="193"/>
    </row>
    <row r="31" spans="1:12" ht="11.25" customHeight="1">
      <c r="A31" s="185"/>
      <c r="B31" s="185"/>
      <c r="C31" s="185"/>
      <c r="D31" s="185"/>
      <c r="E31" s="185"/>
      <c r="F31" s="185"/>
      <c r="G31" s="185"/>
      <c r="H31" s="185"/>
      <c r="I31" s="185"/>
      <c r="J31" s="185"/>
      <c r="K31" s="185"/>
      <c r="L31" s="193"/>
    </row>
    <row r="32" spans="1:12" ht="11.25" customHeight="1">
      <c r="A32" s="185"/>
      <c r="B32" s="185"/>
      <c r="C32" s="185"/>
      <c r="D32" s="185"/>
      <c r="E32" s="185"/>
      <c r="F32" s="185"/>
      <c r="G32" s="185"/>
      <c r="H32" s="185"/>
      <c r="I32" s="185"/>
      <c r="J32" s="185"/>
      <c r="K32" s="185"/>
      <c r="L32" s="73"/>
    </row>
    <row r="33" spans="1:12" ht="11.25" customHeight="1">
      <c r="A33" s="185"/>
      <c r="B33" s="185"/>
      <c r="C33" s="185"/>
      <c r="D33" s="185"/>
      <c r="E33" s="185"/>
      <c r="F33" s="185"/>
      <c r="G33" s="185"/>
      <c r="H33" s="185"/>
      <c r="I33" s="185"/>
      <c r="J33" s="185"/>
      <c r="K33" s="185"/>
      <c r="L33" s="73"/>
    </row>
    <row r="34" spans="1:12" ht="11.25" customHeight="1">
      <c r="A34" s="185"/>
      <c r="B34" s="185"/>
      <c r="C34" s="185"/>
      <c r="D34" s="185"/>
      <c r="E34" s="185"/>
      <c r="F34" s="185"/>
      <c r="G34" s="185"/>
      <c r="H34" s="185"/>
      <c r="I34" s="185"/>
      <c r="J34" s="185"/>
      <c r="K34" s="185"/>
      <c r="L34" s="73"/>
    </row>
    <row r="35" spans="1:12" ht="11.25" customHeight="1">
      <c r="A35" s="185"/>
      <c r="B35" s="185"/>
      <c r="C35" s="185"/>
      <c r="D35" s="185"/>
      <c r="E35" s="185"/>
      <c r="F35" s="185"/>
      <c r="G35" s="185"/>
      <c r="H35" s="185"/>
      <c r="I35" s="185"/>
      <c r="J35" s="185"/>
      <c r="K35" s="185"/>
      <c r="L35" s="73"/>
    </row>
    <row r="36" spans="1:12" ht="11.25" customHeight="1">
      <c r="A36" s="185"/>
      <c r="B36" s="185"/>
      <c r="C36" s="185"/>
      <c r="D36" s="185"/>
      <c r="E36" s="185"/>
      <c r="F36" s="185"/>
      <c r="G36" s="185"/>
      <c r="H36" s="185"/>
      <c r="I36" s="185"/>
      <c r="J36" s="185"/>
      <c r="K36" s="185"/>
      <c r="L36" s="73"/>
    </row>
    <row r="37" spans="1:12" ht="11.25" customHeight="1">
      <c r="A37" s="185"/>
      <c r="B37" s="185"/>
      <c r="C37" s="185"/>
      <c r="D37" s="185"/>
      <c r="E37" s="185"/>
      <c r="F37" s="185"/>
      <c r="G37" s="185"/>
      <c r="H37" s="185"/>
      <c r="I37" s="185"/>
      <c r="J37" s="185"/>
      <c r="K37" s="185"/>
      <c r="L37" s="73"/>
    </row>
    <row r="38" spans="1:12" ht="11.25" customHeight="1">
      <c r="A38" s="185"/>
      <c r="B38" s="185"/>
      <c r="C38" s="185"/>
      <c r="D38" s="185"/>
      <c r="E38" s="185"/>
      <c r="F38" s="185"/>
      <c r="G38" s="185"/>
      <c r="H38" s="185"/>
      <c r="I38" s="185"/>
      <c r="J38" s="185"/>
      <c r="K38" s="185"/>
      <c r="L38" s="73"/>
    </row>
    <row r="39" spans="1:12" ht="11.25" customHeight="1">
      <c r="A39" s="185"/>
      <c r="B39" s="185"/>
      <c r="C39" s="185"/>
      <c r="D39" s="185"/>
      <c r="E39" s="185"/>
      <c r="F39" s="185"/>
      <c r="G39" s="185"/>
      <c r="H39" s="185"/>
      <c r="I39" s="185"/>
      <c r="J39" s="185"/>
      <c r="K39" s="185"/>
      <c r="L39" s="73"/>
    </row>
    <row r="40" spans="1:12" ht="11.25" customHeight="1">
      <c r="A40" s="185"/>
      <c r="B40" s="185"/>
      <c r="C40" s="185"/>
      <c r="D40" s="185"/>
      <c r="E40" s="185"/>
      <c r="F40" s="185"/>
      <c r="G40" s="185"/>
      <c r="H40" s="185"/>
      <c r="I40" s="185"/>
      <c r="J40" s="185"/>
      <c r="K40" s="185"/>
      <c r="L40" s="73"/>
    </row>
    <row r="41" spans="1:12" ht="11.25" customHeight="1">
      <c r="A41" s="185"/>
      <c r="B41" s="185"/>
      <c r="C41" s="185"/>
      <c r="D41" s="185"/>
      <c r="E41" s="185"/>
      <c r="F41" s="185"/>
      <c r="G41" s="185"/>
      <c r="H41" s="185"/>
      <c r="I41" s="185"/>
      <c r="J41" s="185"/>
      <c r="K41" s="185"/>
      <c r="L41" s="73"/>
    </row>
    <row r="42" spans="1:12" ht="11.25" customHeight="1">
      <c r="A42" s="185"/>
      <c r="B42" s="185"/>
      <c r="C42" s="185"/>
      <c r="D42" s="185"/>
      <c r="E42" s="185"/>
      <c r="F42" s="185"/>
      <c r="G42" s="185"/>
      <c r="H42" s="185"/>
      <c r="I42" s="185"/>
      <c r="J42" s="185"/>
      <c r="K42" s="185"/>
      <c r="L42" s="73"/>
    </row>
    <row r="43" spans="1:12" ht="11.25" customHeight="1">
      <c r="A43" s="185"/>
      <c r="B43" s="185"/>
      <c r="C43" s="185"/>
      <c r="D43" s="185"/>
      <c r="E43" s="185"/>
      <c r="F43" s="185"/>
      <c r="G43" s="185"/>
      <c r="H43" s="185"/>
      <c r="I43" s="185"/>
      <c r="J43" s="185"/>
      <c r="K43" s="185"/>
      <c r="L43" s="73"/>
    </row>
    <row r="44" spans="1:12" ht="11.25" customHeight="1">
      <c r="A44" s="74"/>
      <c r="B44" s="74"/>
      <c r="C44" s="74"/>
      <c r="D44" s="74"/>
      <c r="E44" s="74"/>
      <c r="F44" s="74"/>
      <c r="G44" s="74"/>
      <c r="H44" s="74"/>
      <c r="I44" s="74"/>
      <c r="J44" s="74"/>
      <c r="K44" s="185"/>
      <c r="L44" s="73"/>
    </row>
    <row r="45" spans="1:12" ht="11.25" customHeight="1">
      <c r="A45" s="74"/>
      <c r="B45" s="74"/>
      <c r="C45" s="74"/>
      <c r="D45" s="74"/>
      <c r="E45" s="74"/>
      <c r="F45" s="74"/>
      <c r="G45" s="74"/>
      <c r="H45" s="74"/>
      <c r="I45" s="74"/>
      <c r="J45" s="74"/>
      <c r="K45" s="185"/>
      <c r="L45" s="73"/>
    </row>
    <row r="46" spans="1:12" ht="11.25" customHeight="1">
      <c r="A46" s="74"/>
      <c r="B46" s="74"/>
      <c r="C46" s="74"/>
      <c r="D46" s="74"/>
      <c r="E46" s="74"/>
      <c r="F46" s="74"/>
      <c r="G46" s="74"/>
      <c r="H46" s="74"/>
      <c r="I46" s="74"/>
      <c r="J46" s="74"/>
      <c r="K46" s="185"/>
      <c r="L46" s="73"/>
    </row>
    <row r="47" spans="1:12" ht="11.25" customHeight="1">
      <c r="A47" s="74"/>
      <c r="B47" s="74"/>
      <c r="C47" s="74"/>
      <c r="D47" s="74"/>
      <c r="E47" s="74"/>
      <c r="F47" s="74"/>
      <c r="G47" s="74"/>
      <c r="H47" s="74"/>
      <c r="I47" s="74"/>
      <c r="J47" s="74"/>
      <c r="K47" s="185"/>
      <c r="L47" s="73"/>
    </row>
    <row r="48" spans="1:12" ht="11.25" customHeight="1">
      <c r="A48" s="74"/>
      <c r="B48" s="74"/>
      <c r="C48" s="74"/>
      <c r="D48" s="74"/>
      <c r="E48" s="74"/>
      <c r="F48" s="74"/>
      <c r="G48" s="74"/>
      <c r="H48" s="74"/>
      <c r="I48" s="74"/>
      <c r="J48" s="74"/>
      <c r="K48" s="185"/>
      <c r="L48" s="73"/>
    </row>
    <row r="49" spans="1:12" ht="11.25" customHeight="1">
      <c r="A49" s="74"/>
      <c r="B49" s="74"/>
      <c r="C49" s="74"/>
      <c r="D49" s="74"/>
      <c r="E49" s="74"/>
      <c r="F49" s="74"/>
      <c r="G49" s="74"/>
      <c r="H49" s="74"/>
      <c r="I49" s="74"/>
      <c r="J49" s="74"/>
      <c r="K49" s="185"/>
      <c r="L49" s="73"/>
    </row>
    <row r="50" spans="1:12" ht="12.75">
      <c r="A50" s="74"/>
      <c r="B50" s="74"/>
      <c r="C50" s="74"/>
      <c r="D50" s="74"/>
      <c r="E50" s="74"/>
      <c r="F50" s="74"/>
      <c r="G50" s="74"/>
      <c r="H50" s="74"/>
      <c r="I50" s="74"/>
      <c r="J50" s="74"/>
      <c r="K50" s="185"/>
      <c r="L50" s="73"/>
    </row>
    <row r="51" spans="1:12" ht="12.75">
      <c r="A51" s="74"/>
      <c r="B51" s="74"/>
      <c r="C51" s="74"/>
      <c r="D51" s="74"/>
      <c r="E51" s="74"/>
      <c r="F51" s="74"/>
      <c r="G51" s="74"/>
      <c r="H51" s="74"/>
      <c r="I51" s="74"/>
      <c r="J51" s="74"/>
      <c r="K51" s="185"/>
      <c r="L51" s="73"/>
    </row>
    <row r="52" spans="1:12" ht="12.75">
      <c r="A52" s="74"/>
      <c r="B52" s="74"/>
      <c r="C52" s="74"/>
      <c r="D52" s="74"/>
      <c r="E52" s="74"/>
      <c r="F52" s="74"/>
      <c r="G52" s="74"/>
      <c r="H52" s="74"/>
      <c r="I52" s="74"/>
      <c r="J52" s="74"/>
      <c r="K52" s="185"/>
      <c r="L52" s="73"/>
    </row>
    <row r="53" spans="1:12" ht="12.75">
      <c r="A53" s="74"/>
      <c r="B53" s="74"/>
      <c r="C53" s="74"/>
      <c r="D53" s="74"/>
      <c r="E53" s="74"/>
      <c r="F53" s="74"/>
      <c r="G53" s="74"/>
      <c r="H53" s="74"/>
      <c r="I53" s="74"/>
      <c r="J53" s="74"/>
      <c r="K53" s="185"/>
      <c r="L53" s="73"/>
    </row>
    <row r="54" spans="1:12" ht="12.75">
      <c r="A54" s="74"/>
      <c r="B54" s="74"/>
      <c r="C54" s="74"/>
      <c r="D54" s="74"/>
      <c r="E54" s="74"/>
      <c r="F54" s="74"/>
      <c r="G54" s="74"/>
      <c r="H54" s="74"/>
      <c r="I54" s="74"/>
      <c r="J54" s="74"/>
      <c r="K54" s="185"/>
      <c r="L54" s="73"/>
    </row>
    <row r="55" spans="1:12" ht="12.75">
      <c r="A55" s="74"/>
      <c r="B55" s="74"/>
      <c r="C55" s="74"/>
      <c r="D55" s="74"/>
      <c r="E55" s="74"/>
      <c r="F55" s="74"/>
      <c r="G55" s="74"/>
      <c r="H55" s="74"/>
      <c r="I55" s="74"/>
      <c r="J55" s="74"/>
      <c r="K55" s="185"/>
      <c r="L55" s="73"/>
    </row>
    <row r="56" spans="1:12" ht="12.75">
      <c r="A56" s="74"/>
      <c r="B56" s="74"/>
      <c r="C56" s="74"/>
      <c r="D56" s="74"/>
      <c r="E56" s="74"/>
      <c r="F56" s="74"/>
      <c r="G56" s="74"/>
      <c r="H56" s="74"/>
      <c r="I56" s="74"/>
      <c r="J56" s="74"/>
      <c r="K56" s="185"/>
      <c r="L56" s="73"/>
    </row>
    <row r="57" spans="1:12" ht="12.75">
      <c r="A57" s="74"/>
      <c r="B57" s="74"/>
      <c r="C57" s="74"/>
      <c r="D57" s="74"/>
      <c r="E57" s="74"/>
      <c r="F57" s="74"/>
      <c r="G57" s="74"/>
      <c r="H57" s="74"/>
      <c r="I57" s="74"/>
      <c r="J57" s="74"/>
      <c r="K57" s="185"/>
      <c r="L57" s="73"/>
    </row>
    <row r="58" spans="1:12" ht="12.75">
      <c r="A58" s="74"/>
      <c r="B58" s="74"/>
      <c r="C58" s="74"/>
      <c r="D58" s="74"/>
      <c r="E58" s="74"/>
      <c r="F58" s="74"/>
      <c r="G58" s="74"/>
      <c r="H58" s="74"/>
      <c r="I58" s="74"/>
      <c r="J58" s="74"/>
      <c r="K58" s="185"/>
      <c r="L58" s="73"/>
    </row>
    <row r="59" spans="1:12" ht="12.75">
      <c r="A59" s="74"/>
      <c r="B59" s="74"/>
      <c r="C59" s="74"/>
      <c r="D59" s="74"/>
      <c r="E59" s="74"/>
      <c r="F59" s="74"/>
      <c r="G59" s="74"/>
      <c r="H59" s="74"/>
      <c r="I59" s="74"/>
      <c r="J59" s="74"/>
      <c r="K59" s="185"/>
      <c r="L59" s="73"/>
    </row>
    <row r="60" spans="1:12" ht="12.75">
      <c r="A60" s="74"/>
      <c r="B60" s="74"/>
      <c r="C60" s="74"/>
      <c r="D60" s="74"/>
      <c r="E60" s="74"/>
      <c r="F60" s="74"/>
      <c r="G60" s="74"/>
      <c r="H60" s="74"/>
      <c r="I60" s="74"/>
      <c r="J60" s="74"/>
      <c r="K60" s="185"/>
      <c r="L60" s="73"/>
    </row>
    <row r="61" spans="1:12" ht="12.75">
      <c r="A61" s="74"/>
      <c r="B61" s="74"/>
      <c r="C61" s="74"/>
      <c r="D61" s="74"/>
      <c r="E61" s="74"/>
      <c r="F61" s="74"/>
      <c r="G61" s="74"/>
      <c r="H61" s="74"/>
      <c r="I61" s="74"/>
      <c r="J61" s="74"/>
      <c r="K61" s="185"/>
      <c r="L61" s="73"/>
    </row>
    <row r="62" spans="1:12" ht="12.75">
      <c r="A62" s="74"/>
      <c r="B62" s="74"/>
      <c r="C62" s="74"/>
      <c r="D62" s="74"/>
      <c r="E62" s="74"/>
      <c r="F62" s="74"/>
      <c r="G62" s="74"/>
      <c r="H62" s="74"/>
      <c r="I62" s="74"/>
      <c r="J62" s="74"/>
      <c r="K62" s="185"/>
      <c r="L62" s="73"/>
    </row>
    <row r="63" spans="1:12" ht="12.75">
      <c r="A63" s="74"/>
      <c r="B63" s="74"/>
      <c r="C63" s="74"/>
      <c r="D63" s="74"/>
      <c r="E63" s="74"/>
      <c r="F63" s="74"/>
      <c r="G63" s="74"/>
      <c r="H63" s="74"/>
      <c r="I63" s="74"/>
      <c r="J63" s="74"/>
      <c r="K63" s="185"/>
      <c r="L63" s="73"/>
    </row>
    <row r="64" spans="1:12" ht="12.75">
      <c r="A64" s="74"/>
      <c r="B64" s="74"/>
      <c r="C64" s="74"/>
      <c r="D64" s="74"/>
      <c r="E64" s="74"/>
      <c r="F64" s="74"/>
      <c r="G64" s="74"/>
      <c r="H64" s="74"/>
      <c r="I64" s="74"/>
      <c r="J64" s="74"/>
      <c r="K64" s="185"/>
      <c r="L64" s="73"/>
    </row>
    <row r="65" spans="1:12" ht="12.75">
      <c r="A65" s="74"/>
      <c r="B65" s="74"/>
      <c r="C65" s="74"/>
      <c r="D65" s="74"/>
      <c r="E65" s="74"/>
      <c r="F65" s="74"/>
      <c r="G65" s="74"/>
      <c r="H65" s="74"/>
      <c r="I65" s="74"/>
      <c r="J65" s="74"/>
      <c r="K65" s="185"/>
      <c r="L65" s="73"/>
    </row>
    <row r="66" spans="1:12" ht="12.75">
      <c r="A66" s="74"/>
      <c r="B66" s="74"/>
      <c r="C66" s="74"/>
      <c r="D66" s="74"/>
      <c r="E66" s="74"/>
      <c r="F66" s="74"/>
      <c r="G66" s="74"/>
      <c r="H66" s="74"/>
      <c r="I66" s="74"/>
      <c r="J66" s="74"/>
      <c r="K66" s="185"/>
      <c r="L66" s="73"/>
    </row>
    <row r="67" spans="1:12" ht="12.75">
      <c r="A67" s="74"/>
      <c r="B67" s="74"/>
      <c r="C67" s="74"/>
      <c r="D67" s="74"/>
      <c r="E67" s="74"/>
      <c r="F67" s="74"/>
      <c r="G67" s="74"/>
      <c r="H67" s="74"/>
      <c r="I67" s="74"/>
      <c r="J67" s="74"/>
      <c r="K67" s="185"/>
      <c r="L67" s="73"/>
    </row>
    <row r="68" spans="1:12" ht="12.75">
      <c r="A68" s="74"/>
      <c r="B68" s="74"/>
      <c r="C68" s="74"/>
      <c r="D68" s="74"/>
      <c r="E68" s="74"/>
      <c r="F68" s="74"/>
      <c r="G68" s="74"/>
      <c r="H68" s="74"/>
      <c r="I68" s="74"/>
      <c r="J68" s="74"/>
      <c r="K68" s="185"/>
      <c r="L68" s="73"/>
    </row>
    <row r="69" spans="1:12" ht="12.75">
      <c r="A69" s="74"/>
      <c r="B69" s="74"/>
      <c r="C69" s="74"/>
      <c r="D69" s="74"/>
      <c r="E69" s="74"/>
      <c r="F69" s="74"/>
      <c r="G69" s="74"/>
      <c r="H69" s="74"/>
      <c r="I69" s="74"/>
      <c r="J69" s="74"/>
      <c r="K69" s="185"/>
      <c r="L69" s="73"/>
    </row>
    <row r="70" spans="1:12" ht="12.75">
      <c r="A70" s="194"/>
      <c r="B70" s="194"/>
      <c r="C70" s="194"/>
      <c r="D70" s="194"/>
      <c r="E70" s="194"/>
      <c r="F70" s="194"/>
      <c r="G70" s="194"/>
      <c r="H70" s="194"/>
      <c r="I70" s="194"/>
      <c r="J70" s="194"/>
      <c r="K70" s="185"/>
      <c r="L70" s="73"/>
    </row>
    <row r="71" spans="1:12" ht="12.75">
      <c r="A71" s="74"/>
      <c r="B71" s="73"/>
      <c r="C71" s="73"/>
      <c r="D71" s="73"/>
      <c r="E71" s="73"/>
      <c r="F71" s="73"/>
      <c r="G71" s="73"/>
      <c r="H71" s="73"/>
      <c r="I71" s="73"/>
      <c r="J71" s="73"/>
      <c r="K71" s="185"/>
      <c r="L71" s="73"/>
    </row>
  </sheetData>
  <mergeCells count="1">
    <mergeCell ref="A2:L2"/>
  </mergeCells>
  <pageMargins left="0.70866141732283472" right="0.5118110236220472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77A5"/>
  </sheetPr>
  <dimension ref="A1:L59"/>
  <sheetViews>
    <sheetView showGridLines="0" view="pageBreakPreview" zoomScale="130" zoomScaleNormal="100" zoomScaleSheetLayoutView="130" zoomScalePageLayoutView="115" workbookViewId="0">
      <selection activeCell="C12" sqref="C12"/>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59" t="s">
        <v>457</v>
      </c>
      <c r="B2" s="959"/>
      <c r="C2" s="959"/>
      <c r="D2" s="959"/>
      <c r="E2" s="959"/>
      <c r="F2" s="959"/>
      <c r="G2" s="959"/>
      <c r="H2" s="959"/>
      <c r="I2" s="204"/>
      <c r="J2" s="204"/>
      <c r="K2" s="204"/>
    </row>
    <row r="3" spans="1:12" ht="3" customHeight="1">
      <c r="A3" s="77"/>
      <c r="B3" s="77"/>
      <c r="C3" s="77"/>
      <c r="D3" s="77"/>
      <c r="E3" s="77"/>
      <c r="F3" s="77"/>
      <c r="G3" s="77"/>
      <c r="H3" s="77"/>
      <c r="I3" s="205"/>
      <c r="J3" s="205"/>
      <c r="K3" s="205"/>
      <c r="L3" s="36"/>
    </row>
    <row r="4" spans="1:12" ht="15" customHeight="1">
      <c r="A4" s="950" t="s">
        <v>574</v>
      </c>
      <c r="B4" s="950"/>
      <c r="C4" s="950"/>
      <c r="D4" s="950"/>
      <c r="E4" s="950"/>
      <c r="F4" s="950"/>
      <c r="G4" s="950"/>
      <c r="H4" s="950"/>
      <c r="I4" s="196"/>
      <c r="J4" s="196"/>
      <c r="K4" s="196"/>
      <c r="L4" s="36"/>
    </row>
    <row r="5" spans="1:12" ht="11.25" customHeight="1">
      <c r="A5" s="77"/>
      <c r="B5" s="165"/>
      <c r="C5" s="78"/>
      <c r="D5" s="79"/>
      <c r="E5" s="79"/>
      <c r="F5" s="80"/>
      <c r="G5" s="76"/>
      <c r="H5" s="76"/>
      <c r="I5" s="197"/>
      <c r="J5" s="197"/>
      <c r="K5" s="197"/>
      <c r="L5" s="206"/>
    </row>
    <row r="6" spans="1:12" ht="30.75" customHeight="1">
      <c r="A6" s="580" t="s">
        <v>188</v>
      </c>
      <c r="B6" s="578" t="s">
        <v>189</v>
      </c>
      <c r="C6" s="578" t="s">
        <v>190</v>
      </c>
      <c r="D6" s="577" t="str">
        <f>UPPER('1. Resumen'!Q4)&amp;"
 "&amp;'1. Resumen'!Q5</f>
        <v>JUNIO
 2019</v>
      </c>
      <c r="E6" s="577" t="str">
        <f>UPPER('1. Resumen'!Q4)&amp;"
 "&amp;'1. Resumen'!Q5-1</f>
        <v>JUNIO
 2018</v>
      </c>
      <c r="F6" s="577" t="str">
        <f>UPPER('1. Resumen'!Q4)&amp;"
 "&amp;'1. Resumen'!Q5-2</f>
        <v>JUNIO
 2017</v>
      </c>
      <c r="G6" s="578" t="s">
        <v>545</v>
      </c>
      <c r="H6" s="579" t="s">
        <v>469</v>
      </c>
      <c r="I6" s="197"/>
      <c r="J6" s="197"/>
      <c r="K6" s="197"/>
      <c r="L6" s="167"/>
    </row>
    <row r="7" spans="1:12" ht="14.25" customHeight="1">
      <c r="A7" s="962" t="s">
        <v>192</v>
      </c>
      <c r="B7" s="809" t="s">
        <v>517</v>
      </c>
      <c r="C7" s="810" t="s">
        <v>518</v>
      </c>
      <c r="D7" s="811"/>
      <c r="E7" s="811"/>
      <c r="F7" s="811">
        <v>27.316666666666663</v>
      </c>
      <c r="G7" s="812"/>
      <c r="H7" s="817">
        <f t="shared" ref="H7:H14" si="0">+E7/F7-1</f>
        <v>-1</v>
      </c>
      <c r="I7" s="197"/>
      <c r="J7" s="197"/>
      <c r="K7" s="197"/>
      <c r="L7" s="58"/>
    </row>
    <row r="8" spans="1:12" ht="14.25" customHeight="1">
      <c r="A8" s="963"/>
      <c r="B8" s="813" t="s">
        <v>598</v>
      </c>
      <c r="C8" s="814" t="s">
        <v>599</v>
      </c>
      <c r="D8" s="815"/>
      <c r="E8" s="815">
        <v>4.7833333333333323</v>
      </c>
      <c r="F8" s="815"/>
      <c r="G8" s="816">
        <f>+D8/E8-1</f>
        <v>-1</v>
      </c>
      <c r="H8" s="817"/>
      <c r="I8" s="197"/>
      <c r="J8" s="197"/>
      <c r="K8" s="197"/>
      <c r="L8" s="58"/>
    </row>
    <row r="9" spans="1:12" ht="12.75">
      <c r="A9" s="963"/>
      <c r="B9" s="813" t="s">
        <v>691</v>
      </c>
      <c r="C9" s="814" t="s">
        <v>695</v>
      </c>
      <c r="D9" s="815"/>
      <c r="E9" s="815">
        <v>3.5333333333333341</v>
      </c>
      <c r="F9" s="815"/>
      <c r="G9" s="816">
        <f t="shared" ref="G9:G11" si="1">+D9/E9-1</f>
        <v>-1</v>
      </c>
      <c r="H9" s="817"/>
      <c r="I9" s="197"/>
      <c r="J9" s="197"/>
      <c r="K9" s="197"/>
      <c r="L9" s="58"/>
    </row>
    <row r="10" spans="1:12" ht="12.75">
      <c r="A10" s="963"/>
      <c r="B10" s="813" t="s">
        <v>505</v>
      </c>
      <c r="C10" s="814" t="s">
        <v>499</v>
      </c>
      <c r="D10" s="815"/>
      <c r="E10" s="815"/>
      <c r="F10" s="815">
        <v>13.733333333333333</v>
      </c>
      <c r="G10" s="816"/>
      <c r="H10" s="817">
        <f t="shared" si="0"/>
        <v>-1</v>
      </c>
      <c r="I10" s="197"/>
      <c r="J10" s="197"/>
      <c r="K10" s="197"/>
      <c r="L10" s="58"/>
    </row>
    <row r="11" spans="1:12" ht="12.75">
      <c r="A11" s="963"/>
      <c r="B11" s="813" t="s">
        <v>692</v>
      </c>
      <c r="C11" s="814" t="s">
        <v>696</v>
      </c>
      <c r="D11" s="815"/>
      <c r="E11" s="815">
        <v>4.033333333333335</v>
      </c>
      <c r="F11" s="815"/>
      <c r="G11" s="816">
        <f t="shared" si="1"/>
        <v>-1</v>
      </c>
      <c r="H11" s="817"/>
      <c r="I11" s="197"/>
      <c r="J11" s="197"/>
      <c r="K11" s="197"/>
      <c r="L11" s="58"/>
    </row>
    <row r="12" spans="1:12" ht="12.75">
      <c r="A12" s="964"/>
      <c r="B12" s="813" t="s">
        <v>537</v>
      </c>
      <c r="C12" s="814" t="s">
        <v>538</v>
      </c>
      <c r="D12" s="815">
        <v>3.5833333333333326</v>
      </c>
      <c r="E12" s="815"/>
      <c r="F12" s="815"/>
      <c r="G12" s="816"/>
      <c r="H12" s="817"/>
      <c r="I12" s="197"/>
      <c r="J12" s="197"/>
      <c r="K12" s="197"/>
      <c r="L12" s="58"/>
    </row>
    <row r="13" spans="1:12" ht="16.5">
      <c r="A13" s="960" t="s">
        <v>191</v>
      </c>
      <c r="B13" s="769" t="s">
        <v>539</v>
      </c>
      <c r="C13" s="770" t="s">
        <v>483</v>
      </c>
      <c r="D13" s="842"/>
      <c r="E13" s="842"/>
      <c r="F13" s="842">
        <v>689.33333333333326</v>
      </c>
      <c r="G13" s="816"/>
      <c r="H13" s="843">
        <f t="shared" si="0"/>
        <v>-1</v>
      </c>
      <c r="I13" s="197"/>
      <c r="J13" s="197"/>
      <c r="K13" s="197"/>
      <c r="L13" s="58"/>
    </row>
    <row r="14" spans="1:12" ht="12.75">
      <c r="A14" s="961"/>
      <c r="B14" s="769" t="s">
        <v>693</v>
      </c>
      <c r="C14" s="770" t="s">
        <v>694</v>
      </c>
      <c r="D14" s="771"/>
      <c r="E14" s="771"/>
      <c r="F14" s="771">
        <v>9.6999999999999993</v>
      </c>
      <c r="G14" s="816"/>
      <c r="H14" s="772">
        <f t="shared" si="0"/>
        <v>-1</v>
      </c>
      <c r="I14" s="197"/>
      <c r="J14" s="197"/>
      <c r="K14" s="197"/>
      <c r="L14" s="58"/>
    </row>
    <row r="15" spans="1:12" ht="18.75" customHeight="1">
      <c r="A15" s="569" t="s">
        <v>193</v>
      </c>
      <c r="B15" s="570"/>
      <c r="C15" s="571"/>
      <c r="D15" s="572">
        <f>SUM(D7:D14)</f>
        <v>3.5833333333333326</v>
      </c>
      <c r="E15" s="572">
        <f>SUM(E7:E14)</f>
        <v>12.350000000000001</v>
      </c>
      <c r="F15" s="572">
        <f>SUM(F7:F14)</f>
        <v>740.08333333333326</v>
      </c>
      <c r="G15" s="573">
        <f>+E15/F15-1</f>
        <v>-0.98331269001238597</v>
      </c>
      <c r="H15" s="573">
        <f>+D15/E15-1</f>
        <v>-0.70985155195681515</v>
      </c>
      <c r="I15" s="197"/>
      <c r="J15" s="197"/>
      <c r="K15" s="198"/>
      <c r="L15" s="207"/>
    </row>
    <row r="16" spans="1:12" ht="11.25" customHeight="1">
      <c r="A16" s="275" t="str">
        <f>"Cuadro N° 14: Horas de operación de los principales equipos de congestión en "&amp;'1. Resumen'!Q4</f>
        <v>Cuadro N° 14: Horas de operación de los principales equipos de congestión en junio</v>
      </c>
      <c r="B16" s="210"/>
      <c r="C16" s="211"/>
      <c r="D16" s="212"/>
      <c r="E16" s="212"/>
      <c r="F16" s="213"/>
      <c r="G16" s="76"/>
      <c r="H16" s="82"/>
      <c r="I16" s="197"/>
      <c r="J16" s="197"/>
      <c r="K16" s="198"/>
      <c r="L16" s="207"/>
    </row>
    <row r="17" spans="1:12" ht="11.25" customHeight="1">
      <c r="A17" s="137"/>
      <c r="B17" s="210"/>
      <c r="C17" s="211"/>
      <c r="D17" s="212"/>
      <c r="E17" s="212"/>
      <c r="F17" s="213"/>
      <c r="G17" s="76"/>
      <c r="H17" s="76"/>
      <c r="I17" s="197"/>
      <c r="J17" s="197"/>
      <c r="K17" s="198"/>
      <c r="L17" s="207"/>
    </row>
    <row r="18" spans="1:12" ht="11.25" customHeight="1">
      <c r="A18" s="137"/>
      <c r="B18" s="210"/>
      <c r="C18" s="211"/>
      <c r="D18" s="212"/>
      <c r="E18" s="212"/>
      <c r="F18" s="213"/>
      <c r="G18" s="76"/>
      <c r="H18" s="76"/>
      <c r="I18" s="197"/>
      <c r="J18" s="197"/>
      <c r="K18" s="198"/>
      <c r="L18" s="207"/>
    </row>
    <row r="19" spans="1:12" ht="11.25" customHeight="1">
      <c r="A19" s="77"/>
      <c r="B19" s="165"/>
      <c r="C19" s="78"/>
      <c r="D19" s="79"/>
      <c r="E19" s="79"/>
      <c r="F19" s="80"/>
      <c r="G19" s="76"/>
      <c r="H19" s="76"/>
      <c r="I19" s="197"/>
      <c r="J19" s="197"/>
      <c r="K19" s="198"/>
      <c r="L19" s="207"/>
    </row>
    <row r="20" spans="1:12" ht="11.25" customHeight="1">
      <c r="A20" s="77"/>
      <c r="B20" s="165"/>
      <c r="C20" s="78"/>
      <c r="D20" s="79"/>
      <c r="E20" s="79"/>
      <c r="F20" s="80"/>
      <c r="G20" s="76"/>
      <c r="H20" s="76"/>
      <c r="I20" s="197"/>
      <c r="J20" s="197"/>
      <c r="K20" s="198"/>
      <c r="L20" s="207"/>
    </row>
    <row r="21" spans="1:12" ht="11.25" customHeight="1">
      <c r="A21" s="77"/>
      <c r="B21" s="165"/>
      <c r="C21" s="78"/>
      <c r="D21" s="79"/>
      <c r="E21" s="79"/>
      <c r="F21" s="80"/>
      <c r="G21" s="76"/>
      <c r="H21" s="76"/>
      <c r="I21" s="197"/>
      <c r="J21" s="197"/>
      <c r="K21" s="198"/>
      <c r="L21" s="208"/>
    </row>
    <row r="22" spans="1:12" ht="11.25" customHeight="1">
      <c r="A22" s="77"/>
      <c r="B22" s="165"/>
      <c r="C22" s="78"/>
      <c r="D22" s="79"/>
      <c r="E22" s="79"/>
      <c r="F22" s="80"/>
      <c r="G22" s="76"/>
      <c r="H22" s="76"/>
      <c r="I22" s="197"/>
      <c r="J22" s="197"/>
      <c r="K22" s="198"/>
      <c r="L22" s="207"/>
    </row>
    <row r="23" spans="1:12" ht="11.25" customHeight="1">
      <c r="A23" s="77"/>
      <c r="B23" s="165"/>
      <c r="C23" s="78"/>
      <c r="D23" s="79"/>
      <c r="E23" s="79"/>
      <c r="F23" s="80"/>
      <c r="G23" s="76"/>
      <c r="H23" s="76"/>
      <c r="I23" s="197"/>
      <c r="J23" s="197"/>
      <c r="K23" s="198"/>
      <c r="L23" s="207"/>
    </row>
    <row r="24" spans="1:12" ht="11.25" customHeight="1">
      <c r="A24" s="77"/>
      <c r="B24" s="165"/>
      <c r="C24" s="78"/>
      <c r="D24" s="79"/>
      <c r="E24" s="79"/>
      <c r="F24" s="80"/>
      <c r="G24" s="76"/>
      <c r="H24" s="76"/>
      <c r="I24" s="197"/>
      <c r="J24" s="197"/>
      <c r="K24" s="197"/>
      <c r="L24" s="58"/>
    </row>
    <row r="25" spans="1:12" ht="11.25" customHeight="1">
      <c r="A25" s="77"/>
      <c r="B25" s="165"/>
      <c r="C25" s="78"/>
      <c r="D25" s="79"/>
      <c r="E25" s="79"/>
      <c r="F25" s="80"/>
      <c r="G25" s="76"/>
      <c r="H25" s="76"/>
      <c r="I25" s="197"/>
      <c r="J25" s="197"/>
      <c r="K25" s="198"/>
      <c r="L25" s="207"/>
    </row>
    <row r="26" spans="1:12" ht="11.25" customHeight="1">
      <c r="A26" s="77"/>
      <c r="B26" s="165"/>
      <c r="C26" s="78"/>
      <c r="D26" s="79"/>
      <c r="E26" s="79"/>
      <c r="F26" s="80"/>
      <c r="G26" s="76"/>
      <c r="H26" s="76"/>
      <c r="I26" s="197"/>
      <c r="J26" s="197"/>
      <c r="K26" s="199"/>
      <c r="L26" s="207"/>
    </row>
    <row r="27" spans="1:12" ht="11.25" customHeight="1">
      <c r="A27" s="77"/>
      <c r="B27" s="165"/>
      <c r="C27" s="78"/>
      <c r="D27" s="79"/>
      <c r="E27" s="79"/>
      <c r="F27" s="80"/>
      <c r="G27" s="76"/>
      <c r="H27" s="76"/>
      <c r="I27" s="197"/>
      <c r="J27" s="197"/>
      <c r="K27" s="199"/>
      <c r="L27" s="207"/>
    </row>
    <row r="28" spans="1:12" ht="11.25" customHeight="1">
      <c r="A28" s="77"/>
      <c r="B28" s="165"/>
      <c r="C28" s="78"/>
      <c r="D28" s="79"/>
      <c r="E28" s="79"/>
      <c r="F28" s="80"/>
      <c r="G28" s="76"/>
      <c r="H28" s="76"/>
      <c r="I28" s="197"/>
      <c r="J28" s="197"/>
      <c r="K28" s="199"/>
      <c r="L28" s="207"/>
    </row>
    <row r="29" spans="1:12" ht="11.25" customHeight="1">
      <c r="A29" s="77"/>
      <c r="B29" s="165"/>
      <c r="C29" s="78"/>
      <c r="D29" s="79"/>
      <c r="E29" s="79"/>
      <c r="F29" s="80"/>
      <c r="G29" s="76"/>
      <c r="H29" s="76"/>
      <c r="I29" s="197"/>
      <c r="J29" s="197"/>
      <c r="K29" s="199"/>
      <c r="L29" s="207"/>
    </row>
    <row r="30" spans="1:12" ht="11.25" customHeight="1">
      <c r="A30" s="77"/>
      <c r="B30" s="165"/>
      <c r="C30" s="78"/>
      <c r="D30" s="79"/>
      <c r="E30" s="79"/>
      <c r="F30" s="80"/>
      <c r="G30" s="76"/>
      <c r="H30" s="76"/>
      <c r="I30" s="197"/>
      <c r="J30" s="197"/>
      <c r="K30" s="199"/>
      <c r="L30" s="207"/>
    </row>
    <row r="31" spans="1:12" ht="11.25" customHeight="1">
      <c r="A31" s="77"/>
      <c r="B31" s="165"/>
      <c r="C31" s="78"/>
      <c r="D31" s="79"/>
      <c r="E31" s="79"/>
      <c r="F31" s="80"/>
      <c r="G31" s="76"/>
      <c r="H31" s="76"/>
      <c r="I31" s="197"/>
      <c r="J31" s="197"/>
      <c r="K31" s="199"/>
      <c r="L31" s="207"/>
    </row>
    <row r="32" spans="1:12" ht="11.25" customHeight="1">
      <c r="A32" s="77"/>
      <c r="B32" s="77"/>
      <c r="C32" s="77"/>
      <c r="D32" s="77"/>
      <c r="E32" s="77"/>
      <c r="F32" s="77"/>
      <c r="G32" s="77"/>
      <c r="H32" s="77"/>
      <c r="I32" s="197"/>
      <c r="J32" s="197"/>
      <c r="K32" s="199"/>
      <c r="L32" s="207"/>
    </row>
    <row r="33" spans="1:12" ht="11.25" customHeight="1">
      <c r="A33" s="77"/>
      <c r="B33" s="77"/>
      <c r="C33" s="77"/>
      <c r="D33" s="77"/>
      <c r="E33" s="77"/>
      <c r="F33" s="77"/>
      <c r="G33" s="77"/>
      <c r="H33" s="77"/>
      <c r="I33" s="197"/>
      <c r="J33" s="197"/>
      <c r="K33" s="200"/>
      <c r="L33" s="59"/>
    </row>
    <row r="34" spans="1:12" ht="11.25" customHeight="1">
      <c r="A34" s="77"/>
      <c r="B34" s="77"/>
      <c r="C34" s="77"/>
      <c r="D34" s="77"/>
      <c r="E34" s="77"/>
      <c r="F34" s="77"/>
      <c r="G34" s="77"/>
      <c r="H34" s="77"/>
      <c r="I34" s="197"/>
      <c r="J34" s="197"/>
      <c r="K34" s="200"/>
      <c r="L34" s="59"/>
    </row>
    <row r="35" spans="1:12" ht="11.25" customHeight="1">
      <c r="A35" s="77"/>
      <c r="B35" s="77"/>
      <c r="C35" s="77"/>
      <c r="D35" s="77"/>
      <c r="E35" s="77"/>
      <c r="F35" s="77"/>
      <c r="G35" s="77"/>
      <c r="H35" s="77"/>
      <c r="I35" s="197"/>
      <c r="J35" s="197"/>
      <c r="K35" s="200"/>
      <c r="L35" s="59"/>
    </row>
    <row r="36" spans="1:12" ht="11.25" customHeight="1">
      <c r="A36" s="77"/>
      <c r="B36" s="77"/>
      <c r="C36" s="77"/>
      <c r="D36" s="77"/>
      <c r="E36" s="77"/>
      <c r="F36" s="77"/>
      <c r="G36" s="77"/>
      <c r="H36" s="77"/>
      <c r="I36" s="197"/>
      <c r="J36" s="197"/>
      <c r="K36" s="200"/>
      <c r="L36" s="59"/>
    </row>
    <row r="37" spans="1:12" ht="8.25" customHeight="1">
      <c r="A37" s="77"/>
      <c r="B37" s="77"/>
      <c r="C37" s="77"/>
      <c r="D37" s="77"/>
      <c r="E37" s="77"/>
      <c r="F37" s="77"/>
      <c r="G37" s="77"/>
      <c r="H37" s="77"/>
      <c r="I37" s="197"/>
      <c r="J37" s="197"/>
      <c r="K37" s="200"/>
      <c r="L37" s="59"/>
    </row>
    <row r="38" spans="1:12" ht="11.25" hidden="1" customHeight="1">
      <c r="A38" s="77"/>
      <c r="B38" s="77"/>
      <c r="C38" s="77"/>
      <c r="D38" s="77"/>
      <c r="E38" s="77"/>
      <c r="F38" s="77"/>
      <c r="G38" s="77"/>
      <c r="H38" s="77"/>
      <c r="I38" s="197"/>
      <c r="J38" s="197"/>
      <c r="K38" s="200"/>
      <c r="L38" s="59"/>
    </row>
    <row r="39" spans="1:12" ht="11.25" customHeight="1">
      <c r="A39" s="77"/>
      <c r="B39" s="77"/>
      <c r="C39" s="77"/>
      <c r="D39" s="77"/>
      <c r="E39" s="77"/>
      <c r="F39" s="77"/>
      <c r="G39" s="77"/>
      <c r="H39" s="77"/>
      <c r="I39" s="197"/>
      <c r="J39" s="197"/>
      <c r="K39" s="200"/>
      <c r="L39" s="59"/>
    </row>
    <row r="40" spans="1:12" ht="11.25" customHeight="1">
      <c r="A40" s="77"/>
      <c r="B40" s="77"/>
      <c r="C40" s="77"/>
      <c r="D40" s="77"/>
      <c r="E40" s="77"/>
      <c r="F40" s="77"/>
      <c r="G40" s="77"/>
      <c r="H40" s="77"/>
      <c r="I40" s="197"/>
      <c r="J40" s="197"/>
      <c r="K40" s="200"/>
      <c r="L40" s="59"/>
    </row>
    <row r="41" spans="1:12" ht="11.25" customHeight="1">
      <c r="A41" s="77"/>
      <c r="B41" s="77"/>
      <c r="C41" s="77"/>
      <c r="D41" s="77"/>
      <c r="E41" s="77"/>
      <c r="F41" s="77"/>
      <c r="G41" s="77"/>
      <c r="H41" s="77"/>
      <c r="I41" s="197"/>
      <c r="J41" s="197"/>
      <c r="K41" s="200"/>
      <c r="L41" s="59"/>
    </row>
    <row r="42" spans="1:12" ht="11.25" customHeight="1">
      <c r="A42" s="77"/>
      <c r="B42" s="77"/>
      <c r="C42" s="77"/>
      <c r="D42" s="77"/>
      <c r="E42" s="77"/>
      <c r="F42" s="77"/>
      <c r="G42" s="77"/>
      <c r="H42" s="77"/>
      <c r="I42" s="197"/>
      <c r="J42" s="197"/>
      <c r="K42" s="199"/>
    </row>
    <row r="43" spans="1:12" ht="11.25" customHeight="1">
      <c r="A43" s="77"/>
      <c r="B43" s="77"/>
      <c r="C43" s="77"/>
      <c r="D43" s="77"/>
      <c r="E43" s="77"/>
      <c r="F43" s="77"/>
      <c r="G43" s="77"/>
      <c r="H43" s="77"/>
      <c r="I43" s="197"/>
      <c r="J43" s="197"/>
      <c r="K43" s="199"/>
    </row>
    <row r="44" spans="1:12" ht="12.75">
      <c r="A44" s="54"/>
      <c r="B44" s="77"/>
      <c r="C44" s="77"/>
      <c r="D44" s="77"/>
      <c r="E44" s="77"/>
      <c r="F44" s="77"/>
      <c r="G44" s="77"/>
      <c r="H44" s="77"/>
      <c r="I44" s="197"/>
      <c r="J44" s="197"/>
      <c r="K44" s="199"/>
    </row>
    <row r="45" spans="1:12" ht="12.75">
      <c r="A45" s="77"/>
      <c r="B45" s="77"/>
      <c r="C45" s="77"/>
      <c r="D45" s="77"/>
      <c r="E45" s="77"/>
      <c r="F45" s="77"/>
      <c r="G45" s="77"/>
      <c r="H45" s="77"/>
      <c r="I45" s="197"/>
      <c r="J45" s="197"/>
      <c r="K45" s="199"/>
    </row>
    <row r="46" spans="1:12" ht="12.75">
      <c r="A46" s="77"/>
      <c r="B46" s="77"/>
      <c r="C46" s="77"/>
      <c r="D46" s="77"/>
      <c r="E46" s="77"/>
      <c r="F46" s="77"/>
      <c r="G46" s="77"/>
      <c r="H46" s="77"/>
      <c r="I46" s="197"/>
      <c r="J46" s="197"/>
      <c r="K46" s="199"/>
    </row>
    <row r="47" spans="1:12" ht="12.75">
      <c r="A47" s="77"/>
      <c r="B47" s="77"/>
      <c r="C47" s="77"/>
      <c r="D47" s="77"/>
      <c r="E47" s="77"/>
      <c r="F47" s="77"/>
      <c r="G47" s="77"/>
      <c r="H47" s="77"/>
      <c r="I47" s="197"/>
      <c r="J47" s="197"/>
      <c r="K47" s="199"/>
    </row>
    <row r="48" spans="1:12" ht="12.75">
      <c r="A48" s="77"/>
      <c r="B48" s="77"/>
      <c r="C48" s="77"/>
      <c r="D48" s="77"/>
      <c r="E48" s="77"/>
      <c r="F48" s="77"/>
      <c r="G48" s="77"/>
      <c r="H48" s="77"/>
      <c r="I48" s="197"/>
      <c r="J48" s="197"/>
      <c r="K48" s="199"/>
    </row>
    <row r="49" spans="1:11" ht="12.75">
      <c r="A49" s="77"/>
      <c r="B49" s="77"/>
      <c r="C49" s="77"/>
      <c r="D49" s="77"/>
      <c r="E49" s="77"/>
      <c r="F49" s="77"/>
      <c r="G49" s="77"/>
      <c r="H49" s="77"/>
      <c r="I49" s="111"/>
      <c r="J49" s="111"/>
      <c r="K49" s="199"/>
    </row>
    <row r="50" spans="1:11" ht="12.75">
      <c r="A50" s="77"/>
      <c r="B50" s="77"/>
      <c r="C50" s="77"/>
      <c r="D50" s="77"/>
      <c r="E50" s="77"/>
      <c r="F50" s="77"/>
      <c r="G50" s="77"/>
      <c r="H50" s="77"/>
      <c r="I50" s="111"/>
      <c r="J50" s="111"/>
      <c r="K50" s="199"/>
    </row>
    <row r="51" spans="1:11" ht="12.75">
      <c r="A51" s="77"/>
      <c r="B51" s="77"/>
      <c r="C51" s="77"/>
      <c r="D51" s="77"/>
      <c r="E51" s="77"/>
      <c r="F51" s="77"/>
      <c r="G51" s="77"/>
      <c r="H51" s="77"/>
      <c r="I51" s="111"/>
      <c r="J51" s="111"/>
      <c r="K51" s="199"/>
    </row>
    <row r="52" spans="1:11" ht="12.75">
      <c r="B52" s="77"/>
      <c r="C52" s="77"/>
      <c r="D52" s="77"/>
      <c r="E52" s="77"/>
      <c r="F52" s="77"/>
      <c r="G52" s="77"/>
      <c r="H52" s="77"/>
      <c r="I52" s="111"/>
      <c r="J52" s="111"/>
      <c r="K52" s="199"/>
    </row>
    <row r="53" spans="1:11" ht="12.75">
      <c r="A53" s="275" t="str">
        <f>"Gráfico N° 23: Comparación de las horas de operación de los principales equipos de congestión en "&amp;'1. Resumen'!Q4&amp;"."</f>
        <v>Gráfico N° 23: Comparación de las horas de operación de los principales equipos de congestión en junio.</v>
      </c>
      <c r="B53" s="77"/>
      <c r="C53" s="77"/>
      <c r="D53" s="77"/>
      <c r="E53" s="77"/>
      <c r="F53" s="77"/>
      <c r="G53" s="77"/>
      <c r="H53" s="77"/>
      <c r="I53" s="111"/>
      <c r="J53" s="111"/>
      <c r="K53" s="199"/>
    </row>
    <row r="54" spans="1:11" ht="12.75">
      <c r="A54" s="77"/>
      <c r="B54" s="77"/>
      <c r="C54" s="77"/>
      <c r="D54" s="77"/>
      <c r="E54" s="77"/>
      <c r="F54" s="77"/>
      <c r="G54" s="77"/>
      <c r="H54" s="77"/>
      <c r="I54" s="198"/>
      <c r="J54" s="198"/>
      <c r="K54" s="199"/>
    </row>
    <row r="55" spans="1:11" ht="12.75">
      <c r="A55" s="197"/>
      <c r="B55" s="198"/>
      <c r="C55" s="198"/>
      <c r="D55" s="198"/>
      <c r="E55" s="198"/>
      <c r="F55" s="198"/>
      <c r="G55" s="198"/>
      <c r="H55" s="198"/>
      <c r="I55" s="198"/>
      <c r="J55" s="198"/>
      <c r="K55" s="199"/>
    </row>
    <row r="56" spans="1:11" ht="12.75">
      <c r="A56" s="197"/>
      <c r="B56" s="209"/>
      <c r="C56" s="199"/>
      <c r="D56" s="199"/>
      <c r="E56" s="199"/>
      <c r="F56" s="199"/>
      <c r="G56" s="198"/>
      <c r="H56" s="198"/>
      <c r="I56" s="198"/>
      <c r="J56" s="198"/>
      <c r="K56" s="199"/>
    </row>
    <row r="57" spans="1:11" ht="12.75">
      <c r="A57" s="1"/>
      <c r="B57" s="31"/>
      <c r="C57" s="31"/>
      <c r="D57" s="31"/>
      <c r="E57" s="31"/>
      <c r="F57" s="31"/>
      <c r="G57" s="31"/>
      <c r="H57" s="198"/>
      <c r="I57" s="198"/>
      <c r="J57" s="198"/>
      <c r="K57" s="199"/>
    </row>
    <row r="58" spans="1:11" ht="12.75">
      <c r="A58" s="1"/>
      <c r="B58" s="31"/>
      <c r="C58" s="31"/>
      <c r="D58" s="31"/>
      <c r="E58" s="31"/>
      <c r="F58" s="31"/>
      <c r="G58" s="31"/>
      <c r="H58" s="198"/>
      <c r="I58" s="198"/>
      <c r="J58" s="198"/>
      <c r="K58" s="198"/>
    </row>
    <row r="59" spans="1:11" ht="12.75">
      <c r="A59" s="1"/>
      <c r="B59" s="31"/>
      <c r="C59" s="31"/>
      <c r="D59" s="31"/>
      <c r="E59" s="31"/>
      <c r="F59" s="31"/>
      <c r="G59" s="31"/>
      <c r="H59" s="198"/>
      <c r="I59" s="198"/>
      <c r="J59" s="198"/>
      <c r="K59" s="198"/>
    </row>
  </sheetData>
  <mergeCells count="4">
    <mergeCell ref="A4:H4"/>
    <mergeCell ref="A2:H2"/>
    <mergeCell ref="A13:A14"/>
    <mergeCell ref="A7:A12"/>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77A5"/>
  </sheetPr>
  <dimension ref="A1:L251"/>
  <sheetViews>
    <sheetView showGridLines="0" view="pageBreakPreview" zoomScale="175" zoomScaleNormal="160" zoomScaleSheetLayoutView="175" zoomScalePageLayoutView="160" workbookViewId="0">
      <selection activeCell="C12" sqref="C12"/>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72" t="s">
        <v>502</v>
      </c>
      <c r="B2" s="972"/>
      <c r="C2" s="972"/>
      <c r="D2" s="972"/>
      <c r="E2" s="972"/>
      <c r="F2" s="972"/>
      <c r="G2" s="972"/>
      <c r="H2" s="972"/>
      <c r="I2" s="972"/>
      <c r="J2" s="972"/>
      <c r="K2" s="164"/>
    </row>
    <row r="3" spans="1:12" ht="6.75" customHeight="1">
      <c r="A3" s="17"/>
      <c r="B3" s="160"/>
      <c r="C3" s="214"/>
      <c r="D3" s="18"/>
      <c r="E3" s="18"/>
      <c r="F3" s="193"/>
      <c r="G3" s="66"/>
      <c r="H3" s="66"/>
      <c r="I3" s="71"/>
      <c r="J3" s="164"/>
      <c r="K3" s="164"/>
      <c r="L3" s="36"/>
    </row>
    <row r="4" spans="1:12" ht="15" customHeight="1">
      <c r="A4" s="973" t="s">
        <v>569</v>
      </c>
      <c r="B4" s="973"/>
      <c r="C4" s="973"/>
      <c r="D4" s="973"/>
      <c r="E4" s="973"/>
      <c r="F4" s="973"/>
      <c r="G4" s="973"/>
      <c r="H4" s="973"/>
      <c r="I4" s="973"/>
      <c r="J4" s="973"/>
      <c r="K4" s="164"/>
      <c r="L4" s="36"/>
    </row>
    <row r="5" spans="1:12" ht="38.25" customHeight="1">
      <c r="A5" s="970" t="s">
        <v>194</v>
      </c>
      <c r="B5" s="592" t="s">
        <v>195</v>
      </c>
      <c r="C5" s="593" t="s">
        <v>196</v>
      </c>
      <c r="D5" s="593" t="s">
        <v>197</v>
      </c>
      <c r="E5" s="593" t="s">
        <v>198</v>
      </c>
      <c r="F5" s="593" t="s">
        <v>199</v>
      </c>
      <c r="G5" s="593" t="s">
        <v>200</v>
      </c>
      <c r="H5" s="593" t="s">
        <v>201</v>
      </c>
      <c r="I5" s="594" t="s">
        <v>202</v>
      </c>
      <c r="J5" s="595" t="s">
        <v>203</v>
      </c>
      <c r="K5" s="131"/>
    </row>
    <row r="6" spans="1:12" ht="11.25" customHeight="1">
      <c r="A6" s="971"/>
      <c r="B6" s="818" t="s">
        <v>204</v>
      </c>
      <c r="C6" s="594" t="s">
        <v>205</v>
      </c>
      <c r="D6" s="594" t="s">
        <v>206</v>
      </c>
      <c r="E6" s="594" t="s">
        <v>207</v>
      </c>
      <c r="F6" s="594" t="s">
        <v>208</v>
      </c>
      <c r="G6" s="594" t="s">
        <v>209</v>
      </c>
      <c r="H6" s="594" t="s">
        <v>210</v>
      </c>
      <c r="I6" s="819"/>
      <c r="J6" s="820" t="s">
        <v>211</v>
      </c>
      <c r="K6" s="19"/>
    </row>
    <row r="7" spans="1:12" ht="12" customHeight="1">
      <c r="A7" s="844" t="s">
        <v>168</v>
      </c>
      <c r="B7" s="845"/>
      <c r="C7" s="845"/>
      <c r="D7" s="845">
        <v>1</v>
      </c>
      <c r="E7" s="846"/>
      <c r="F7" s="845"/>
      <c r="G7" s="845"/>
      <c r="H7" s="845"/>
      <c r="I7" s="847">
        <v>1</v>
      </c>
      <c r="J7" s="848">
        <v>0.28999999999999998</v>
      </c>
      <c r="K7" s="22"/>
    </row>
    <row r="8" spans="1:12" ht="12" customHeight="1">
      <c r="A8" s="844" t="s">
        <v>697</v>
      </c>
      <c r="B8" s="849"/>
      <c r="C8" s="845">
        <v>1</v>
      </c>
      <c r="D8" s="845"/>
      <c r="E8" s="846"/>
      <c r="F8" s="845"/>
      <c r="G8" s="845"/>
      <c r="H8" s="845"/>
      <c r="I8" s="847">
        <v>1</v>
      </c>
      <c r="J8" s="848">
        <v>0.05</v>
      </c>
      <c r="K8" s="22"/>
    </row>
    <row r="9" spans="1:12" ht="12" customHeight="1">
      <c r="A9" s="850" t="s">
        <v>596</v>
      </c>
      <c r="B9" s="845"/>
      <c r="C9" s="845"/>
      <c r="D9" s="845"/>
      <c r="E9" s="846"/>
      <c r="F9" s="845">
        <v>3</v>
      </c>
      <c r="G9" s="845"/>
      <c r="H9" s="845"/>
      <c r="I9" s="847">
        <v>3</v>
      </c>
      <c r="J9" s="848">
        <v>2.29</v>
      </c>
      <c r="K9" s="22"/>
    </row>
    <row r="10" spans="1:12" ht="12" customHeight="1">
      <c r="A10" s="850" t="s">
        <v>467</v>
      </c>
      <c r="B10" s="845">
        <v>3</v>
      </c>
      <c r="C10" s="845">
        <v>2</v>
      </c>
      <c r="D10" s="845"/>
      <c r="E10" s="846"/>
      <c r="F10" s="845">
        <v>9</v>
      </c>
      <c r="G10" s="845">
        <v>1</v>
      </c>
      <c r="H10" s="845"/>
      <c r="I10" s="847">
        <v>15</v>
      </c>
      <c r="J10" s="848">
        <v>118.19000000000001</v>
      </c>
      <c r="K10" s="22"/>
    </row>
    <row r="11" spans="1:12" ht="12" customHeight="1">
      <c r="A11" s="844" t="s">
        <v>698</v>
      </c>
      <c r="B11" s="849"/>
      <c r="C11" s="845"/>
      <c r="D11" s="845"/>
      <c r="E11" s="846"/>
      <c r="F11" s="845">
        <v>2</v>
      </c>
      <c r="G11" s="845"/>
      <c r="H11" s="845"/>
      <c r="I11" s="847">
        <v>2</v>
      </c>
      <c r="J11" s="848">
        <v>12.690000000000001</v>
      </c>
      <c r="K11" s="22"/>
    </row>
    <row r="12" spans="1:12" ht="12" customHeight="1">
      <c r="A12" s="844" t="s">
        <v>530</v>
      </c>
      <c r="B12" s="849"/>
      <c r="C12" s="845"/>
      <c r="D12" s="845"/>
      <c r="E12" s="846"/>
      <c r="F12" s="845">
        <v>2</v>
      </c>
      <c r="G12" s="845"/>
      <c r="H12" s="845"/>
      <c r="I12" s="847">
        <v>2</v>
      </c>
      <c r="J12" s="848">
        <v>7.24</v>
      </c>
      <c r="K12" s="22"/>
    </row>
    <row r="13" spans="1:12" ht="14.25" customHeight="1">
      <c r="A13" s="839" t="s">
        <v>202</v>
      </c>
      <c r="B13" s="821">
        <f>+SUM(B7:B12)</f>
        <v>3</v>
      </c>
      <c r="C13" s="821">
        <f t="shared" ref="C13:H13" si="0">+SUM(C7:C12)</f>
        <v>3</v>
      </c>
      <c r="D13" s="821">
        <f t="shared" si="0"/>
        <v>1</v>
      </c>
      <c r="E13" s="821">
        <f t="shared" si="0"/>
        <v>0</v>
      </c>
      <c r="F13" s="821">
        <f t="shared" si="0"/>
        <v>16</v>
      </c>
      <c r="G13" s="821">
        <f t="shared" si="0"/>
        <v>1</v>
      </c>
      <c r="H13" s="821">
        <f t="shared" si="0"/>
        <v>0</v>
      </c>
      <c r="I13" s="821">
        <v>24</v>
      </c>
      <c r="J13" s="822">
        <v>140.75000000000003</v>
      </c>
      <c r="K13" s="22"/>
    </row>
    <row r="14" spans="1:12" ht="11.25" customHeight="1">
      <c r="A14" s="974"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junio 2019</v>
      </c>
      <c r="B14" s="974"/>
      <c r="C14" s="974"/>
      <c r="D14" s="974"/>
      <c r="E14" s="974"/>
      <c r="F14" s="974"/>
      <c r="G14" s="974"/>
      <c r="H14" s="974"/>
      <c r="I14" s="974"/>
      <c r="J14" s="974"/>
      <c r="K14" s="22"/>
    </row>
    <row r="15" spans="1:12" ht="11.25" customHeight="1">
      <c r="K15" s="22"/>
    </row>
    <row r="16" spans="1:12" ht="11.25" customHeight="1">
      <c r="A16" s="17"/>
      <c r="B16" s="217"/>
      <c r="C16" s="216"/>
      <c r="D16" s="216"/>
      <c r="E16" s="216"/>
      <c r="F16" s="216"/>
      <c r="G16" s="179"/>
      <c r="H16" s="179"/>
      <c r="I16" s="138"/>
      <c r="J16" s="25"/>
      <c r="K16" s="25"/>
      <c r="L16" s="22"/>
    </row>
    <row r="17" spans="1:12" ht="11.25" customHeight="1">
      <c r="A17" s="967" t="str">
        <f>"FALLAS  POR TIPO DE CAUSA  -  "&amp;UPPER('1. Resumen'!Q4)&amp;" "&amp;'1. Resumen'!Q5</f>
        <v>FALLAS  POR TIPO DE CAUSA  -  JUNIO 2019</v>
      </c>
      <c r="B17" s="967"/>
      <c r="C17" s="967"/>
      <c r="D17" s="967"/>
      <c r="E17" s="967" t="str">
        <f>"FALLAS  POR TIPO DE EQUIPO  -  "&amp;UPPER('1. Resumen'!Q4)&amp;" "&amp;'1. Resumen'!Q5</f>
        <v>FALLAS  POR TIPO DE EQUIPO  -  JUNIO 2019</v>
      </c>
      <c r="F17" s="967"/>
      <c r="G17" s="967"/>
      <c r="H17" s="967"/>
      <c r="I17" s="967"/>
      <c r="J17" s="967"/>
      <c r="K17" s="25"/>
      <c r="L17" s="22"/>
    </row>
    <row r="18" spans="1:12" ht="11.25" customHeight="1">
      <c r="A18" s="17"/>
      <c r="E18" s="216"/>
      <c r="F18" s="216"/>
      <c r="G18" s="179"/>
      <c r="H18" s="179"/>
      <c r="I18" s="138"/>
      <c r="J18" s="111"/>
      <c r="K18" s="111"/>
      <c r="L18" s="22"/>
    </row>
    <row r="19" spans="1:12" ht="11.25" customHeight="1">
      <c r="A19" s="17"/>
      <c r="B19" s="217"/>
      <c r="C19" s="216"/>
      <c r="D19" s="216"/>
      <c r="E19" s="216"/>
      <c r="F19" s="216"/>
      <c r="G19" s="179"/>
      <c r="H19" s="179"/>
      <c r="I19" s="138"/>
      <c r="J19" s="111"/>
      <c r="K19" s="111"/>
      <c r="L19" s="30"/>
    </row>
    <row r="20" spans="1:12" ht="11.25" customHeight="1">
      <c r="A20" s="17"/>
      <c r="B20" s="217"/>
      <c r="C20" s="216"/>
      <c r="D20" s="216"/>
      <c r="E20" s="216"/>
      <c r="F20" s="216"/>
      <c r="G20" s="179"/>
      <c r="H20" s="179"/>
      <c r="I20" s="138"/>
      <c r="J20" s="111"/>
      <c r="K20" s="111"/>
      <c r="L20" s="22"/>
    </row>
    <row r="21" spans="1:12" ht="11.25" customHeight="1">
      <c r="A21" s="17"/>
      <c r="B21" s="217"/>
      <c r="C21" s="216"/>
      <c r="D21" s="216"/>
      <c r="E21" s="216"/>
      <c r="F21" s="216"/>
      <c r="G21" s="179"/>
      <c r="H21" s="179"/>
      <c r="I21" s="138"/>
      <c r="J21" s="111"/>
      <c r="K21" s="111"/>
      <c r="L21" s="22"/>
    </row>
    <row r="22" spans="1:12" ht="11.25" customHeight="1">
      <c r="A22" s="17"/>
      <c r="B22" s="217"/>
      <c r="C22" s="216"/>
      <c r="D22" s="216"/>
      <c r="E22" s="216"/>
      <c r="F22" s="216"/>
      <c r="G22" s="179"/>
      <c r="H22" s="179"/>
      <c r="I22" s="138"/>
      <c r="J22" s="111"/>
      <c r="K22" s="111"/>
      <c r="L22" s="22"/>
    </row>
    <row r="23" spans="1:12" ht="11.25" customHeight="1">
      <c r="A23" s="17"/>
      <c r="B23" s="217"/>
      <c r="C23" s="216"/>
      <c r="D23" s="216"/>
      <c r="E23" s="216"/>
      <c r="F23" s="216"/>
      <c r="G23" s="179"/>
      <c r="H23" s="179"/>
      <c r="I23" s="138"/>
      <c r="J23" s="111"/>
      <c r="K23" s="111"/>
      <c r="L23" s="30"/>
    </row>
    <row r="24" spans="1:12" ht="11.25" customHeight="1">
      <c r="A24" s="17"/>
      <c r="B24" s="217"/>
      <c r="C24" s="216"/>
      <c r="D24" s="216"/>
      <c r="E24" s="216"/>
      <c r="F24" s="216"/>
      <c r="G24" s="179"/>
      <c r="H24" s="179"/>
      <c r="I24" s="138"/>
      <c r="J24" s="111"/>
      <c r="K24" s="111"/>
      <c r="L24" s="22"/>
    </row>
    <row r="25" spans="1:12" ht="11.25" customHeight="1">
      <c r="A25" s="17"/>
      <c r="B25" s="217"/>
      <c r="C25" s="216"/>
      <c r="D25" s="216"/>
      <c r="E25" s="216"/>
      <c r="F25" s="216"/>
      <c r="G25" s="179"/>
      <c r="H25" s="179"/>
      <c r="I25" s="138"/>
      <c r="J25" s="111"/>
      <c r="K25" s="111"/>
      <c r="L25" s="22"/>
    </row>
    <row r="26" spans="1:12" ht="11.25" customHeight="1">
      <c r="A26" s="17"/>
      <c r="B26" s="217"/>
      <c r="C26" s="216"/>
      <c r="D26" s="216"/>
      <c r="E26" s="216"/>
      <c r="F26" s="216"/>
      <c r="G26" s="179"/>
      <c r="H26" s="179"/>
      <c r="I26" s="138"/>
      <c r="J26" s="111"/>
      <c r="K26" s="111"/>
      <c r="L26" s="22"/>
    </row>
    <row r="27" spans="1:12" ht="11.25" customHeight="1">
      <c r="A27" s="17"/>
      <c r="B27" s="217"/>
      <c r="C27" s="216"/>
      <c r="D27" s="216"/>
      <c r="E27" s="216"/>
      <c r="F27" s="216"/>
      <c r="G27" s="179"/>
      <c r="H27" s="179"/>
      <c r="I27" s="138"/>
      <c r="J27" s="111"/>
      <c r="K27" s="111"/>
      <c r="L27" s="22"/>
    </row>
    <row r="28" spans="1:12" ht="11.25" customHeight="1">
      <c r="A28" s="17"/>
      <c r="B28" s="217"/>
      <c r="C28" s="216"/>
      <c r="D28" s="216"/>
      <c r="E28" s="216"/>
      <c r="F28" s="216"/>
      <c r="G28" s="179"/>
      <c r="H28" s="179"/>
      <c r="I28" s="138"/>
      <c r="J28" s="111"/>
      <c r="K28" s="111"/>
      <c r="L28" s="22"/>
    </row>
    <row r="29" spans="1:12" ht="11.25" customHeight="1">
      <c r="A29" s="17"/>
      <c r="B29" s="217"/>
      <c r="C29" s="216"/>
      <c r="D29" s="216"/>
      <c r="E29" s="216"/>
      <c r="F29" s="216"/>
      <c r="G29" s="179"/>
      <c r="H29" s="179"/>
      <c r="I29" s="138"/>
      <c r="J29" s="111"/>
      <c r="K29" s="111"/>
      <c r="L29" s="22"/>
    </row>
    <row r="30" spans="1:12" ht="11.25" customHeight="1">
      <c r="A30" s="17"/>
      <c r="B30" s="217"/>
      <c r="C30" s="216"/>
      <c r="D30" s="216"/>
      <c r="E30" s="216"/>
      <c r="F30" s="216"/>
      <c r="G30" s="179"/>
      <c r="H30" s="179"/>
      <c r="I30" s="138"/>
      <c r="J30" s="111"/>
      <c r="K30" s="111"/>
      <c r="L30" s="22"/>
    </row>
    <row r="31" spans="1:12" ht="11.25" customHeight="1">
      <c r="A31" s="17"/>
      <c r="B31" s="217"/>
      <c r="C31" s="216"/>
      <c r="D31" s="216"/>
      <c r="E31" s="216"/>
      <c r="F31" s="216"/>
      <c r="G31" s="179"/>
      <c r="H31" s="179"/>
      <c r="I31" s="138"/>
      <c r="J31" s="111"/>
      <c r="K31" s="111"/>
      <c r="L31" s="22"/>
    </row>
    <row r="32" spans="1:12" ht="11.25" customHeight="1">
      <c r="A32" s="17"/>
      <c r="B32" s="217"/>
      <c r="C32" s="216"/>
      <c r="D32" s="216"/>
      <c r="E32" s="216"/>
      <c r="F32" s="216"/>
      <c r="G32" s="179"/>
      <c r="H32" s="179"/>
      <c r="I32" s="138"/>
      <c r="J32" s="111"/>
      <c r="K32" s="111"/>
      <c r="L32" s="22"/>
    </row>
    <row r="33" spans="1:12" ht="11.25" customHeight="1">
      <c r="A33" s="17"/>
      <c r="B33" s="217"/>
      <c r="C33" s="216"/>
      <c r="D33" s="216"/>
      <c r="E33" s="216"/>
      <c r="F33" s="216"/>
      <c r="G33" s="179"/>
      <c r="H33" s="179"/>
      <c r="I33" s="138"/>
      <c r="J33" s="111"/>
      <c r="K33" s="111"/>
      <c r="L33" s="22"/>
    </row>
    <row r="34" spans="1:12" ht="11.25" customHeight="1">
      <c r="A34" s="17"/>
      <c r="B34" s="217"/>
      <c r="C34" s="216"/>
      <c r="D34" s="216"/>
      <c r="E34" s="216"/>
      <c r="F34" s="216"/>
      <c r="G34" s="179"/>
      <c r="H34" s="179"/>
      <c r="I34" s="138"/>
      <c r="J34" s="111"/>
      <c r="K34" s="111"/>
      <c r="L34" s="22"/>
    </row>
    <row r="35" spans="1:12" ht="23.25" customHeight="1">
      <c r="A35" s="966" t="s">
        <v>480</v>
      </c>
      <c r="B35" s="966"/>
      <c r="C35" s="966"/>
      <c r="D35" s="278"/>
      <c r="E35" s="969" t="s">
        <v>481</v>
      </c>
      <c r="F35" s="969"/>
      <c r="G35" s="969"/>
      <c r="H35" s="969"/>
      <c r="I35" s="969"/>
      <c r="J35" s="969"/>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8"/>
    </row>
    <row r="38" spans="1:12" ht="11.25" customHeight="1">
      <c r="A38" s="968" t="str">
        <f>"ENERGÍA INTERRUMPIDA APROXIMADA POR TIPO DE EQUIPO (MWh)  -  "&amp;UPPER('1. Resumen'!Q4)&amp;" "&amp;'1. Resumen'!Q5</f>
        <v>ENERGÍA INTERRUMPIDA APROXIMADA POR TIPO DE EQUIPO (MWh)  -  JUNIO 2019</v>
      </c>
      <c r="B38" s="968"/>
      <c r="C38" s="968"/>
      <c r="D38" s="968"/>
      <c r="E38" s="968"/>
      <c r="F38" s="968"/>
      <c r="G38" s="968"/>
      <c r="H38" s="968"/>
      <c r="I38" s="968"/>
      <c r="J38" s="968"/>
      <c r="K38" s="25"/>
      <c r="L38" s="218"/>
    </row>
    <row r="39" spans="1:12" ht="11.25" customHeight="1">
      <c r="A39" s="17"/>
      <c r="B39" s="132"/>
      <c r="C39" s="132"/>
      <c r="D39" s="132"/>
      <c r="E39" s="132"/>
      <c r="F39" s="132"/>
      <c r="G39" s="25"/>
      <c r="H39" s="25"/>
      <c r="I39" s="25"/>
      <c r="J39" s="25"/>
      <c r="K39" s="25"/>
      <c r="L39" s="218"/>
    </row>
    <row r="40" spans="1:12" ht="11.25" customHeight="1">
      <c r="A40" s="17"/>
      <c r="B40" s="132"/>
      <c r="C40" s="25"/>
      <c r="D40" s="25"/>
      <c r="E40" s="25"/>
      <c r="F40" s="25"/>
      <c r="G40" s="25"/>
      <c r="H40" s="25"/>
      <c r="I40" s="25"/>
      <c r="J40" s="25"/>
      <c r="K40" s="25"/>
      <c r="L40" s="218"/>
    </row>
    <row r="41" spans="1:12" ht="11.25" customHeight="1">
      <c r="A41" s="17"/>
      <c r="B41" s="132"/>
      <c r="C41" s="25"/>
      <c r="D41" s="25"/>
      <c r="E41" s="25"/>
      <c r="F41" s="25"/>
      <c r="G41" s="25"/>
      <c r="H41" s="25"/>
    </row>
    <row r="42" spans="1:12" ht="12.75">
      <c r="A42" s="17"/>
      <c r="B42" s="132"/>
      <c r="J42" s="25"/>
      <c r="K42" s="25"/>
      <c r="L42" s="218"/>
    </row>
    <row r="43" spans="1:12" ht="12.75">
      <c r="A43" s="17"/>
      <c r="B43" s="132"/>
      <c r="C43" s="132"/>
      <c r="D43" s="132"/>
      <c r="E43" s="132"/>
      <c r="F43" s="132"/>
      <c r="G43" s="25"/>
      <c r="H43" s="25"/>
      <c r="I43" s="25"/>
      <c r="J43" s="25"/>
      <c r="K43" s="25"/>
      <c r="L43" s="218"/>
    </row>
    <row r="44" spans="1:12" ht="3" customHeight="1">
      <c r="A44" s="17"/>
      <c r="B44" s="132"/>
      <c r="C44" s="132"/>
      <c r="D44" s="132"/>
      <c r="E44" s="132"/>
      <c r="F44" s="132"/>
      <c r="G44" s="25"/>
      <c r="H44" s="25"/>
      <c r="I44" s="25"/>
      <c r="J44" s="25"/>
      <c r="K44" s="25"/>
      <c r="L44" s="218"/>
    </row>
    <row r="45" spans="1:12" ht="12.75">
      <c r="A45" s="17"/>
      <c r="B45" s="132"/>
      <c r="C45" s="132"/>
      <c r="D45" s="132"/>
      <c r="E45" s="132"/>
      <c r="F45" s="132"/>
      <c r="G45" s="25"/>
      <c r="H45" s="25"/>
      <c r="I45" s="25"/>
      <c r="J45" s="25"/>
      <c r="K45" s="25"/>
      <c r="L45" s="218"/>
    </row>
    <row r="46" spans="1:12" ht="12.75">
      <c r="A46" s="17"/>
      <c r="B46" s="132"/>
      <c r="C46" s="132"/>
      <c r="D46" s="132"/>
      <c r="E46" s="132"/>
      <c r="F46" s="132"/>
      <c r="G46" s="25"/>
      <c r="H46" s="25"/>
      <c r="I46" s="25"/>
      <c r="J46" s="25"/>
      <c r="K46" s="25"/>
      <c r="L46" s="218"/>
    </row>
    <row r="47" spans="1:12" ht="12.75">
      <c r="A47" s="17"/>
      <c r="B47" s="132"/>
      <c r="C47" s="132"/>
      <c r="D47" s="132"/>
      <c r="E47" s="132"/>
      <c r="F47" s="132"/>
      <c r="G47" s="25"/>
      <c r="H47" s="25"/>
      <c r="I47" s="25"/>
      <c r="J47" s="25"/>
      <c r="K47" s="25"/>
      <c r="L47" s="218"/>
    </row>
    <row r="48" spans="1:12" ht="12.75">
      <c r="A48" s="164"/>
      <c r="B48" s="25"/>
      <c r="C48" s="25"/>
      <c r="D48" s="25"/>
      <c r="E48" s="25"/>
      <c r="F48" s="25"/>
      <c r="G48" s="25"/>
      <c r="H48" s="25"/>
      <c r="I48" s="25"/>
      <c r="J48" s="25"/>
      <c r="K48" s="25"/>
      <c r="L48" s="218"/>
    </row>
    <row r="49" spans="1:12" ht="12.75">
      <c r="A49" s="164"/>
      <c r="B49" s="25"/>
      <c r="C49" s="25"/>
      <c r="D49" s="25"/>
      <c r="E49" s="25"/>
      <c r="F49" s="25"/>
      <c r="G49" s="25"/>
      <c r="H49" s="25"/>
      <c r="I49" s="25"/>
      <c r="J49" s="25"/>
      <c r="K49" s="25"/>
      <c r="L49" s="218"/>
    </row>
    <row r="50" spans="1:12" ht="12.75">
      <c r="A50" s="164"/>
      <c r="B50" s="25"/>
      <c r="C50" s="25"/>
      <c r="D50" s="25"/>
      <c r="E50" s="25"/>
      <c r="F50" s="25"/>
      <c r="G50" s="25"/>
      <c r="H50" s="25"/>
      <c r="I50" s="25"/>
      <c r="J50" s="25"/>
      <c r="K50" s="25"/>
      <c r="L50" s="218"/>
    </row>
    <row r="51" spans="1:12" ht="12.75">
      <c r="A51" s="164"/>
      <c r="B51" s="25"/>
      <c r="C51" s="25"/>
      <c r="D51" s="25"/>
      <c r="E51" s="25"/>
      <c r="F51" s="25"/>
      <c r="G51" s="25"/>
      <c r="H51" s="25"/>
      <c r="I51" s="25"/>
      <c r="J51" s="25"/>
      <c r="K51" s="25"/>
      <c r="L51" s="218"/>
    </row>
    <row r="52" spans="1:12" ht="12.75">
      <c r="A52" s="164"/>
      <c r="B52" s="25"/>
      <c r="C52" s="25"/>
      <c r="D52" s="25"/>
      <c r="E52" s="25"/>
      <c r="F52" s="25"/>
      <c r="G52" s="25"/>
      <c r="H52" s="25"/>
      <c r="I52" s="25"/>
      <c r="J52" s="25"/>
      <c r="K52" s="25"/>
      <c r="L52" s="218"/>
    </row>
    <row r="53" spans="1:12" ht="9" customHeight="1">
      <c r="A53" s="164"/>
      <c r="B53" s="25"/>
      <c r="C53" s="25"/>
      <c r="D53" s="25"/>
      <c r="E53" s="25"/>
      <c r="F53" s="25"/>
      <c r="G53" s="25"/>
      <c r="H53" s="25"/>
      <c r="I53" s="25"/>
      <c r="J53" s="25"/>
      <c r="K53" s="25"/>
      <c r="L53" s="218"/>
    </row>
    <row r="54" spans="1:12">
      <c r="A54" s="278" t="str">
        <f>"Gráfico N°26: Comparación de la energía interrumpida aproximada por tipo de equipo en "&amp;'1. Resumen'!Q4&amp;" "&amp;'1. Resumen'!Q5</f>
        <v>Gráfico N°26: Comparación de la energía interrumpida aproximada por tipo de equipo en junio 2019</v>
      </c>
      <c r="B54" s="25"/>
      <c r="C54" s="25"/>
      <c r="D54" s="25"/>
      <c r="E54" s="25"/>
      <c r="F54" s="25"/>
      <c r="G54" s="25"/>
      <c r="H54" s="25"/>
      <c r="I54" s="25"/>
      <c r="J54" s="25"/>
      <c r="K54" s="25"/>
      <c r="L54" s="218"/>
    </row>
    <row r="55" spans="1:12" ht="5.25" customHeight="1">
      <c r="B55" s="25"/>
      <c r="C55" s="25"/>
      <c r="D55" s="25"/>
      <c r="E55" s="25"/>
      <c r="F55" s="25"/>
      <c r="G55" s="25"/>
      <c r="H55" s="25"/>
      <c r="I55" s="25"/>
      <c r="J55" s="25"/>
      <c r="K55" s="25"/>
      <c r="L55" s="218"/>
    </row>
    <row r="56" spans="1:12" ht="24" customHeight="1">
      <c r="A56" s="975" t="s">
        <v>212</v>
      </c>
      <c r="B56" s="975"/>
      <c r="C56" s="975"/>
      <c r="D56" s="975"/>
      <c r="E56" s="975"/>
      <c r="F56" s="975"/>
      <c r="G56" s="975"/>
      <c r="H56" s="975"/>
      <c r="I56" s="975"/>
      <c r="J56" s="975"/>
      <c r="K56" s="25"/>
      <c r="L56" s="218"/>
    </row>
    <row r="57" spans="1:12" ht="11.25" customHeight="1">
      <c r="A57" s="965" t="s">
        <v>213</v>
      </c>
      <c r="B57" s="965"/>
      <c r="C57" s="965"/>
      <c r="D57" s="965"/>
      <c r="E57" s="965"/>
      <c r="F57" s="965"/>
      <c r="G57" s="965"/>
      <c r="H57" s="965"/>
      <c r="I57" s="965"/>
      <c r="J57" s="965"/>
      <c r="K57" s="25"/>
      <c r="L57" s="218"/>
    </row>
    <row r="58" spans="1:12" ht="12.75">
      <c r="A58" s="164"/>
      <c r="B58" s="25"/>
      <c r="C58" s="25"/>
      <c r="D58" s="25"/>
      <c r="E58" s="25"/>
      <c r="F58" s="25"/>
      <c r="G58" s="25"/>
      <c r="H58" s="25"/>
      <c r="I58" s="25"/>
      <c r="J58" s="25"/>
      <c r="K58" s="25"/>
      <c r="L58" s="218"/>
    </row>
    <row r="59" spans="1:12" ht="12.75">
      <c r="A59" s="164"/>
      <c r="B59" s="25"/>
      <c r="C59" s="25"/>
      <c r="D59" s="25"/>
      <c r="E59" s="25"/>
      <c r="F59" s="25"/>
      <c r="G59" s="25"/>
      <c r="H59" s="25"/>
      <c r="I59" s="25"/>
      <c r="J59" s="25"/>
      <c r="K59" s="25"/>
      <c r="L59" s="218"/>
    </row>
    <row r="60" spans="1:12" ht="12.75">
      <c r="A60" s="164"/>
      <c r="B60" s="25"/>
      <c r="C60" s="25"/>
      <c r="D60" s="25"/>
      <c r="E60" s="25"/>
      <c r="F60" s="25"/>
      <c r="G60" s="25"/>
      <c r="H60" s="25"/>
      <c r="I60" s="25"/>
      <c r="J60" s="25"/>
      <c r="K60" s="25"/>
      <c r="L60" s="218"/>
    </row>
    <row r="61" spans="1:12" ht="12.75">
      <c r="A61" s="164"/>
      <c r="B61" s="25"/>
      <c r="C61" s="25"/>
      <c r="D61" s="25"/>
      <c r="E61" s="25"/>
      <c r="F61" s="25"/>
      <c r="G61" s="25"/>
      <c r="H61" s="25"/>
      <c r="I61" s="25"/>
      <c r="J61" s="25"/>
      <c r="K61" s="25"/>
      <c r="L61" s="218"/>
    </row>
    <row r="62" spans="1:12" ht="12.75">
      <c r="A62" s="164"/>
      <c r="B62" s="25"/>
      <c r="C62" s="25"/>
      <c r="D62" s="25"/>
      <c r="E62" s="25"/>
      <c r="F62" s="25"/>
      <c r="G62" s="25"/>
      <c r="H62" s="25"/>
      <c r="I62" s="25"/>
      <c r="J62" s="25"/>
      <c r="K62" s="25"/>
      <c r="L62" s="218"/>
    </row>
    <row r="63" spans="1:12" ht="12.75">
      <c r="A63" s="164"/>
      <c r="B63" s="25"/>
      <c r="C63" s="25"/>
      <c r="D63" s="25"/>
      <c r="E63" s="25"/>
      <c r="F63" s="25"/>
      <c r="G63" s="25"/>
      <c r="H63" s="25"/>
      <c r="I63" s="25"/>
      <c r="J63" s="25"/>
      <c r="K63" s="25"/>
      <c r="L63" s="218"/>
    </row>
    <row r="64" spans="1:12" ht="12.75">
      <c r="A64" s="164"/>
      <c r="B64" s="25"/>
      <c r="C64" s="25"/>
      <c r="D64" s="25"/>
      <c r="E64" s="25"/>
      <c r="F64" s="25"/>
      <c r="G64" s="25"/>
      <c r="H64" s="25"/>
      <c r="I64" s="25"/>
      <c r="J64" s="25"/>
      <c r="K64" s="25"/>
      <c r="L64" s="218"/>
    </row>
    <row r="65" spans="1:12" ht="12.75">
      <c r="A65" s="164"/>
      <c r="B65" s="25"/>
      <c r="C65" s="25"/>
      <c r="D65" s="25"/>
      <c r="E65" s="25"/>
      <c r="F65" s="25"/>
      <c r="G65" s="25"/>
      <c r="H65" s="25"/>
      <c r="I65" s="25"/>
      <c r="J65" s="25"/>
      <c r="K65" s="25"/>
      <c r="L65" s="218"/>
    </row>
    <row r="66" spans="1:12" ht="12.75">
      <c r="A66" s="164"/>
      <c r="B66" s="25"/>
      <c r="C66" s="25"/>
      <c r="D66" s="25"/>
      <c r="E66" s="25"/>
      <c r="F66" s="25"/>
      <c r="G66" s="25"/>
      <c r="H66" s="25"/>
      <c r="I66" s="25"/>
      <c r="J66" s="25"/>
      <c r="K66" s="25"/>
      <c r="L66" s="218"/>
    </row>
    <row r="67" spans="1:12" ht="12.75">
      <c r="A67" s="164"/>
      <c r="B67" s="25"/>
      <c r="C67" s="25"/>
      <c r="D67" s="25"/>
      <c r="E67" s="25"/>
      <c r="F67" s="25"/>
      <c r="G67" s="25"/>
      <c r="H67" s="25"/>
      <c r="I67" s="25"/>
      <c r="J67" s="25"/>
      <c r="K67" s="25"/>
      <c r="L67" s="218"/>
    </row>
    <row r="68" spans="1:12" ht="12.75">
      <c r="A68" s="164"/>
      <c r="B68" s="25"/>
      <c r="J68" s="25"/>
      <c r="K68" s="25"/>
      <c r="L68" s="218"/>
    </row>
    <row r="69" spans="1:12" ht="12.75">
      <c r="A69" s="164"/>
      <c r="B69" s="25"/>
      <c r="J69" s="25"/>
      <c r="K69" s="25"/>
      <c r="L69" s="218"/>
    </row>
    <row r="70" spans="1:12" ht="12.75">
      <c r="A70" s="164"/>
      <c r="B70" s="25"/>
      <c r="J70" s="25"/>
      <c r="K70" s="25"/>
      <c r="L70" s="218"/>
    </row>
    <row r="71" spans="1:12" ht="12.75">
      <c r="A71" s="164"/>
      <c r="B71" s="25"/>
      <c r="J71" s="25"/>
      <c r="K71" s="25"/>
      <c r="L71" s="218"/>
    </row>
    <row r="72" spans="1:12">
      <c r="B72" s="218"/>
      <c r="C72" s="218"/>
      <c r="D72" s="218"/>
      <c r="E72" s="218"/>
      <c r="F72" s="218"/>
      <c r="G72" s="218"/>
      <c r="H72" s="218"/>
      <c r="I72" s="218"/>
      <c r="J72" s="218"/>
      <c r="K72" s="218"/>
      <c r="L72" s="218"/>
    </row>
    <row r="73" spans="1:12">
      <c r="B73" s="218"/>
      <c r="C73" s="218"/>
      <c r="D73" s="218"/>
      <c r="E73" s="218"/>
      <c r="F73" s="218"/>
      <c r="G73" s="218"/>
      <c r="H73" s="218"/>
      <c r="I73" s="218"/>
      <c r="J73" s="218"/>
      <c r="K73" s="218"/>
      <c r="L73" s="218"/>
    </row>
    <row r="74" spans="1:12">
      <c r="B74" s="218"/>
      <c r="C74" s="218"/>
      <c r="D74" s="218"/>
      <c r="E74" s="218"/>
      <c r="F74" s="218"/>
      <c r="G74" s="218"/>
      <c r="H74" s="218"/>
      <c r="I74" s="218"/>
      <c r="J74" s="218"/>
      <c r="K74" s="218"/>
      <c r="L74" s="218"/>
    </row>
    <row r="75" spans="1:12">
      <c r="B75" s="218"/>
      <c r="C75" s="218"/>
      <c r="D75" s="218"/>
      <c r="E75" s="218"/>
      <c r="F75" s="218"/>
      <c r="G75" s="218"/>
      <c r="H75" s="218"/>
      <c r="I75" s="218"/>
      <c r="J75" s="218"/>
      <c r="K75" s="218"/>
      <c r="L75" s="218"/>
    </row>
    <row r="76" spans="1:12">
      <c r="B76" s="218"/>
      <c r="C76" s="218"/>
      <c r="D76" s="218"/>
      <c r="E76" s="218"/>
      <c r="F76" s="218"/>
      <c r="G76" s="218"/>
      <c r="H76" s="218"/>
      <c r="I76" s="218"/>
      <c r="J76" s="218"/>
      <c r="K76" s="218"/>
      <c r="L76" s="218"/>
    </row>
    <row r="77" spans="1:12">
      <c r="B77" s="218"/>
      <c r="C77" s="218"/>
      <c r="D77" s="218"/>
      <c r="E77" s="218"/>
      <c r="F77" s="218"/>
      <c r="G77" s="218"/>
      <c r="H77" s="218"/>
      <c r="I77" s="218"/>
      <c r="J77" s="218"/>
      <c r="K77" s="218"/>
      <c r="L77" s="218"/>
    </row>
    <row r="78" spans="1:12">
      <c r="B78" s="218"/>
      <c r="C78" s="218"/>
      <c r="D78" s="218"/>
      <c r="E78" s="218"/>
      <c r="F78" s="218"/>
      <c r="G78" s="218"/>
      <c r="H78" s="218"/>
      <c r="I78" s="218"/>
      <c r="J78" s="218"/>
      <c r="K78" s="218"/>
      <c r="L78" s="218"/>
    </row>
    <row r="79" spans="1:12">
      <c r="B79" s="218"/>
      <c r="C79" s="218"/>
      <c r="D79" s="218"/>
      <c r="E79" s="218"/>
      <c r="F79" s="218"/>
      <c r="G79" s="218"/>
      <c r="H79" s="218"/>
      <c r="I79" s="218"/>
      <c r="J79" s="218"/>
      <c r="K79" s="218"/>
      <c r="L79" s="218"/>
    </row>
    <row r="80" spans="1:12">
      <c r="B80" s="218"/>
      <c r="C80" s="218"/>
      <c r="D80" s="218"/>
      <c r="E80" s="218"/>
      <c r="F80" s="218"/>
      <c r="G80" s="218"/>
      <c r="H80" s="218"/>
      <c r="I80" s="218"/>
      <c r="J80" s="218"/>
      <c r="K80" s="218"/>
      <c r="L80" s="218"/>
    </row>
    <row r="81" spans="2:12">
      <c r="B81" s="218"/>
      <c r="C81" s="218"/>
      <c r="D81" s="218"/>
      <c r="E81" s="218"/>
      <c r="F81" s="218"/>
      <c r="G81" s="218"/>
      <c r="H81" s="218"/>
      <c r="I81" s="218"/>
      <c r="J81" s="218"/>
      <c r="K81" s="218"/>
      <c r="L81" s="218"/>
    </row>
    <row r="82" spans="2:12">
      <c r="B82" s="218"/>
      <c r="C82" s="218"/>
      <c r="D82" s="218"/>
      <c r="E82" s="218"/>
      <c r="F82" s="218"/>
      <c r="G82" s="218"/>
      <c r="H82" s="218"/>
      <c r="I82" s="218"/>
      <c r="J82" s="218"/>
      <c r="K82" s="218"/>
      <c r="L82" s="218"/>
    </row>
    <row r="83" spans="2:12">
      <c r="B83" s="218"/>
      <c r="C83" s="218"/>
      <c r="D83" s="218"/>
      <c r="E83" s="218"/>
      <c r="F83" s="218"/>
      <c r="G83" s="218"/>
      <c r="H83" s="218"/>
      <c r="I83" s="218"/>
      <c r="J83" s="218"/>
      <c r="K83" s="218"/>
      <c r="L83" s="218"/>
    </row>
    <row r="84" spans="2:12">
      <c r="B84" s="218"/>
      <c r="C84" s="218"/>
      <c r="D84" s="218"/>
      <c r="E84" s="218"/>
      <c r="F84" s="218"/>
      <c r="G84" s="218"/>
      <c r="H84" s="218"/>
      <c r="I84" s="218"/>
      <c r="J84" s="218"/>
      <c r="K84" s="218"/>
      <c r="L84" s="218"/>
    </row>
    <row r="85" spans="2:12">
      <c r="B85" s="218"/>
      <c r="C85" s="218"/>
      <c r="D85" s="218"/>
      <c r="E85" s="218"/>
      <c r="F85" s="218"/>
      <c r="G85" s="218"/>
      <c r="H85" s="218"/>
      <c r="I85" s="218"/>
      <c r="J85" s="218"/>
      <c r="K85" s="218"/>
      <c r="L85" s="218"/>
    </row>
    <row r="86" spans="2:12">
      <c r="B86" s="218"/>
      <c r="C86" s="218"/>
      <c r="D86" s="218"/>
      <c r="E86" s="218"/>
      <c r="F86" s="218"/>
      <c r="G86" s="218"/>
      <c r="H86" s="218"/>
      <c r="I86" s="218"/>
      <c r="J86" s="218"/>
      <c r="K86" s="218"/>
      <c r="L86" s="218"/>
    </row>
    <row r="87" spans="2:12">
      <c r="B87" s="218"/>
      <c r="C87" s="218"/>
      <c r="D87" s="218"/>
      <c r="E87" s="218"/>
      <c r="F87" s="218"/>
      <c r="G87" s="218"/>
      <c r="H87" s="218"/>
      <c r="I87" s="218"/>
      <c r="J87" s="218"/>
      <c r="K87" s="218"/>
      <c r="L87" s="218"/>
    </row>
    <row r="88" spans="2:12">
      <c r="B88" s="218"/>
      <c r="C88" s="218"/>
      <c r="D88" s="218"/>
      <c r="E88" s="218"/>
      <c r="F88" s="218"/>
      <c r="G88" s="218"/>
      <c r="H88" s="218"/>
      <c r="I88" s="218"/>
      <c r="J88" s="218"/>
      <c r="K88" s="218"/>
      <c r="L88" s="218"/>
    </row>
    <row r="89" spans="2:12">
      <c r="B89" s="218"/>
      <c r="C89" s="218"/>
      <c r="D89" s="218"/>
      <c r="E89" s="218"/>
      <c r="F89" s="218"/>
      <c r="G89" s="218"/>
      <c r="H89" s="218"/>
      <c r="I89" s="218"/>
      <c r="J89" s="218"/>
      <c r="K89" s="218"/>
      <c r="L89" s="218"/>
    </row>
    <row r="90" spans="2:12">
      <c r="B90" s="218"/>
      <c r="C90" s="218"/>
      <c r="D90" s="218"/>
      <c r="E90" s="218"/>
      <c r="F90" s="218"/>
      <c r="G90" s="218"/>
      <c r="H90" s="218"/>
      <c r="I90" s="218"/>
      <c r="J90" s="218"/>
      <c r="K90" s="218"/>
      <c r="L90" s="218"/>
    </row>
    <row r="91" spans="2:12">
      <c r="B91" s="218"/>
      <c r="C91" s="218"/>
      <c r="D91" s="218"/>
      <c r="E91" s="218"/>
      <c r="F91" s="218"/>
      <c r="G91" s="218"/>
      <c r="H91" s="218"/>
      <c r="I91" s="218"/>
      <c r="J91" s="218"/>
      <c r="K91" s="218"/>
      <c r="L91" s="218"/>
    </row>
    <row r="92" spans="2:12">
      <c r="B92" s="218"/>
      <c r="C92" s="218"/>
      <c r="D92" s="218"/>
      <c r="E92" s="218"/>
      <c r="F92" s="218"/>
      <c r="G92" s="218"/>
      <c r="H92" s="218"/>
      <c r="I92" s="218"/>
      <c r="J92" s="218"/>
      <c r="K92" s="218"/>
      <c r="L92" s="218"/>
    </row>
    <row r="93" spans="2:12">
      <c r="B93" s="218"/>
      <c r="C93" s="218"/>
      <c r="D93" s="218"/>
      <c r="E93" s="218"/>
      <c r="F93" s="218"/>
      <c r="G93" s="218"/>
      <c r="H93" s="218"/>
      <c r="I93" s="218"/>
      <c r="J93" s="218"/>
      <c r="K93" s="218"/>
      <c r="L93" s="218"/>
    </row>
    <row r="94" spans="2:12">
      <c r="B94" s="218"/>
      <c r="C94" s="218"/>
      <c r="D94" s="218"/>
      <c r="E94" s="218"/>
      <c r="F94" s="218"/>
      <c r="G94" s="218"/>
      <c r="H94" s="218"/>
      <c r="I94" s="218"/>
      <c r="J94" s="218"/>
      <c r="K94" s="218"/>
      <c r="L94" s="218"/>
    </row>
    <row r="95" spans="2:12">
      <c r="B95" s="218"/>
      <c r="C95" s="218"/>
      <c r="D95" s="218"/>
      <c r="E95" s="218"/>
      <c r="F95" s="218"/>
      <c r="G95" s="218"/>
      <c r="H95" s="218"/>
      <c r="I95" s="218"/>
      <c r="J95" s="218"/>
      <c r="K95" s="218"/>
      <c r="L95" s="218"/>
    </row>
    <row r="96" spans="2:12">
      <c r="B96" s="218"/>
      <c r="C96" s="218"/>
      <c r="D96" s="218"/>
      <c r="E96" s="218"/>
      <c r="F96" s="218"/>
      <c r="G96" s="218"/>
      <c r="H96" s="218"/>
      <c r="I96" s="218"/>
      <c r="J96" s="218"/>
      <c r="K96" s="218"/>
      <c r="L96" s="218"/>
    </row>
    <row r="97" spans="2:12">
      <c r="B97" s="218"/>
      <c r="C97" s="218"/>
      <c r="D97" s="218"/>
      <c r="E97" s="218"/>
      <c r="F97" s="218"/>
      <c r="G97" s="218"/>
      <c r="H97" s="218"/>
      <c r="I97" s="218"/>
      <c r="J97" s="218"/>
      <c r="K97" s="218"/>
      <c r="L97" s="218"/>
    </row>
    <row r="98" spans="2:12">
      <c r="B98" s="218"/>
      <c r="C98" s="218"/>
      <c r="D98" s="218"/>
      <c r="E98" s="218"/>
      <c r="F98" s="218"/>
      <c r="G98" s="218"/>
      <c r="H98" s="218"/>
      <c r="I98" s="218"/>
      <c r="J98" s="218"/>
      <c r="K98" s="218"/>
      <c r="L98" s="218"/>
    </row>
    <row r="99" spans="2:12">
      <c r="B99" s="218"/>
      <c r="C99" s="218"/>
      <c r="D99" s="218"/>
      <c r="E99" s="218"/>
      <c r="F99" s="218"/>
      <c r="G99" s="218"/>
      <c r="H99" s="218"/>
      <c r="I99" s="218"/>
      <c r="J99" s="218"/>
      <c r="K99" s="218"/>
      <c r="L99" s="218"/>
    </row>
    <row r="100" spans="2:12">
      <c r="B100" s="218"/>
      <c r="C100" s="218"/>
      <c r="D100" s="218"/>
      <c r="E100" s="218"/>
      <c r="F100" s="218"/>
      <c r="G100" s="218"/>
      <c r="H100" s="218"/>
      <c r="I100" s="218"/>
      <c r="J100" s="218"/>
      <c r="K100" s="218"/>
      <c r="L100" s="218"/>
    </row>
    <row r="101" spans="2:12">
      <c r="B101" s="218"/>
      <c r="C101" s="218"/>
      <c r="D101" s="218"/>
      <c r="E101" s="218"/>
      <c r="F101" s="218"/>
      <c r="G101" s="218"/>
      <c r="H101" s="218"/>
      <c r="I101" s="218"/>
      <c r="J101" s="218"/>
      <c r="K101" s="218"/>
      <c r="L101" s="218"/>
    </row>
    <row r="102" spans="2:12">
      <c r="B102" s="218"/>
      <c r="C102" s="218"/>
      <c r="D102" s="218"/>
      <c r="E102" s="218"/>
      <c r="F102" s="218"/>
      <c r="G102" s="218"/>
      <c r="H102" s="218"/>
      <c r="I102" s="218"/>
      <c r="J102" s="218"/>
      <c r="K102" s="218"/>
      <c r="L102" s="218"/>
    </row>
    <row r="103" spans="2:12">
      <c r="B103" s="218"/>
      <c r="C103" s="218"/>
      <c r="D103" s="218"/>
      <c r="E103" s="218"/>
      <c r="F103" s="218"/>
      <c r="G103" s="218"/>
      <c r="H103" s="218"/>
      <c r="I103" s="218"/>
      <c r="J103" s="218"/>
      <c r="K103" s="218"/>
      <c r="L103" s="218"/>
    </row>
    <row r="104" spans="2:12">
      <c r="B104" s="218"/>
      <c r="C104" s="218"/>
      <c r="D104" s="218"/>
      <c r="E104" s="218"/>
      <c r="F104" s="218"/>
      <c r="G104" s="218"/>
      <c r="H104" s="218"/>
      <c r="I104" s="218"/>
      <c r="J104" s="218"/>
      <c r="K104" s="218"/>
      <c r="L104" s="218"/>
    </row>
    <row r="105" spans="2:12">
      <c r="B105" s="218"/>
      <c r="C105" s="218"/>
      <c r="D105" s="218"/>
      <c r="E105" s="218"/>
      <c r="F105" s="218"/>
      <c r="G105" s="218"/>
      <c r="H105" s="218"/>
      <c r="I105" s="218"/>
      <c r="J105" s="218"/>
      <c r="K105" s="218"/>
      <c r="L105" s="218"/>
    </row>
    <row r="106" spans="2:12">
      <c r="B106" s="218"/>
      <c r="C106" s="218"/>
      <c r="D106" s="218"/>
      <c r="E106" s="218"/>
      <c r="F106" s="218"/>
      <c r="G106" s="218"/>
      <c r="H106" s="218"/>
      <c r="I106" s="218"/>
      <c r="J106" s="218"/>
      <c r="K106" s="218"/>
      <c r="L106" s="218"/>
    </row>
    <row r="107" spans="2:12">
      <c r="B107" s="218"/>
      <c r="C107" s="218"/>
      <c r="D107" s="218"/>
      <c r="E107" s="218"/>
      <c r="F107" s="218"/>
      <c r="G107" s="218"/>
      <c r="H107" s="218"/>
      <c r="I107" s="218"/>
      <c r="J107" s="218"/>
      <c r="K107" s="218"/>
      <c r="L107" s="218"/>
    </row>
    <row r="108" spans="2:12">
      <c r="B108" s="218"/>
      <c r="C108" s="218"/>
      <c r="D108" s="218"/>
      <c r="E108" s="218"/>
      <c r="F108" s="218"/>
      <c r="G108" s="218"/>
      <c r="H108" s="218"/>
      <c r="I108" s="218"/>
      <c r="J108" s="218"/>
      <c r="K108" s="218"/>
      <c r="L108" s="218"/>
    </row>
    <row r="109" spans="2:12">
      <c r="B109" s="218"/>
      <c r="C109" s="218"/>
      <c r="D109" s="218"/>
      <c r="E109" s="218"/>
      <c r="F109" s="218"/>
      <c r="G109" s="218"/>
      <c r="H109" s="218"/>
      <c r="I109" s="218"/>
      <c r="J109" s="218"/>
      <c r="K109" s="218"/>
      <c r="L109" s="218"/>
    </row>
    <row r="110" spans="2:12">
      <c r="B110" s="218"/>
      <c r="C110" s="218"/>
      <c r="D110" s="218"/>
      <c r="E110" s="218"/>
      <c r="F110" s="218"/>
      <c r="G110" s="218"/>
      <c r="H110" s="218"/>
      <c r="I110" s="218"/>
      <c r="J110" s="218"/>
      <c r="K110" s="218"/>
      <c r="L110" s="218"/>
    </row>
    <row r="111" spans="2:12">
      <c r="B111" s="218"/>
      <c r="C111" s="218"/>
      <c r="D111" s="218"/>
      <c r="E111" s="218"/>
      <c r="F111" s="218"/>
      <c r="G111" s="218"/>
      <c r="H111" s="218"/>
      <c r="I111" s="218"/>
      <c r="J111" s="218"/>
      <c r="K111" s="218"/>
      <c r="L111" s="218"/>
    </row>
    <row r="112" spans="2:12">
      <c r="B112" s="218"/>
      <c r="C112" s="218"/>
      <c r="D112" s="218"/>
      <c r="E112" s="218"/>
      <c r="F112" s="218"/>
      <c r="G112" s="218"/>
      <c r="H112" s="218"/>
      <c r="I112" s="218"/>
      <c r="J112" s="218"/>
      <c r="K112" s="218"/>
      <c r="L112" s="218"/>
    </row>
    <row r="113" spans="2:12">
      <c r="B113" s="218"/>
      <c r="C113" s="218"/>
      <c r="D113" s="218"/>
      <c r="E113" s="218"/>
      <c r="F113" s="218"/>
      <c r="G113" s="218"/>
      <c r="H113" s="218"/>
      <c r="I113" s="218"/>
      <c r="J113" s="218"/>
      <c r="K113" s="218"/>
      <c r="L113" s="218"/>
    </row>
    <row r="114" spans="2:12">
      <c r="B114" s="218"/>
      <c r="C114" s="218"/>
      <c r="D114" s="218"/>
      <c r="E114" s="218"/>
      <c r="F114" s="218"/>
      <c r="G114" s="218"/>
      <c r="H114" s="218"/>
      <c r="I114" s="218"/>
      <c r="J114" s="218"/>
      <c r="K114" s="218"/>
      <c r="L114" s="218"/>
    </row>
    <row r="115" spans="2:12">
      <c r="B115" s="218"/>
      <c r="C115" s="218"/>
      <c r="D115" s="218"/>
      <c r="E115" s="218"/>
      <c r="F115" s="218"/>
      <c r="G115" s="218"/>
      <c r="H115" s="218"/>
      <c r="I115" s="218"/>
      <c r="J115" s="218"/>
      <c r="K115" s="218"/>
      <c r="L115" s="218"/>
    </row>
    <row r="116" spans="2:12">
      <c r="B116" s="218"/>
      <c r="C116" s="218"/>
      <c r="D116" s="218"/>
      <c r="E116" s="218"/>
      <c r="F116" s="218"/>
      <c r="G116" s="218"/>
      <c r="H116" s="218"/>
      <c r="I116" s="218"/>
      <c r="J116" s="218"/>
      <c r="K116" s="218"/>
      <c r="L116" s="218"/>
    </row>
    <row r="117" spans="2:12">
      <c r="B117" s="218"/>
      <c r="C117" s="218"/>
      <c r="D117" s="218"/>
      <c r="E117" s="218"/>
      <c r="F117" s="218"/>
      <c r="G117" s="218"/>
      <c r="H117" s="218"/>
      <c r="I117" s="218"/>
      <c r="J117" s="218"/>
      <c r="K117" s="218"/>
      <c r="L117" s="218"/>
    </row>
    <row r="118" spans="2:12">
      <c r="B118" s="218"/>
      <c r="C118" s="218"/>
      <c r="D118" s="218"/>
      <c r="E118" s="218"/>
      <c r="F118" s="218"/>
      <c r="G118" s="218"/>
      <c r="H118" s="218"/>
      <c r="I118" s="218"/>
      <c r="J118" s="218"/>
      <c r="K118" s="218"/>
      <c r="L118" s="218"/>
    </row>
    <row r="119" spans="2:12">
      <c r="B119" s="218"/>
      <c r="C119" s="218"/>
      <c r="D119" s="218"/>
      <c r="E119" s="218"/>
      <c r="F119" s="218"/>
      <c r="G119" s="218"/>
      <c r="H119" s="218"/>
      <c r="I119" s="218"/>
      <c r="J119" s="218"/>
      <c r="K119" s="218"/>
      <c r="L119" s="218"/>
    </row>
    <row r="120" spans="2:12">
      <c r="B120" s="218"/>
      <c r="C120" s="218"/>
      <c r="D120" s="218"/>
      <c r="E120" s="218"/>
      <c r="F120" s="218"/>
      <c r="G120" s="218"/>
      <c r="H120" s="218"/>
      <c r="I120" s="218"/>
      <c r="J120" s="218"/>
      <c r="K120" s="218"/>
      <c r="L120" s="218"/>
    </row>
    <row r="121" spans="2:12">
      <c r="B121" s="218"/>
      <c r="C121" s="218"/>
      <c r="D121" s="218"/>
      <c r="E121" s="218"/>
      <c r="F121" s="218"/>
      <c r="G121" s="218"/>
      <c r="H121" s="218"/>
      <c r="I121" s="218"/>
      <c r="J121" s="218"/>
      <c r="K121" s="218"/>
      <c r="L121" s="218"/>
    </row>
    <row r="122" spans="2:12">
      <c r="B122" s="218"/>
      <c r="C122" s="218"/>
      <c r="D122" s="218"/>
      <c r="E122" s="218"/>
      <c r="F122" s="218"/>
      <c r="G122" s="218"/>
      <c r="H122" s="218"/>
      <c r="I122" s="218"/>
      <c r="J122" s="218"/>
      <c r="K122" s="218"/>
      <c r="L122" s="218"/>
    </row>
    <row r="123" spans="2:12">
      <c r="B123" s="218"/>
      <c r="C123" s="218"/>
      <c r="D123" s="218"/>
      <c r="E123" s="218"/>
      <c r="F123" s="218"/>
      <c r="G123" s="218"/>
      <c r="H123" s="218"/>
      <c r="I123" s="218"/>
      <c r="J123" s="218"/>
      <c r="K123" s="218"/>
      <c r="L123" s="218"/>
    </row>
    <row r="124" spans="2:12">
      <c r="B124" s="218"/>
      <c r="C124" s="218"/>
      <c r="D124" s="218"/>
      <c r="E124" s="218"/>
      <c r="F124" s="218"/>
      <c r="G124" s="218"/>
      <c r="H124" s="218"/>
      <c r="I124" s="218"/>
      <c r="J124" s="218"/>
      <c r="K124" s="218"/>
      <c r="L124" s="218"/>
    </row>
    <row r="125" spans="2:12">
      <c r="B125" s="218"/>
      <c r="C125" s="218"/>
      <c r="D125" s="218"/>
      <c r="E125" s="218"/>
      <c r="F125" s="218"/>
      <c r="G125" s="218"/>
      <c r="H125" s="218"/>
      <c r="I125" s="218"/>
      <c r="J125" s="218"/>
      <c r="K125" s="218"/>
      <c r="L125" s="218"/>
    </row>
    <row r="126" spans="2:12">
      <c r="B126" s="218"/>
      <c r="C126" s="218"/>
      <c r="D126" s="218"/>
      <c r="E126" s="218"/>
      <c r="F126" s="218"/>
      <c r="G126" s="218"/>
      <c r="H126" s="218"/>
      <c r="I126" s="218"/>
      <c r="J126" s="218"/>
      <c r="K126" s="218"/>
      <c r="L126" s="218"/>
    </row>
    <row r="127" spans="2:12">
      <c r="B127" s="218"/>
      <c r="C127" s="218"/>
      <c r="D127" s="218"/>
      <c r="E127" s="218"/>
      <c r="F127" s="218"/>
      <c r="G127" s="218"/>
      <c r="H127" s="218"/>
      <c r="I127" s="218"/>
      <c r="J127" s="218"/>
      <c r="K127" s="218"/>
      <c r="L127" s="218"/>
    </row>
    <row r="128" spans="2:12">
      <c r="B128" s="218"/>
      <c r="C128" s="218"/>
      <c r="D128" s="218"/>
      <c r="E128" s="218"/>
      <c r="F128" s="218"/>
      <c r="G128" s="218"/>
      <c r="H128" s="218"/>
      <c r="I128" s="218"/>
      <c r="J128" s="218"/>
      <c r="K128" s="218"/>
      <c r="L128" s="218"/>
    </row>
    <row r="129" spans="2:12">
      <c r="B129" s="218"/>
      <c r="C129" s="218"/>
      <c r="D129" s="218"/>
      <c r="E129" s="218"/>
      <c r="F129" s="218"/>
      <c r="G129" s="218"/>
      <c r="H129" s="218"/>
      <c r="I129" s="218"/>
      <c r="J129" s="218"/>
      <c r="K129" s="218"/>
      <c r="L129" s="218"/>
    </row>
    <row r="130" spans="2:12">
      <c r="B130" s="218"/>
      <c r="C130" s="218"/>
      <c r="D130" s="218"/>
      <c r="E130" s="218"/>
      <c r="F130" s="218"/>
      <c r="G130" s="218"/>
      <c r="H130" s="218"/>
      <c r="I130" s="218"/>
      <c r="J130" s="218"/>
      <c r="K130" s="218"/>
      <c r="L130" s="218"/>
    </row>
    <row r="131" spans="2:12">
      <c r="B131" s="218"/>
      <c r="C131" s="218"/>
      <c r="D131" s="218"/>
      <c r="E131" s="218"/>
      <c r="F131" s="218"/>
      <c r="G131" s="218"/>
      <c r="H131" s="218"/>
      <c r="I131" s="218"/>
      <c r="J131" s="218"/>
      <c r="K131" s="218"/>
      <c r="L131" s="218"/>
    </row>
    <row r="132" spans="2:12">
      <c r="B132" s="218"/>
      <c r="C132" s="218"/>
      <c r="D132" s="218"/>
      <c r="E132" s="218"/>
      <c r="F132" s="218"/>
      <c r="G132" s="218"/>
      <c r="H132" s="218"/>
      <c r="I132" s="218"/>
      <c r="J132" s="218"/>
      <c r="K132" s="218"/>
      <c r="L132" s="218"/>
    </row>
    <row r="133" spans="2:12">
      <c r="B133" s="218"/>
      <c r="C133" s="218"/>
      <c r="D133" s="218"/>
      <c r="E133" s="218"/>
      <c r="F133" s="218"/>
      <c r="G133" s="218"/>
      <c r="H133" s="218"/>
      <c r="I133" s="218"/>
      <c r="J133" s="218"/>
      <c r="K133" s="218"/>
      <c r="L133" s="218"/>
    </row>
    <row r="134" spans="2:12">
      <c r="B134" s="218"/>
      <c r="C134" s="218"/>
      <c r="D134" s="218"/>
      <c r="E134" s="218"/>
      <c r="F134" s="218"/>
      <c r="G134" s="218"/>
      <c r="H134" s="218"/>
      <c r="I134" s="218"/>
      <c r="J134" s="218"/>
      <c r="K134" s="218"/>
      <c r="L134" s="218"/>
    </row>
    <row r="135" spans="2:12">
      <c r="B135" s="218"/>
      <c r="C135" s="218"/>
      <c r="D135" s="218"/>
      <c r="E135" s="218"/>
      <c r="F135" s="218"/>
      <c r="G135" s="218"/>
      <c r="H135" s="218"/>
      <c r="I135" s="218"/>
      <c r="J135" s="218"/>
      <c r="K135" s="218"/>
      <c r="L135" s="218"/>
    </row>
    <row r="136" spans="2:12">
      <c r="B136" s="218"/>
      <c r="C136" s="218"/>
      <c r="D136" s="218"/>
      <c r="E136" s="218"/>
      <c r="F136" s="218"/>
      <c r="G136" s="218"/>
      <c r="H136" s="218"/>
      <c r="I136" s="218"/>
      <c r="J136" s="218"/>
      <c r="K136" s="218"/>
      <c r="L136" s="218"/>
    </row>
    <row r="137" spans="2:12">
      <c r="B137" s="218"/>
      <c r="C137" s="218"/>
      <c r="D137" s="218"/>
      <c r="E137" s="218"/>
      <c r="F137" s="218"/>
      <c r="G137" s="218"/>
      <c r="H137" s="218"/>
      <c r="I137" s="218"/>
      <c r="J137" s="218"/>
      <c r="K137" s="218"/>
      <c r="L137" s="218"/>
    </row>
    <row r="138" spans="2:12">
      <c r="B138" s="218"/>
      <c r="C138" s="218"/>
      <c r="D138" s="218"/>
      <c r="E138" s="218"/>
      <c r="F138" s="218"/>
      <c r="G138" s="218"/>
      <c r="H138" s="218"/>
      <c r="I138" s="218"/>
      <c r="J138" s="218"/>
      <c r="K138" s="218"/>
      <c r="L138" s="218"/>
    </row>
    <row r="139" spans="2:12">
      <c r="B139" s="218"/>
      <c r="C139" s="218"/>
      <c r="D139" s="218"/>
      <c r="E139" s="218"/>
      <c r="F139" s="218"/>
      <c r="G139" s="218"/>
      <c r="H139" s="218"/>
      <c r="I139" s="218"/>
      <c r="J139" s="218"/>
      <c r="K139" s="218"/>
      <c r="L139" s="218"/>
    </row>
    <row r="140" spans="2:12">
      <c r="B140" s="218"/>
      <c r="C140" s="218"/>
      <c r="D140" s="218"/>
      <c r="E140" s="218"/>
      <c r="F140" s="218"/>
      <c r="G140" s="218"/>
      <c r="H140" s="218"/>
      <c r="I140" s="218"/>
      <c r="J140" s="218"/>
      <c r="K140" s="218"/>
      <c r="L140" s="218"/>
    </row>
    <row r="141" spans="2:12">
      <c r="B141" s="218"/>
      <c r="C141" s="218"/>
      <c r="D141" s="218"/>
      <c r="E141" s="218"/>
      <c r="F141" s="218"/>
      <c r="G141" s="218"/>
      <c r="H141" s="218"/>
      <c r="I141" s="218"/>
      <c r="J141" s="218"/>
      <c r="K141" s="218"/>
      <c r="L141" s="218"/>
    </row>
    <row r="142" spans="2:12">
      <c r="B142" s="218"/>
      <c r="C142" s="218"/>
      <c r="D142" s="218"/>
      <c r="E142" s="218"/>
      <c r="F142" s="218"/>
      <c r="G142" s="218"/>
      <c r="H142" s="218"/>
      <c r="I142" s="218"/>
      <c r="J142" s="218"/>
      <c r="K142" s="218"/>
      <c r="L142" s="218"/>
    </row>
    <row r="143" spans="2:12">
      <c r="B143" s="218"/>
      <c r="C143" s="218"/>
      <c r="D143" s="218"/>
      <c r="E143" s="218"/>
      <c r="F143" s="218"/>
      <c r="G143" s="218"/>
      <c r="H143" s="218"/>
      <c r="I143" s="218"/>
      <c r="J143" s="218"/>
      <c r="K143" s="218"/>
      <c r="L143" s="218"/>
    </row>
    <row r="144" spans="2:12">
      <c r="B144" s="218"/>
      <c r="C144" s="218"/>
      <c r="D144" s="218"/>
      <c r="E144" s="218"/>
      <c r="F144" s="218"/>
      <c r="G144" s="218"/>
      <c r="H144" s="218"/>
      <c r="I144" s="218"/>
      <c r="J144" s="218"/>
      <c r="K144" s="218"/>
      <c r="L144" s="218"/>
    </row>
    <row r="145" spans="2:12">
      <c r="B145" s="218"/>
      <c r="C145" s="218"/>
      <c r="D145" s="218"/>
      <c r="E145" s="218"/>
      <c r="F145" s="218"/>
      <c r="G145" s="218"/>
      <c r="H145" s="218"/>
      <c r="I145" s="218"/>
      <c r="J145" s="218"/>
      <c r="K145" s="218"/>
      <c r="L145" s="218"/>
    </row>
    <row r="146" spans="2:12">
      <c r="B146" s="218"/>
      <c r="C146" s="218"/>
      <c r="D146" s="218"/>
      <c r="E146" s="218"/>
      <c r="F146" s="218"/>
      <c r="G146" s="218"/>
      <c r="H146" s="218"/>
      <c r="I146" s="218"/>
      <c r="J146" s="218"/>
      <c r="K146" s="218"/>
      <c r="L146" s="218"/>
    </row>
    <row r="147" spans="2:12">
      <c r="B147" s="218"/>
      <c r="C147" s="218"/>
      <c r="D147" s="218"/>
      <c r="E147" s="218"/>
      <c r="F147" s="218"/>
      <c r="G147" s="218"/>
      <c r="H147" s="218"/>
      <c r="I147" s="218"/>
      <c r="J147" s="218"/>
      <c r="K147" s="218"/>
      <c r="L147" s="218"/>
    </row>
    <row r="148" spans="2:12">
      <c r="B148" s="218"/>
      <c r="C148" s="218"/>
      <c r="D148" s="218"/>
      <c r="E148" s="218"/>
      <c r="F148" s="218"/>
      <c r="G148" s="218"/>
      <c r="H148" s="218"/>
      <c r="I148" s="218"/>
      <c r="J148" s="218"/>
      <c r="K148" s="218"/>
      <c r="L148" s="218"/>
    </row>
    <row r="149" spans="2:12">
      <c r="B149" s="218"/>
      <c r="C149" s="218"/>
      <c r="D149" s="218"/>
      <c r="E149" s="218"/>
      <c r="F149" s="218"/>
      <c r="G149" s="218"/>
      <c r="H149" s="218"/>
      <c r="I149" s="218"/>
      <c r="J149" s="218"/>
      <c r="K149" s="218"/>
      <c r="L149" s="218"/>
    </row>
    <row r="150" spans="2:12">
      <c r="B150" s="218"/>
      <c r="C150" s="218"/>
      <c r="D150" s="218"/>
      <c r="E150" s="218"/>
      <c r="F150" s="218"/>
      <c r="G150" s="218"/>
      <c r="H150" s="218"/>
      <c r="I150" s="218"/>
      <c r="J150" s="218"/>
      <c r="K150" s="218"/>
      <c r="L150" s="218"/>
    </row>
    <row r="151" spans="2:12">
      <c r="B151" s="218"/>
      <c r="C151" s="218"/>
      <c r="D151" s="218"/>
      <c r="E151" s="218"/>
      <c r="F151" s="218"/>
      <c r="G151" s="218"/>
      <c r="H151" s="218"/>
      <c r="I151" s="218"/>
      <c r="J151" s="218"/>
      <c r="K151" s="218"/>
      <c r="L151" s="218"/>
    </row>
    <row r="152" spans="2:12">
      <c r="B152" s="218"/>
      <c r="C152" s="218"/>
      <c r="D152" s="218"/>
      <c r="E152" s="218"/>
      <c r="F152" s="218"/>
      <c r="G152" s="218"/>
      <c r="H152" s="218"/>
      <c r="I152" s="218"/>
      <c r="J152" s="218"/>
      <c r="K152" s="218"/>
      <c r="L152" s="218"/>
    </row>
    <row r="153" spans="2:12">
      <c r="B153" s="218"/>
      <c r="C153" s="218"/>
      <c r="D153" s="218"/>
      <c r="E153" s="218"/>
      <c r="F153" s="218"/>
      <c r="G153" s="218"/>
      <c r="H153" s="218"/>
      <c r="I153" s="218"/>
      <c r="J153" s="218"/>
      <c r="K153" s="218"/>
      <c r="L153" s="218"/>
    </row>
    <row r="154" spans="2:12">
      <c r="B154" s="218"/>
      <c r="C154" s="218"/>
      <c r="D154" s="218"/>
      <c r="E154" s="218"/>
      <c r="F154" s="218"/>
      <c r="G154" s="218"/>
      <c r="H154" s="218"/>
      <c r="I154" s="218"/>
      <c r="J154" s="218"/>
      <c r="K154" s="218"/>
      <c r="L154" s="218"/>
    </row>
    <row r="155" spans="2:12">
      <c r="B155" s="218"/>
      <c r="C155" s="218"/>
      <c r="D155" s="218"/>
      <c r="E155" s="218"/>
      <c r="F155" s="218"/>
      <c r="G155" s="218"/>
      <c r="H155" s="218"/>
      <c r="I155" s="218"/>
      <c r="J155" s="218"/>
      <c r="K155" s="218"/>
      <c r="L155" s="218"/>
    </row>
    <row r="156" spans="2:12">
      <c r="B156" s="218"/>
      <c r="C156" s="218"/>
      <c r="D156" s="218"/>
      <c r="E156" s="218"/>
      <c r="F156" s="218"/>
      <c r="G156" s="218"/>
      <c r="H156" s="218"/>
      <c r="I156" s="218"/>
      <c r="J156" s="218"/>
      <c r="K156" s="218"/>
      <c r="L156" s="218"/>
    </row>
    <row r="157" spans="2:12">
      <c r="B157" s="218"/>
      <c r="C157" s="218"/>
      <c r="D157" s="218"/>
      <c r="E157" s="218"/>
      <c r="F157" s="218"/>
      <c r="G157" s="218"/>
      <c r="H157" s="218"/>
      <c r="I157" s="218"/>
      <c r="J157" s="218"/>
      <c r="K157" s="218"/>
      <c r="L157" s="218"/>
    </row>
    <row r="158" spans="2:12">
      <c r="B158" s="218"/>
      <c r="C158" s="218"/>
      <c r="D158" s="218"/>
      <c r="E158" s="218"/>
      <c r="F158" s="218"/>
      <c r="G158" s="218"/>
      <c r="H158" s="218"/>
      <c r="I158" s="218"/>
      <c r="J158" s="218"/>
      <c r="K158" s="218"/>
      <c r="L158" s="218"/>
    </row>
    <row r="159" spans="2:12">
      <c r="B159" s="218"/>
      <c r="C159" s="218"/>
      <c r="D159" s="218"/>
      <c r="E159" s="218"/>
      <c r="F159" s="218"/>
      <c r="G159" s="218"/>
      <c r="H159" s="218"/>
      <c r="I159" s="218"/>
      <c r="J159" s="218"/>
      <c r="K159" s="218"/>
      <c r="L159" s="218"/>
    </row>
    <row r="160" spans="2:12">
      <c r="B160" s="218"/>
      <c r="C160" s="218"/>
      <c r="D160" s="218"/>
      <c r="E160" s="218"/>
      <c r="F160" s="218"/>
      <c r="G160" s="218"/>
      <c r="H160" s="218"/>
      <c r="I160" s="218"/>
      <c r="J160" s="218"/>
      <c r="K160" s="218"/>
      <c r="L160" s="218"/>
    </row>
    <row r="161" spans="2:12">
      <c r="B161" s="218"/>
      <c r="C161" s="218"/>
      <c r="D161" s="218"/>
      <c r="E161" s="218"/>
      <c r="F161" s="218"/>
      <c r="G161" s="218"/>
      <c r="H161" s="218"/>
      <c r="I161" s="218"/>
      <c r="J161" s="218"/>
      <c r="K161" s="218"/>
      <c r="L161" s="218"/>
    </row>
    <row r="162" spans="2:12">
      <c r="B162" s="218"/>
      <c r="C162" s="218"/>
      <c r="D162" s="218"/>
      <c r="E162" s="218"/>
      <c r="F162" s="218"/>
      <c r="G162" s="218"/>
      <c r="H162" s="218"/>
      <c r="I162" s="218"/>
      <c r="J162" s="218"/>
      <c r="K162" s="218"/>
      <c r="L162" s="218"/>
    </row>
    <row r="163" spans="2:12">
      <c r="B163" s="218"/>
      <c r="C163" s="218"/>
      <c r="D163" s="218"/>
      <c r="E163" s="218"/>
      <c r="F163" s="218"/>
      <c r="G163" s="218"/>
      <c r="H163" s="218"/>
      <c r="I163" s="218"/>
      <c r="J163" s="218"/>
      <c r="K163" s="218"/>
      <c r="L163" s="218"/>
    </row>
    <row r="164" spans="2:12">
      <c r="B164" s="218"/>
      <c r="C164" s="218"/>
      <c r="D164" s="218"/>
      <c r="E164" s="218"/>
      <c r="F164" s="218"/>
      <c r="G164" s="218"/>
      <c r="H164" s="218"/>
      <c r="I164" s="218"/>
      <c r="J164" s="218"/>
      <c r="K164" s="218"/>
      <c r="L164" s="218"/>
    </row>
    <row r="165" spans="2:12">
      <c r="B165" s="218"/>
      <c r="C165" s="218"/>
      <c r="D165" s="218"/>
      <c r="E165" s="218"/>
      <c r="F165" s="218"/>
      <c r="G165" s="218"/>
      <c r="H165" s="218"/>
      <c r="I165" s="218"/>
      <c r="J165" s="218"/>
      <c r="K165" s="218"/>
      <c r="L165" s="218"/>
    </row>
    <row r="166" spans="2:12">
      <c r="B166" s="218"/>
      <c r="C166" s="218"/>
      <c r="D166" s="218"/>
      <c r="E166" s="218"/>
      <c r="F166" s="218"/>
      <c r="G166" s="218"/>
      <c r="H166" s="218"/>
      <c r="I166" s="218"/>
      <c r="J166" s="218"/>
      <c r="K166" s="218"/>
      <c r="L166" s="218"/>
    </row>
    <row r="167" spans="2:12">
      <c r="B167" s="218"/>
      <c r="C167" s="218"/>
      <c r="D167" s="218"/>
      <c r="E167" s="218"/>
      <c r="F167" s="218"/>
      <c r="G167" s="218"/>
      <c r="H167" s="218"/>
      <c r="I167" s="218"/>
      <c r="J167" s="218"/>
      <c r="K167" s="218"/>
      <c r="L167" s="218"/>
    </row>
    <row r="168" spans="2:12">
      <c r="B168" s="218"/>
      <c r="C168" s="218"/>
      <c r="D168" s="218"/>
      <c r="E168" s="218"/>
      <c r="F168" s="218"/>
      <c r="G168" s="218"/>
      <c r="H168" s="218"/>
      <c r="I168" s="218"/>
      <c r="J168" s="218"/>
      <c r="K168" s="218"/>
      <c r="L168" s="218"/>
    </row>
    <row r="169" spans="2:12">
      <c r="B169" s="218"/>
      <c r="C169" s="218"/>
      <c r="D169" s="218"/>
      <c r="E169" s="218"/>
      <c r="F169" s="218"/>
      <c r="G169" s="218"/>
      <c r="H169" s="218"/>
      <c r="I169" s="218"/>
      <c r="J169" s="218"/>
      <c r="K169" s="218"/>
      <c r="L169" s="218"/>
    </row>
    <row r="170" spans="2:12">
      <c r="B170" s="218"/>
      <c r="C170" s="218"/>
      <c r="D170" s="218"/>
      <c r="E170" s="218"/>
      <c r="F170" s="218"/>
      <c r="G170" s="218"/>
      <c r="H170" s="218"/>
      <c r="I170" s="218"/>
      <c r="J170" s="218"/>
      <c r="K170" s="218"/>
      <c r="L170" s="218"/>
    </row>
    <row r="171" spans="2:12">
      <c r="B171" s="218"/>
      <c r="C171" s="218"/>
      <c r="D171" s="218"/>
      <c r="E171" s="218"/>
      <c r="F171" s="218"/>
      <c r="G171" s="218"/>
      <c r="H171" s="218"/>
      <c r="I171" s="218"/>
      <c r="J171" s="218"/>
      <c r="K171" s="218"/>
      <c r="L171" s="218"/>
    </row>
    <row r="172" spans="2:12">
      <c r="B172" s="218"/>
      <c r="C172" s="218"/>
      <c r="D172" s="218"/>
      <c r="E172" s="218"/>
      <c r="F172" s="218"/>
      <c r="G172" s="218"/>
      <c r="H172" s="218"/>
      <c r="I172" s="218"/>
      <c r="J172" s="218"/>
      <c r="K172" s="218"/>
      <c r="L172" s="218"/>
    </row>
    <row r="173" spans="2:12">
      <c r="B173" s="218"/>
      <c r="C173" s="218"/>
      <c r="D173" s="218"/>
      <c r="E173" s="218"/>
      <c r="F173" s="218"/>
      <c r="G173" s="218"/>
      <c r="H173" s="218"/>
      <c r="I173" s="218"/>
      <c r="J173" s="218"/>
      <c r="K173" s="218"/>
      <c r="L173" s="218"/>
    </row>
    <row r="174" spans="2:12">
      <c r="B174" s="218"/>
      <c r="C174" s="218"/>
      <c r="D174" s="218"/>
      <c r="E174" s="218"/>
      <c r="F174" s="218"/>
      <c r="G174" s="218"/>
      <c r="H174" s="218"/>
      <c r="I174" s="218"/>
      <c r="J174" s="218"/>
      <c r="K174" s="218"/>
      <c r="L174" s="218"/>
    </row>
    <row r="175" spans="2:12">
      <c r="B175" s="218"/>
      <c r="C175" s="218"/>
      <c r="D175" s="218"/>
      <c r="E175" s="218"/>
      <c r="F175" s="218"/>
      <c r="G175" s="218"/>
      <c r="H175" s="218"/>
      <c r="I175" s="218"/>
      <c r="J175" s="218"/>
      <c r="K175" s="218"/>
      <c r="L175" s="218"/>
    </row>
    <row r="176" spans="2:12">
      <c r="B176" s="218"/>
      <c r="C176" s="218"/>
      <c r="D176" s="218"/>
      <c r="E176" s="218"/>
      <c r="F176" s="218"/>
      <c r="G176" s="218"/>
      <c r="H176" s="218"/>
      <c r="I176" s="218"/>
      <c r="J176" s="218"/>
      <c r="K176" s="218"/>
      <c r="L176" s="218"/>
    </row>
    <row r="177" spans="2:12">
      <c r="B177" s="218"/>
      <c r="C177" s="218"/>
      <c r="D177" s="218"/>
      <c r="E177" s="218"/>
      <c r="F177" s="218"/>
      <c r="G177" s="218"/>
      <c r="H177" s="218"/>
      <c r="I177" s="218"/>
      <c r="J177" s="218"/>
      <c r="K177" s="218"/>
      <c r="L177" s="218"/>
    </row>
    <row r="178" spans="2:12">
      <c r="B178" s="218"/>
      <c r="C178" s="218"/>
      <c r="D178" s="218"/>
      <c r="E178" s="218"/>
      <c r="F178" s="218"/>
      <c r="G178" s="218"/>
      <c r="H178" s="218"/>
      <c r="I178" s="218"/>
      <c r="J178" s="218"/>
      <c r="K178" s="218"/>
      <c r="L178" s="218"/>
    </row>
    <row r="179" spans="2:12">
      <c r="B179" s="218"/>
      <c r="C179" s="218"/>
      <c r="D179" s="218"/>
      <c r="E179" s="218"/>
      <c r="F179" s="218"/>
      <c r="G179" s="218"/>
      <c r="H179" s="218"/>
      <c r="I179" s="218"/>
      <c r="J179" s="218"/>
      <c r="K179" s="218"/>
      <c r="L179" s="218"/>
    </row>
    <row r="180" spans="2:12">
      <c r="B180" s="218"/>
      <c r="C180" s="218"/>
      <c r="D180" s="218"/>
      <c r="E180" s="218"/>
      <c r="F180" s="218"/>
      <c r="G180" s="218"/>
      <c r="H180" s="218"/>
      <c r="I180" s="218"/>
      <c r="J180" s="218"/>
      <c r="K180" s="218"/>
      <c r="L180" s="218"/>
    </row>
    <row r="181" spans="2:12">
      <c r="B181" s="218"/>
      <c r="C181" s="218"/>
      <c r="D181" s="218"/>
      <c r="E181" s="218"/>
      <c r="F181" s="218"/>
      <c r="G181" s="218"/>
      <c r="H181" s="218"/>
      <c r="I181" s="218"/>
      <c r="J181" s="218"/>
      <c r="K181" s="218"/>
      <c r="L181" s="218"/>
    </row>
    <row r="182" spans="2:12">
      <c r="B182" s="218"/>
      <c r="C182" s="218"/>
      <c r="D182" s="218"/>
      <c r="E182" s="218"/>
      <c r="F182" s="218"/>
      <c r="G182" s="218"/>
      <c r="H182" s="218"/>
      <c r="I182" s="218"/>
      <c r="J182" s="218"/>
      <c r="K182" s="218"/>
      <c r="L182" s="218"/>
    </row>
    <row r="183" spans="2:12">
      <c r="B183" s="218"/>
      <c r="C183" s="218"/>
      <c r="D183" s="218"/>
      <c r="E183" s="218"/>
      <c r="F183" s="218"/>
      <c r="G183" s="218"/>
      <c r="H183" s="218"/>
      <c r="I183" s="218"/>
      <c r="J183" s="218"/>
      <c r="K183" s="218"/>
      <c r="L183" s="218"/>
    </row>
    <row r="184" spans="2:12">
      <c r="B184" s="218"/>
      <c r="C184" s="218"/>
      <c r="D184" s="218"/>
      <c r="E184" s="218"/>
      <c r="F184" s="218"/>
      <c r="G184" s="218"/>
      <c r="H184" s="218"/>
      <c r="I184" s="218"/>
      <c r="J184" s="218"/>
      <c r="K184" s="218"/>
      <c r="L184" s="218"/>
    </row>
    <row r="185" spans="2:12">
      <c r="B185" s="218"/>
      <c r="C185" s="218"/>
      <c r="D185" s="218"/>
      <c r="E185" s="218"/>
      <c r="F185" s="218"/>
      <c r="G185" s="218"/>
      <c r="H185" s="218"/>
      <c r="I185" s="218"/>
      <c r="J185" s="218"/>
      <c r="K185" s="218"/>
      <c r="L185" s="218"/>
    </row>
    <row r="186" spans="2:12">
      <c r="B186" s="218"/>
      <c r="C186" s="218"/>
      <c r="D186" s="218"/>
      <c r="E186" s="218"/>
      <c r="F186" s="218"/>
      <c r="G186" s="218"/>
      <c r="H186" s="218"/>
      <c r="I186" s="218"/>
      <c r="J186" s="218"/>
      <c r="K186" s="218"/>
      <c r="L186" s="218"/>
    </row>
    <row r="187" spans="2:12">
      <c r="B187" s="218"/>
      <c r="C187" s="218"/>
      <c r="D187" s="218"/>
      <c r="E187" s="218"/>
      <c r="F187" s="218"/>
      <c r="G187" s="218"/>
      <c r="H187" s="218"/>
      <c r="I187" s="218"/>
      <c r="J187" s="218"/>
      <c r="K187" s="218"/>
      <c r="L187" s="218"/>
    </row>
    <row r="188" spans="2:12">
      <c r="B188" s="218"/>
      <c r="C188" s="218"/>
      <c r="D188" s="218"/>
      <c r="E188" s="218"/>
      <c r="F188" s="218"/>
      <c r="G188" s="218"/>
      <c r="H188" s="218"/>
      <c r="I188" s="218"/>
      <c r="J188" s="218"/>
      <c r="K188" s="218"/>
      <c r="L188" s="218"/>
    </row>
    <row r="189" spans="2:12">
      <c r="B189" s="218"/>
      <c r="C189" s="218"/>
      <c r="D189" s="218"/>
      <c r="E189" s="218"/>
      <c r="F189" s="218"/>
      <c r="G189" s="218"/>
      <c r="H189" s="218"/>
      <c r="I189" s="218"/>
      <c r="J189" s="218"/>
      <c r="K189" s="218"/>
      <c r="L189" s="218"/>
    </row>
    <row r="190" spans="2:12">
      <c r="B190" s="218"/>
      <c r="C190" s="218"/>
      <c r="D190" s="218"/>
      <c r="E190" s="218"/>
      <c r="F190" s="218"/>
      <c r="G190" s="218"/>
      <c r="H190" s="218"/>
      <c r="I190" s="218"/>
      <c r="J190" s="218"/>
      <c r="K190" s="218"/>
      <c r="L190" s="218"/>
    </row>
    <row r="191" spans="2:12">
      <c r="B191" s="218"/>
      <c r="C191" s="218"/>
      <c r="D191" s="218"/>
      <c r="E191" s="218"/>
      <c r="F191" s="218"/>
      <c r="G191" s="218"/>
      <c r="H191" s="218"/>
      <c r="I191" s="218"/>
      <c r="J191" s="218"/>
      <c r="K191" s="218"/>
      <c r="L191" s="218"/>
    </row>
    <row r="192" spans="2:12">
      <c r="B192" s="218"/>
      <c r="C192" s="218"/>
      <c r="D192" s="218"/>
      <c r="E192" s="218"/>
      <c r="F192" s="218"/>
      <c r="G192" s="218"/>
      <c r="H192" s="218"/>
      <c r="I192" s="218"/>
      <c r="J192" s="218"/>
      <c r="K192" s="218"/>
      <c r="L192" s="218"/>
    </row>
    <row r="193" spans="2:12">
      <c r="B193" s="218"/>
      <c r="C193" s="218"/>
      <c r="D193" s="218"/>
      <c r="E193" s="218"/>
      <c r="F193" s="218"/>
      <c r="G193" s="218"/>
      <c r="H193" s="218"/>
      <c r="I193" s="218"/>
      <c r="J193" s="218"/>
      <c r="K193" s="218"/>
      <c r="L193" s="218"/>
    </row>
    <row r="194" spans="2:12">
      <c r="B194" s="218"/>
      <c r="C194" s="218"/>
      <c r="D194" s="218"/>
      <c r="E194" s="218"/>
      <c r="F194" s="218"/>
      <c r="G194" s="218"/>
      <c r="H194" s="218"/>
      <c r="I194" s="218"/>
      <c r="J194" s="218"/>
      <c r="K194" s="218"/>
      <c r="L194" s="218"/>
    </row>
    <row r="195" spans="2:12">
      <c r="B195" s="218"/>
      <c r="C195" s="218"/>
      <c r="D195" s="218"/>
      <c r="E195" s="218"/>
      <c r="F195" s="218"/>
      <c r="G195" s="218"/>
      <c r="H195" s="218"/>
      <c r="I195" s="218"/>
      <c r="J195" s="218"/>
      <c r="K195" s="218"/>
      <c r="L195" s="218"/>
    </row>
    <row r="196" spans="2:12">
      <c r="B196" s="218"/>
      <c r="C196" s="218"/>
      <c r="D196" s="218"/>
      <c r="E196" s="218"/>
      <c r="F196" s="218"/>
      <c r="G196" s="218"/>
      <c r="H196" s="218"/>
      <c r="I196" s="218"/>
      <c r="J196" s="218"/>
      <c r="K196" s="218"/>
      <c r="L196" s="218"/>
    </row>
    <row r="197" spans="2:12">
      <c r="B197" s="218"/>
      <c r="C197" s="218"/>
      <c r="D197" s="218"/>
      <c r="E197" s="218"/>
      <c r="F197" s="218"/>
      <c r="G197" s="218"/>
      <c r="H197" s="218"/>
      <c r="I197" s="218"/>
      <c r="J197" s="218"/>
      <c r="K197" s="218"/>
      <c r="L197" s="218"/>
    </row>
    <row r="198" spans="2:12">
      <c r="B198" s="218"/>
      <c r="C198" s="218"/>
      <c r="D198" s="218"/>
      <c r="E198" s="218"/>
      <c r="F198" s="218"/>
      <c r="G198" s="218"/>
      <c r="H198" s="218"/>
      <c r="I198" s="218"/>
      <c r="J198" s="218"/>
      <c r="K198" s="218"/>
      <c r="L198" s="218"/>
    </row>
    <row r="199" spans="2:12">
      <c r="B199" s="218"/>
      <c r="C199" s="218"/>
      <c r="D199" s="218"/>
      <c r="E199" s="218"/>
      <c r="F199" s="218"/>
      <c r="G199" s="218"/>
      <c r="H199" s="218"/>
      <c r="I199" s="218"/>
      <c r="J199" s="218"/>
      <c r="K199" s="218"/>
      <c r="L199" s="218"/>
    </row>
    <row r="200" spans="2:12">
      <c r="B200" s="218"/>
      <c r="C200" s="218"/>
      <c r="D200" s="218"/>
      <c r="E200" s="218"/>
      <c r="F200" s="218"/>
      <c r="G200" s="218"/>
      <c r="H200" s="218"/>
      <c r="I200" s="218"/>
      <c r="J200" s="218"/>
      <c r="K200" s="218"/>
      <c r="L200" s="218"/>
    </row>
    <row r="201" spans="2:12">
      <c r="B201" s="218"/>
      <c r="C201" s="218"/>
      <c r="D201" s="218"/>
      <c r="E201" s="218"/>
      <c r="F201" s="218"/>
      <c r="G201" s="218"/>
      <c r="H201" s="218"/>
      <c r="I201" s="218"/>
      <c r="J201" s="218"/>
      <c r="K201" s="218"/>
      <c r="L201" s="218"/>
    </row>
    <row r="202" spans="2:12">
      <c r="B202" s="218"/>
      <c r="C202" s="218"/>
      <c r="D202" s="218"/>
      <c r="E202" s="218"/>
      <c r="F202" s="218"/>
      <c r="G202" s="218"/>
      <c r="H202" s="218"/>
      <c r="I202" s="218"/>
      <c r="J202" s="218"/>
      <c r="K202" s="218"/>
      <c r="L202" s="218"/>
    </row>
    <row r="203" spans="2:12">
      <c r="B203" s="218"/>
      <c r="C203" s="218"/>
      <c r="D203" s="218"/>
      <c r="E203" s="218"/>
      <c r="F203" s="218"/>
      <c r="G203" s="218"/>
      <c r="H203" s="218"/>
      <c r="I203" s="218"/>
      <c r="J203" s="218"/>
      <c r="K203" s="218"/>
      <c r="L203" s="218"/>
    </row>
    <row r="204" spans="2:12">
      <c r="B204" s="218"/>
      <c r="C204" s="218"/>
      <c r="D204" s="218"/>
      <c r="E204" s="218"/>
      <c r="F204" s="218"/>
      <c r="G204" s="218"/>
      <c r="H204" s="218"/>
      <c r="I204" s="218"/>
      <c r="J204" s="218"/>
      <c r="K204" s="218"/>
      <c r="L204" s="218"/>
    </row>
    <row r="205" spans="2:12">
      <c r="B205" s="218"/>
      <c r="C205" s="218"/>
      <c r="D205" s="218"/>
      <c r="E205" s="218"/>
      <c r="F205" s="218"/>
      <c r="G205" s="218"/>
      <c r="H205" s="218"/>
      <c r="I205" s="218"/>
      <c r="J205" s="218"/>
      <c r="K205" s="218"/>
      <c r="L205" s="218"/>
    </row>
    <row r="206" spans="2:12">
      <c r="B206" s="218"/>
      <c r="C206" s="218"/>
      <c r="D206" s="218"/>
      <c r="E206" s="218"/>
      <c r="F206" s="218"/>
      <c r="G206" s="218"/>
      <c r="H206" s="218"/>
      <c r="I206" s="218"/>
      <c r="J206" s="218"/>
      <c r="K206" s="218"/>
      <c r="L206" s="218"/>
    </row>
    <row r="207" spans="2:12">
      <c r="B207" s="218"/>
      <c r="C207" s="218"/>
      <c r="D207" s="218"/>
      <c r="E207" s="218"/>
      <c r="F207" s="218"/>
      <c r="G207" s="218"/>
      <c r="H207" s="218"/>
      <c r="I207" s="218"/>
      <c r="J207" s="218"/>
      <c r="K207" s="218"/>
      <c r="L207" s="218"/>
    </row>
    <row r="208" spans="2:12">
      <c r="B208" s="218"/>
      <c r="C208" s="218"/>
      <c r="D208" s="218"/>
      <c r="E208" s="218"/>
      <c r="F208" s="218"/>
      <c r="G208" s="218"/>
      <c r="H208" s="218"/>
      <c r="I208" s="218"/>
      <c r="J208" s="218"/>
      <c r="K208" s="218"/>
      <c r="L208" s="218"/>
    </row>
    <row r="209" spans="2:12">
      <c r="B209" s="218"/>
      <c r="C209" s="218"/>
      <c r="D209" s="218"/>
      <c r="E209" s="218"/>
      <c r="F209" s="218"/>
      <c r="G209" s="218"/>
      <c r="H209" s="218"/>
      <c r="I209" s="218"/>
      <c r="J209" s="218"/>
      <c r="K209" s="218"/>
      <c r="L209" s="218"/>
    </row>
    <row r="210" spans="2:12">
      <c r="B210" s="218"/>
      <c r="C210" s="218"/>
      <c r="D210" s="218"/>
      <c r="E210" s="218"/>
      <c r="F210" s="218"/>
      <c r="G210" s="218"/>
      <c r="H210" s="218"/>
      <c r="I210" s="218"/>
      <c r="J210" s="218"/>
      <c r="K210" s="218"/>
      <c r="L210" s="218"/>
    </row>
    <row r="211" spans="2:12">
      <c r="B211" s="218"/>
      <c r="C211" s="218"/>
      <c r="D211" s="218"/>
      <c r="E211" s="218"/>
      <c r="F211" s="218"/>
      <c r="G211" s="218"/>
      <c r="H211" s="218"/>
      <c r="I211" s="218"/>
      <c r="J211" s="218"/>
      <c r="K211" s="218"/>
      <c r="L211" s="218"/>
    </row>
    <row r="212" spans="2:12">
      <c r="B212" s="218"/>
      <c r="C212" s="218"/>
      <c r="D212" s="218"/>
      <c r="E212" s="218"/>
      <c r="F212" s="218"/>
      <c r="G212" s="218"/>
      <c r="H212" s="218"/>
      <c r="I212" s="218"/>
      <c r="J212" s="218"/>
      <c r="K212" s="218"/>
      <c r="L212" s="218"/>
    </row>
    <row r="213" spans="2:12">
      <c r="B213" s="218"/>
      <c r="C213" s="218"/>
      <c r="D213" s="218"/>
      <c r="E213" s="218"/>
      <c r="F213" s="218"/>
      <c r="G213" s="218"/>
      <c r="H213" s="218"/>
      <c r="I213" s="218"/>
      <c r="J213" s="218"/>
      <c r="K213" s="218"/>
      <c r="L213" s="218"/>
    </row>
    <row r="214" spans="2:12">
      <c r="B214" s="218"/>
      <c r="C214" s="218"/>
      <c r="D214" s="218"/>
      <c r="E214" s="218"/>
      <c r="F214" s="218"/>
      <c r="G214" s="218"/>
      <c r="H214" s="218"/>
      <c r="I214" s="218"/>
      <c r="J214" s="218"/>
      <c r="K214" s="218"/>
      <c r="L214" s="218"/>
    </row>
    <row r="215" spans="2:12">
      <c r="B215" s="218"/>
      <c r="C215" s="218"/>
      <c r="D215" s="218"/>
      <c r="E215" s="218"/>
      <c r="F215" s="218"/>
      <c r="G215" s="218"/>
      <c r="H215" s="218"/>
      <c r="I215" s="218"/>
      <c r="J215" s="218"/>
      <c r="K215" s="218"/>
      <c r="L215" s="218"/>
    </row>
    <row r="216" spans="2:12">
      <c r="B216" s="218"/>
      <c r="C216" s="218"/>
      <c r="D216" s="218"/>
      <c r="E216" s="218"/>
      <c r="F216" s="218"/>
      <c r="G216" s="218"/>
      <c r="H216" s="218"/>
      <c r="I216" s="218"/>
      <c r="J216" s="218"/>
      <c r="K216" s="218"/>
      <c r="L216" s="218"/>
    </row>
    <row r="217" spans="2:12">
      <c r="B217" s="218"/>
      <c r="C217" s="218"/>
      <c r="D217" s="218"/>
      <c r="E217" s="218"/>
      <c r="F217" s="218"/>
      <c r="G217" s="218"/>
      <c r="H217" s="218"/>
      <c r="I217" s="218"/>
      <c r="J217" s="218"/>
      <c r="K217" s="218"/>
      <c r="L217" s="218"/>
    </row>
    <row r="218" spans="2:12">
      <c r="B218" s="218"/>
      <c r="C218" s="218"/>
      <c r="D218" s="218"/>
      <c r="E218" s="218"/>
      <c r="F218" s="218"/>
      <c r="G218" s="218"/>
      <c r="H218" s="218"/>
      <c r="I218" s="218"/>
      <c r="J218" s="218"/>
      <c r="K218" s="218"/>
      <c r="L218" s="218"/>
    </row>
    <row r="219" spans="2:12">
      <c r="B219" s="218"/>
      <c r="C219" s="218"/>
      <c r="D219" s="218"/>
      <c r="E219" s="218"/>
      <c r="F219" s="218"/>
      <c r="G219" s="218"/>
      <c r="H219" s="218"/>
      <c r="I219" s="218"/>
      <c r="J219" s="218"/>
      <c r="K219" s="218"/>
      <c r="L219" s="218"/>
    </row>
    <row r="220" spans="2:12">
      <c r="B220" s="218"/>
      <c r="C220" s="218"/>
      <c r="D220" s="218"/>
      <c r="E220" s="218"/>
      <c r="F220" s="218"/>
      <c r="G220" s="218"/>
      <c r="H220" s="218"/>
      <c r="I220" s="218"/>
      <c r="J220" s="218"/>
      <c r="K220" s="218"/>
      <c r="L220" s="218"/>
    </row>
    <row r="221" spans="2:12">
      <c r="B221" s="218"/>
      <c r="C221" s="218"/>
      <c r="D221" s="218"/>
      <c r="E221" s="218"/>
      <c r="F221" s="218"/>
      <c r="G221" s="218"/>
      <c r="H221" s="218"/>
      <c r="I221" s="218"/>
      <c r="J221" s="218"/>
      <c r="K221" s="218"/>
      <c r="L221" s="218"/>
    </row>
    <row r="222" spans="2:12">
      <c r="B222" s="218"/>
      <c r="C222" s="218"/>
      <c r="D222" s="218"/>
      <c r="E222" s="218"/>
      <c r="F222" s="218"/>
      <c r="G222" s="218"/>
      <c r="H222" s="218"/>
      <c r="I222" s="218"/>
      <c r="J222" s="218"/>
      <c r="K222" s="218"/>
      <c r="L222" s="218"/>
    </row>
    <row r="223" spans="2:12">
      <c r="B223" s="218"/>
      <c r="C223" s="218"/>
      <c r="D223" s="218"/>
      <c r="E223" s="218"/>
      <c r="F223" s="218"/>
      <c r="G223" s="218"/>
      <c r="H223" s="218"/>
      <c r="I223" s="218"/>
      <c r="J223" s="218"/>
      <c r="K223" s="218"/>
      <c r="L223" s="218"/>
    </row>
    <row r="224" spans="2:12">
      <c r="B224" s="218"/>
      <c r="C224" s="218"/>
      <c r="D224" s="218"/>
      <c r="E224" s="218"/>
      <c r="F224" s="218"/>
      <c r="G224" s="218"/>
      <c r="H224" s="218"/>
      <c r="I224" s="218"/>
      <c r="J224" s="218"/>
      <c r="K224" s="218"/>
      <c r="L224" s="218"/>
    </row>
    <row r="225" spans="2:12">
      <c r="B225" s="218"/>
      <c r="C225" s="218"/>
      <c r="D225" s="218"/>
      <c r="E225" s="218"/>
      <c r="F225" s="218"/>
      <c r="G225" s="218"/>
      <c r="H225" s="218"/>
      <c r="I225" s="218"/>
      <c r="J225" s="218"/>
      <c r="K225" s="218"/>
      <c r="L225" s="218"/>
    </row>
    <row r="226" spans="2:12">
      <c r="B226" s="218"/>
      <c r="C226" s="218"/>
      <c r="D226" s="218"/>
      <c r="E226" s="218"/>
      <c r="F226" s="218"/>
      <c r="G226" s="218"/>
      <c r="H226" s="218"/>
      <c r="I226" s="218"/>
      <c r="J226" s="218"/>
      <c r="K226" s="218"/>
      <c r="L226" s="218"/>
    </row>
    <row r="227" spans="2:12">
      <c r="B227" s="218"/>
      <c r="C227" s="218"/>
      <c r="D227" s="218"/>
      <c r="E227" s="218"/>
      <c r="F227" s="218"/>
      <c r="G227" s="218"/>
      <c r="H227" s="218"/>
      <c r="I227" s="218"/>
      <c r="J227" s="218"/>
      <c r="K227" s="218"/>
      <c r="L227" s="218"/>
    </row>
    <row r="228" spans="2:12">
      <c r="B228" s="218"/>
      <c r="C228" s="218"/>
      <c r="D228" s="218"/>
      <c r="E228" s="218"/>
      <c r="F228" s="218"/>
      <c r="G228" s="218"/>
      <c r="H228" s="218"/>
      <c r="I228" s="218"/>
      <c r="J228" s="218"/>
      <c r="K228" s="218"/>
      <c r="L228" s="218"/>
    </row>
    <row r="229" spans="2:12">
      <c r="B229" s="218"/>
      <c r="C229" s="218"/>
      <c r="D229" s="218"/>
      <c r="E229" s="218"/>
      <c r="F229" s="218"/>
      <c r="G229" s="218"/>
      <c r="H229" s="218"/>
      <c r="I229" s="218"/>
      <c r="J229" s="218"/>
      <c r="K229" s="218"/>
      <c r="L229" s="218"/>
    </row>
    <row r="230" spans="2:12">
      <c r="B230" s="218"/>
      <c r="C230" s="218"/>
      <c r="D230" s="218"/>
      <c r="E230" s="218"/>
      <c r="F230" s="218"/>
      <c r="G230" s="218"/>
      <c r="H230" s="218"/>
      <c r="I230" s="218"/>
      <c r="J230" s="218"/>
      <c r="K230" s="218"/>
      <c r="L230" s="218"/>
    </row>
    <row r="231" spans="2:12">
      <c r="B231" s="218"/>
      <c r="C231" s="218"/>
      <c r="D231" s="218"/>
      <c r="E231" s="218"/>
      <c r="F231" s="218"/>
      <c r="G231" s="218"/>
      <c r="H231" s="218"/>
      <c r="I231" s="218"/>
      <c r="J231" s="218"/>
      <c r="K231" s="218"/>
      <c r="L231" s="218"/>
    </row>
    <row r="232" spans="2:12">
      <c r="B232" s="218"/>
      <c r="C232" s="218"/>
      <c r="D232" s="218"/>
      <c r="E232" s="218"/>
      <c r="F232" s="218"/>
      <c r="G232" s="218"/>
      <c r="H232" s="218"/>
      <c r="I232" s="218"/>
      <c r="J232" s="218"/>
      <c r="K232" s="218"/>
      <c r="L232" s="218"/>
    </row>
    <row r="233" spans="2:12">
      <c r="B233" s="218"/>
      <c r="C233" s="218"/>
      <c r="D233" s="218"/>
      <c r="E233" s="218"/>
      <c r="F233" s="218"/>
      <c r="G233" s="218"/>
      <c r="H233" s="218"/>
      <c r="I233" s="218"/>
      <c r="J233" s="218"/>
      <c r="K233" s="218"/>
      <c r="L233" s="218"/>
    </row>
    <row r="234" spans="2:12">
      <c r="B234" s="218"/>
      <c r="C234" s="218"/>
      <c r="D234" s="218"/>
      <c r="E234" s="218"/>
      <c r="F234" s="218"/>
      <c r="G234" s="218"/>
      <c r="H234" s="218"/>
      <c r="I234" s="218"/>
      <c r="J234" s="218"/>
      <c r="K234" s="218"/>
      <c r="L234" s="218"/>
    </row>
    <row r="235" spans="2:12">
      <c r="B235" s="218"/>
      <c r="C235" s="218"/>
      <c r="D235" s="218"/>
      <c r="E235" s="218"/>
      <c r="F235" s="218"/>
      <c r="G235" s="218"/>
      <c r="H235" s="218"/>
      <c r="I235" s="218"/>
      <c r="J235" s="218"/>
      <c r="K235" s="218"/>
      <c r="L235" s="218"/>
    </row>
    <row r="236" spans="2:12">
      <c r="B236" s="218"/>
      <c r="C236" s="218"/>
      <c r="D236" s="218"/>
      <c r="E236" s="218"/>
      <c r="F236" s="218"/>
      <c r="G236" s="218"/>
      <c r="H236" s="218"/>
      <c r="I236" s="218"/>
      <c r="J236" s="218"/>
      <c r="K236" s="218"/>
      <c r="L236" s="218"/>
    </row>
    <row r="237" spans="2:12">
      <c r="B237" s="218"/>
      <c r="C237" s="218"/>
      <c r="D237" s="218"/>
      <c r="E237" s="218"/>
      <c r="F237" s="218"/>
      <c r="G237" s="218"/>
      <c r="H237" s="218"/>
      <c r="I237" s="218"/>
      <c r="J237" s="218"/>
      <c r="K237" s="218"/>
      <c r="L237" s="218"/>
    </row>
    <row r="238" spans="2:12">
      <c r="B238" s="218"/>
      <c r="C238" s="218"/>
      <c r="D238" s="218"/>
      <c r="E238" s="218"/>
      <c r="F238" s="218"/>
      <c r="G238" s="218"/>
      <c r="H238" s="218"/>
      <c r="I238" s="218"/>
      <c r="J238" s="218"/>
      <c r="K238" s="218"/>
      <c r="L238" s="218"/>
    </row>
    <row r="239" spans="2:12">
      <c r="B239" s="218"/>
      <c r="C239" s="218"/>
      <c r="D239" s="218"/>
      <c r="E239" s="218"/>
      <c r="F239" s="218"/>
      <c r="G239" s="218"/>
      <c r="H239" s="218"/>
      <c r="I239" s="218"/>
      <c r="J239" s="218"/>
      <c r="K239" s="218"/>
      <c r="L239" s="218"/>
    </row>
    <row r="240" spans="2:12">
      <c r="B240" s="218"/>
      <c r="C240" s="218"/>
      <c r="D240" s="218"/>
      <c r="E240" s="218"/>
      <c r="F240" s="218"/>
      <c r="G240" s="218"/>
      <c r="H240" s="218"/>
      <c r="I240" s="218"/>
      <c r="J240" s="218"/>
      <c r="K240" s="218"/>
      <c r="L240" s="218"/>
    </row>
    <row r="241" spans="2:12">
      <c r="B241" s="218"/>
      <c r="C241" s="218"/>
      <c r="D241" s="218"/>
      <c r="E241" s="218"/>
      <c r="F241" s="218"/>
      <c r="G241" s="218"/>
      <c r="H241" s="218"/>
      <c r="I241" s="218"/>
      <c r="J241" s="218"/>
      <c r="K241" s="218"/>
      <c r="L241" s="218"/>
    </row>
    <row r="242" spans="2:12">
      <c r="B242" s="218"/>
      <c r="C242" s="218"/>
      <c r="D242" s="218"/>
      <c r="E242" s="218"/>
      <c r="F242" s="218"/>
      <c r="G242" s="218"/>
      <c r="H242" s="218"/>
      <c r="I242" s="218"/>
      <c r="J242" s="218"/>
      <c r="K242" s="218"/>
      <c r="L242" s="218"/>
    </row>
    <row r="243" spans="2:12">
      <c r="B243" s="218"/>
      <c r="C243" s="218"/>
      <c r="D243" s="218"/>
      <c r="E243" s="218"/>
      <c r="F243" s="218"/>
      <c r="G243" s="218"/>
      <c r="H243" s="218"/>
      <c r="I243" s="218"/>
      <c r="J243" s="218"/>
      <c r="K243" s="218"/>
      <c r="L243" s="218"/>
    </row>
    <row r="244" spans="2:12">
      <c r="B244" s="218"/>
      <c r="C244" s="218"/>
      <c r="D244" s="218"/>
      <c r="E244" s="218"/>
      <c r="F244" s="218"/>
      <c r="G244" s="218"/>
      <c r="H244" s="218"/>
      <c r="I244" s="218"/>
      <c r="J244" s="218"/>
      <c r="K244" s="218"/>
      <c r="L244" s="218"/>
    </row>
    <row r="245" spans="2:12">
      <c r="B245" s="218"/>
      <c r="C245" s="218"/>
      <c r="D245" s="218"/>
      <c r="E245" s="218"/>
      <c r="F245" s="218"/>
      <c r="G245" s="218"/>
      <c r="H245" s="218"/>
      <c r="I245" s="218"/>
      <c r="J245" s="218"/>
      <c r="K245" s="218"/>
      <c r="L245" s="218"/>
    </row>
    <row r="246" spans="2:12">
      <c r="B246" s="218"/>
      <c r="C246" s="218"/>
      <c r="D246" s="218"/>
      <c r="E246" s="218"/>
      <c r="F246" s="218"/>
      <c r="G246" s="218"/>
      <c r="H246" s="218"/>
      <c r="I246" s="218"/>
      <c r="J246" s="218"/>
      <c r="K246" s="218"/>
      <c r="L246" s="218"/>
    </row>
    <row r="247" spans="2:12">
      <c r="B247" s="218"/>
      <c r="C247" s="218"/>
      <c r="D247" s="218"/>
      <c r="E247" s="218"/>
      <c r="F247" s="218"/>
      <c r="G247" s="218"/>
      <c r="H247" s="218"/>
      <c r="I247" s="218"/>
      <c r="J247" s="218"/>
      <c r="K247" s="218"/>
      <c r="L247" s="218"/>
    </row>
    <row r="248" spans="2:12">
      <c r="B248" s="218"/>
      <c r="C248" s="218"/>
      <c r="D248" s="218"/>
      <c r="E248" s="218"/>
      <c r="F248" s="218"/>
      <c r="G248" s="218"/>
      <c r="H248" s="218"/>
      <c r="I248" s="218"/>
      <c r="J248" s="218"/>
      <c r="K248" s="218"/>
      <c r="L248" s="218"/>
    </row>
    <row r="249" spans="2:12">
      <c r="B249" s="218"/>
      <c r="C249" s="218"/>
      <c r="D249" s="218"/>
      <c r="E249" s="218"/>
      <c r="F249" s="218"/>
      <c r="G249" s="218"/>
      <c r="H249" s="218"/>
      <c r="I249" s="218"/>
      <c r="J249" s="218"/>
      <c r="K249" s="218"/>
      <c r="L249" s="218"/>
    </row>
    <row r="250" spans="2:12">
      <c r="B250" s="218"/>
      <c r="C250" s="218"/>
      <c r="D250" s="218"/>
      <c r="E250" s="218"/>
      <c r="F250" s="218"/>
      <c r="G250" s="218"/>
      <c r="H250" s="218"/>
      <c r="I250" s="218"/>
      <c r="J250" s="218"/>
      <c r="K250" s="218"/>
      <c r="L250" s="218"/>
    </row>
    <row r="251" spans="2:12">
      <c r="B251" s="218"/>
      <c r="C251" s="218"/>
      <c r="D251" s="218"/>
      <c r="E251" s="218"/>
      <c r="F251" s="218"/>
      <c r="G251" s="218"/>
      <c r="H251" s="218"/>
      <c r="I251" s="218"/>
      <c r="J251" s="218"/>
      <c r="K251" s="218"/>
      <c r="L251" s="218"/>
    </row>
  </sheetData>
  <mergeCells count="11">
    <mergeCell ref="A5:A6"/>
    <mergeCell ref="A2:J2"/>
    <mergeCell ref="A4:J4"/>
    <mergeCell ref="A14:J14"/>
    <mergeCell ref="A56:J56"/>
    <mergeCell ref="A57:J57"/>
    <mergeCell ref="A35:C35"/>
    <mergeCell ref="A17:D17"/>
    <mergeCell ref="E17:J17"/>
    <mergeCell ref="A38:J38"/>
    <mergeCell ref="E35:J35"/>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7A5"/>
    <pageSetUpPr fitToPage="1"/>
  </sheetPr>
  <dimension ref="A3:L56"/>
  <sheetViews>
    <sheetView showGridLines="0" view="pageBreakPreview" zoomScale="130" zoomScaleNormal="130" zoomScaleSheetLayoutView="130" zoomScalePageLayoutView="130" workbookViewId="0">
      <selection activeCell="C12" sqref="C12"/>
    </sheetView>
  </sheetViews>
  <sheetFormatPr defaultColWidth="9.33203125" defaultRowHeight="11.25"/>
  <cols>
    <col min="8" max="10" width="11.1640625" customWidth="1"/>
    <col min="11" max="11" width="12.5" customWidth="1"/>
    <col min="12" max="12" width="9.33203125" customWidth="1"/>
  </cols>
  <sheetData>
    <row r="3" spans="1:12">
      <c r="A3" s="875" t="s">
        <v>0</v>
      </c>
      <c r="B3" s="875"/>
      <c r="C3" s="875"/>
      <c r="D3" s="875"/>
      <c r="E3" s="875"/>
      <c r="F3" s="875"/>
      <c r="G3" s="875"/>
      <c r="H3" s="875"/>
      <c r="I3" s="875"/>
      <c r="J3" s="875"/>
      <c r="K3" s="875"/>
      <c r="L3" s="875"/>
    </row>
    <row r="4" spans="1:12">
      <c r="A4" s="875"/>
      <c r="B4" s="875"/>
      <c r="C4" s="875"/>
      <c r="D4" s="875"/>
      <c r="E4" s="875"/>
      <c r="F4" s="875"/>
      <c r="G4" s="875"/>
      <c r="H4" s="875"/>
      <c r="I4" s="875"/>
      <c r="J4" s="875"/>
      <c r="K4" s="875"/>
      <c r="L4" s="875"/>
    </row>
    <row r="5" spans="1:12" ht="12">
      <c r="A5" s="3"/>
      <c r="B5" s="219"/>
      <c r="C5" s="2"/>
      <c r="D5" s="2"/>
      <c r="E5" s="37"/>
      <c r="F5" s="2"/>
      <c r="G5" s="2"/>
      <c r="H5" s="2"/>
      <c r="I5" s="2"/>
      <c r="J5" s="2"/>
      <c r="K5" s="2"/>
      <c r="L5" s="8" t="s">
        <v>1</v>
      </c>
    </row>
    <row r="6" spans="1:12" ht="12">
      <c r="A6" s="3"/>
      <c r="B6" s="219"/>
      <c r="C6" s="2"/>
      <c r="D6" s="2"/>
      <c r="E6" s="37"/>
      <c r="F6" s="2"/>
      <c r="G6" s="2"/>
      <c r="H6" s="2"/>
      <c r="I6" s="2"/>
      <c r="J6" s="2"/>
      <c r="K6" s="2"/>
      <c r="L6" s="5"/>
    </row>
    <row r="7" spans="1:12" ht="19.5" customHeight="1">
      <c r="A7" s="20" t="s">
        <v>468</v>
      </c>
      <c r="B7" s="220"/>
      <c r="C7" s="25"/>
      <c r="D7" s="25"/>
      <c r="E7" s="25"/>
      <c r="F7" s="25"/>
      <c r="G7" s="25"/>
      <c r="H7" s="25"/>
      <c r="I7" s="25"/>
      <c r="J7" s="25"/>
      <c r="K7" s="25"/>
      <c r="L7" s="25"/>
    </row>
    <row r="8" spans="1:12" ht="17.25" customHeight="1">
      <c r="A8" s="25"/>
      <c r="B8" s="25" t="s">
        <v>704</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575</v>
      </c>
      <c r="B10" s="220"/>
      <c r="C10" s="25"/>
      <c r="D10" s="25"/>
      <c r="E10" s="25"/>
      <c r="F10" s="25"/>
      <c r="G10" s="25"/>
      <c r="H10" s="25"/>
      <c r="I10" s="25"/>
      <c r="J10" s="25"/>
      <c r="K10" s="25"/>
      <c r="L10" s="22"/>
    </row>
    <row r="11" spans="1:12" ht="19.5" customHeight="1">
      <c r="A11" s="27"/>
      <c r="B11" s="25" t="s">
        <v>605</v>
      </c>
      <c r="C11" s="25"/>
      <c r="D11" s="25"/>
      <c r="E11" s="25"/>
      <c r="F11" s="21"/>
      <c r="G11" s="21"/>
      <c r="H11" s="21"/>
      <c r="I11" s="21"/>
      <c r="J11" s="21"/>
      <c r="K11" s="21"/>
      <c r="L11" s="22" t="s">
        <v>2</v>
      </c>
    </row>
    <row r="12" spans="1:12" ht="19.5" customHeight="1">
      <c r="A12" s="27"/>
      <c r="B12" s="25" t="s">
        <v>447</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460</v>
      </c>
      <c r="B14" s="25"/>
      <c r="C14" s="25"/>
      <c r="D14" s="25"/>
      <c r="E14" s="25"/>
      <c r="F14" s="25"/>
      <c r="G14" s="25"/>
      <c r="H14" s="25"/>
      <c r="I14" s="25"/>
      <c r="J14" s="25"/>
      <c r="K14" s="25"/>
      <c r="L14" s="22"/>
    </row>
    <row r="15" spans="1:12" ht="19.5" customHeight="1">
      <c r="A15" s="27"/>
      <c r="B15" s="25" t="s">
        <v>436</v>
      </c>
      <c r="C15" s="25"/>
      <c r="D15" s="25"/>
      <c r="E15" s="25"/>
      <c r="F15" s="21"/>
      <c r="G15" s="21"/>
      <c r="H15" s="21"/>
      <c r="I15" s="21"/>
      <c r="J15" s="21"/>
      <c r="K15" s="21"/>
      <c r="L15" s="22" t="s">
        <v>3</v>
      </c>
    </row>
    <row r="16" spans="1:12" ht="19.5" customHeight="1">
      <c r="A16" s="27"/>
      <c r="B16" s="25" t="s">
        <v>445</v>
      </c>
      <c r="C16" s="25"/>
      <c r="D16" s="25"/>
      <c r="E16" s="25"/>
      <c r="F16" s="25"/>
      <c r="G16" s="21"/>
      <c r="H16" s="21"/>
      <c r="I16" s="21"/>
      <c r="J16" s="21"/>
      <c r="K16" s="21"/>
      <c r="L16" s="22" t="s">
        <v>4</v>
      </c>
    </row>
    <row r="17" spans="1:12" ht="19.5" customHeight="1">
      <c r="A17" s="27"/>
      <c r="B17" s="25" t="s">
        <v>437</v>
      </c>
      <c r="C17" s="25"/>
      <c r="D17" s="25"/>
      <c r="E17" s="25"/>
      <c r="F17" s="25"/>
      <c r="G17" s="21"/>
      <c r="H17" s="21"/>
      <c r="I17" s="21"/>
      <c r="J17" s="21"/>
      <c r="K17" s="21"/>
      <c r="L17" s="22" t="s">
        <v>5</v>
      </c>
    </row>
    <row r="18" spans="1:12" ht="19.5" customHeight="1">
      <c r="A18" s="27"/>
      <c r="B18" s="25" t="s">
        <v>438</v>
      </c>
      <c r="C18" s="25"/>
      <c r="D18" s="25"/>
      <c r="E18" s="25"/>
      <c r="F18" s="21"/>
      <c r="G18" s="21"/>
      <c r="H18" s="21"/>
      <c r="I18" s="21"/>
      <c r="J18" s="21"/>
      <c r="K18" s="21"/>
      <c r="L18" s="22" t="s">
        <v>6</v>
      </c>
    </row>
    <row r="19" spans="1:12" ht="19.5" customHeight="1">
      <c r="A19" s="27"/>
      <c r="B19" s="25" t="s">
        <v>439</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459</v>
      </c>
      <c r="B21" s="25"/>
      <c r="C21" s="25"/>
      <c r="D21" s="25"/>
      <c r="E21" s="25"/>
      <c r="F21" s="25"/>
      <c r="G21" s="25"/>
      <c r="H21" s="25"/>
      <c r="I21" s="25"/>
      <c r="J21" s="25"/>
      <c r="K21" s="25"/>
      <c r="L21" s="30"/>
    </row>
    <row r="22" spans="1:12" ht="19.5" customHeight="1">
      <c r="A22" s="25"/>
      <c r="B22" s="25" t="s">
        <v>461</v>
      </c>
      <c r="C22" s="25"/>
      <c r="D22" s="25"/>
      <c r="E22" s="25"/>
      <c r="F22" s="25"/>
      <c r="G22" s="21"/>
      <c r="H22" s="21"/>
      <c r="I22" s="21"/>
      <c r="J22" s="21"/>
      <c r="K22" s="21"/>
      <c r="L22" s="22" t="s">
        <v>9</v>
      </c>
    </row>
    <row r="23" spans="1:12" ht="19.5" customHeight="1">
      <c r="A23" s="31"/>
      <c r="B23" s="25" t="s">
        <v>560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266</v>
      </c>
      <c r="B25" s="25"/>
      <c r="C25" s="25"/>
      <c r="D25" s="25"/>
      <c r="E25" s="25"/>
      <c r="F25" s="25"/>
      <c r="G25" s="25"/>
      <c r="H25" s="25"/>
      <c r="I25" s="25"/>
      <c r="J25" s="25"/>
      <c r="K25" s="25"/>
      <c r="L25" s="30"/>
    </row>
    <row r="26" spans="1:12" ht="19.5" customHeight="1">
      <c r="A26" s="25"/>
      <c r="B26" s="25" t="s">
        <v>463</v>
      </c>
      <c r="C26" s="25"/>
      <c r="D26" s="25"/>
      <c r="E26" s="25"/>
      <c r="F26" s="21"/>
      <c r="G26" s="21"/>
      <c r="H26" s="21"/>
      <c r="I26" s="21"/>
      <c r="J26" s="21"/>
      <c r="K26" s="33"/>
      <c r="L26" s="22" t="s">
        <v>11</v>
      </c>
    </row>
    <row r="27" spans="1:12" ht="19.5" customHeight="1">
      <c r="A27" s="25"/>
      <c r="B27" s="25" t="s">
        <v>440</v>
      </c>
      <c r="C27" s="25"/>
      <c r="D27" s="25"/>
      <c r="E27" s="25"/>
      <c r="F27" s="25"/>
      <c r="G27" s="21"/>
      <c r="H27" s="21"/>
      <c r="I27" s="21"/>
      <c r="J27" s="21"/>
      <c r="K27" s="33"/>
      <c r="L27" s="22" t="s">
        <v>11</v>
      </c>
    </row>
    <row r="28" spans="1:12" ht="19.5" customHeight="1">
      <c r="A28" s="31"/>
      <c r="B28" s="25" t="s">
        <v>462</v>
      </c>
      <c r="C28" s="25"/>
      <c r="D28" s="25"/>
      <c r="E28" s="25"/>
      <c r="F28" s="21"/>
      <c r="G28" s="21"/>
      <c r="H28" s="33"/>
      <c r="I28" s="33"/>
      <c r="J28" s="33"/>
      <c r="K28" s="33"/>
      <c r="L28" s="22" t="s">
        <v>12</v>
      </c>
    </row>
    <row r="29" spans="1:12" ht="19.5" customHeight="1">
      <c r="A29" s="31"/>
      <c r="B29" s="25" t="s">
        <v>446</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452</v>
      </c>
      <c r="B31" s="25"/>
      <c r="C31" s="25"/>
      <c r="D31" s="25"/>
      <c r="E31" s="25"/>
      <c r="F31" s="25"/>
      <c r="G31" s="25"/>
      <c r="H31" s="25"/>
      <c r="I31" s="25"/>
      <c r="J31" s="25"/>
      <c r="K31" s="25"/>
      <c r="L31" s="22"/>
    </row>
    <row r="32" spans="1:12" ht="19.5" customHeight="1">
      <c r="A32" s="31"/>
      <c r="B32" s="25" t="s">
        <v>464</v>
      </c>
      <c r="C32" s="25"/>
      <c r="D32" s="25"/>
      <c r="E32" s="25"/>
      <c r="F32" s="25"/>
      <c r="G32" s="21"/>
      <c r="H32" s="21"/>
      <c r="I32" s="21"/>
      <c r="J32" s="21"/>
      <c r="K32" s="21"/>
      <c r="L32" s="22" t="s">
        <v>13</v>
      </c>
    </row>
    <row r="33" spans="1:12" ht="19.5" customHeight="1">
      <c r="A33" s="31"/>
      <c r="B33" s="25" t="s">
        <v>441</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442</v>
      </c>
      <c r="B35" s="26"/>
      <c r="C35" s="32"/>
      <c r="D35" s="26"/>
      <c r="E35" s="26"/>
      <c r="F35" s="26"/>
      <c r="G35" s="26"/>
      <c r="H35" s="26"/>
      <c r="I35" s="26"/>
      <c r="J35" s="26"/>
      <c r="K35" s="26"/>
      <c r="L35" s="22"/>
    </row>
    <row r="36" spans="1:12" ht="19.5" customHeight="1">
      <c r="A36" s="27"/>
      <c r="B36" s="25" t="s">
        <v>465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443</v>
      </c>
      <c r="B38" s="35"/>
      <c r="C38" s="25"/>
      <c r="D38" s="25"/>
      <c r="E38" s="25"/>
      <c r="F38" s="25"/>
      <c r="G38" s="25"/>
      <c r="H38" s="25"/>
      <c r="I38" s="25"/>
      <c r="J38" s="25"/>
      <c r="K38" s="25"/>
      <c r="L38" s="38"/>
    </row>
    <row r="39" spans="1:12" ht="19.5" customHeight="1">
      <c r="A39" s="27"/>
      <c r="B39" s="25" t="s">
        <v>444</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466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3779527559055118" bottom="0.62992125984251968" header="0.31496062992125984" footer="0.31496062992125984"/>
  <pageSetup paperSize="9" scale="97" orientation="portrait" r:id="rId1"/>
  <headerFooter>
    <oddHeader>&amp;R&amp;7Informe de la Operación Mensual-Junio 2019
INFSGI-MES-06-2019
10/07/2019
Versión: 01</oddHeader>
    <oddFooter>&amp;LCOES, 2019&amp;C1&amp;RDirección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77A5"/>
  </sheetPr>
  <dimension ref="A1:L174"/>
  <sheetViews>
    <sheetView showGridLines="0" view="pageBreakPreview" zoomScale="130" zoomScaleNormal="100" zoomScaleSheetLayoutView="130" zoomScalePageLayoutView="145" workbookViewId="0">
      <selection activeCell="C12" sqref="C12"/>
    </sheetView>
  </sheetViews>
  <sheetFormatPr defaultColWidth="9.33203125" defaultRowHeight="11.25"/>
  <cols>
    <col min="1" max="1" width="21.83203125" customWidth="1"/>
    <col min="2" max="2" width="20.83203125" customWidth="1"/>
    <col min="3" max="3" width="15.83203125" customWidth="1"/>
    <col min="4" max="4" width="17" customWidth="1"/>
    <col min="5" max="5" width="13.5" customWidth="1"/>
    <col min="6" max="6" width="13.83203125" customWidth="1"/>
    <col min="7" max="7" width="14.5" customWidth="1"/>
    <col min="9" max="9" width="18.6640625" customWidth="1"/>
    <col min="10" max="10" width="19.5" customWidth="1"/>
    <col min="11" max="11" width="9.33203125" customWidth="1"/>
  </cols>
  <sheetData>
    <row r="1" spans="1:12" ht="11.25" customHeight="1">
      <c r="A1" s="280" t="s">
        <v>289</v>
      </c>
      <c r="B1" s="279"/>
      <c r="C1" s="279"/>
      <c r="D1" s="279"/>
      <c r="E1" s="279"/>
      <c r="F1" s="279"/>
      <c r="G1" s="279"/>
    </row>
    <row r="2" spans="1:12" ht="14.25" customHeight="1">
      <c r="A2" s="976" t="s">
        <v>264</v>
      </c>
      <c r="B2" s="979" t="s">
        <v>55</v>
      </c>
      <c r="C2" s="982" t="str">
        <f>"ENERGÍA PRODUCIDA "&amp;UPPER('1. Resumen'!Q4)&amp;" "&amp;'1. Resumen'!Q5</f>
        <v>ENERGÍA PRODUCIDA JUNIO 2019</v>
      </c>
      <c r="D2" s="982"/>
      <c r="E2" s="982"/>
      <c r="F2" s="982"/>
      <c r="G2" s="721" t="s">
        <v>290</v>
      </c>
      <c r="H2" s="204"/>
      <c r="I2" s="204"/>
      <c r="J2" s="204"/>
      <c r="K2" s="204"/>
    </row>
    <row r="3" spans="1:12" ht="11.25" customHeight="1">
      <c r="A3" s="977"/>
      <c r="B3" s="980"/>
      <c r="C3" s="983" t="s">
        <v>291</v>
      </c>
      <c r="D3" s="983"/>
      <c r="E3" s="983"/>
      <c r="F3" s="984" t="str">
        <f>"TOTAL 
"&amp;UPPER('1. Resumen'!Q4)</f>
        <v>TOTAL 
JUNIO</v>
      </c>
      <c r="G3" s="722" t="s">
        <v>292</v>
      </c>
      <c r="H3" s="195"/>
      <c r="I3" s="195"/>
      <c r="J3" s="195"/>
      <c r="K3" s="195"/>
      <c r="L3" s="36"/>
    </row>
    <row r="4" spans="1:12" ht="12.75" customHeight="1">
      <c r="A4" s="977"/>
      <c r="B4" s="980"/>
      <c r="C4" s="711" t="s">
        <v>223</v>
      </c>
      <c r="D4" s="711" t="s">
        <v>224</v>
      </c>
      <c r="E4" s="711" t="s">
        <v>293</v>
      </c>
      <c r="F4" s="985"/>
      <c r="G4" s="722">
        <v>2019</v>
      </c>
      <c r="H4" s="197"/>
      <c r="I4" s="196"/>
      <c r="J4" s="196"/>
      <c r="K4" s="196"/>
      <c r="L4" s="36"/>
    </row>
    <row r="5" spans="1:12" ht="11.25" customHeight="1">
      <c r="A5" s="978"/>
      <c r="B5" s="981"/>
      <c r="C5" s="712" t="s">
        <v>294</v>
      </c>
      <c r="D5" s="712" t="s">
        <v>294</v>
      </c>
      <c r="E5" s="712" t="s">
        <v>294</v>
      </c>
      <c r="F5" s="712" t="s">
        <v>294</v>
      </c>
      <c r="G5" s="723" t="s">
        <v>211</v>
      </c>
      <c r="H5" s="197"/>
      <c r="I5" s="197"/>
      <c r="J5" s="197"/>
      <c r="K5" s="197"/>
      <c r="L5" s="8"/>
    </row>
    <row r="6" spans="1:12" ht="9.75" customHeight="1">
      <c r="A6" s="800" t="s">
        <v>123</v>
      </c>
      <c r="B6" s="474" t="s">
        <v>87</v>
      </c>
      <c r="C6" s="475"/>
      <c r="D6" s="475"/>
      <c r="E6" s="475">
        <v>5625.7770449999998</v>
      </c>
      <c r="F6" s="475">
        <v>5625.7770449999998</v>
      </c>
      <c r="G6" s="796">
        <v>19329.930704999999</v>
      </c>
      <c r="H6" s="197"/>
      <c r="I6" s="582"/>
      <c r="J6" s="582"/>
      <c r="K6" s="197"/>
      <c r="L6" s="197"/>
    </row>
    <row r="7" spans="1:12" ht="9.75" customHeight="1">
      <c r="A7" s="780" t="s">
        <v>295</v>
      </c>
      <c r="B7" s="574"/>
      <c r="C7" s="575"/>
      <c r="D7" s="575"/>
      <c r="E7" s="575">
        <v>5625.7770449999998</v>
      </c>
      <c r="F7" s="575">
        <v>5625.7770449999998</v>
      </c>
      <c r="G7" s="785">
        <v>19329.930704999999</v>
      </c>
      <c r="H7" s="197"/>
      <c r="I7" s="582"/>
      <c r="J7" s="582"/>
      <c r="K7" s="197"/>
      <c r="L7" s="197"/>
    </row>
    <row r="8" spans="1:12" ht="9.75" customHeight="1">
      <c r="A8" s="800" t="s">
        <v>122</v>
      </c>
      <c r="B8" s="474" t="s">
        <v>64</v>
      </c>
      <c r="C8" s="475"/>
      <c r="D8" s="475"/>
      <c r="E8" s="475">
        <v>5930.6113325000006</v>
      </c>
      <c r="F8" s="475">
        <v>5930.6113325000006</v>
      </c>
      <c r="G8" s="796">
        <v>72514.524305000014</v>
      </c>
      <c r="H8" s="197"/>
      <c r="I8" s="582"/>
      <c r="J8" s="582"/>
      <c r="K8" s="197"/>
      <c r="L8" s="197"/>
    </row>
    <row r="9" spans="1:12" ht="9.75" customHeight="1">
      <c r="A9" s="780" t="s">
        <v>296</v>
      </c>
      <c r="B9" s="574"/>
      <c r="C9" s="575"/>
      <c r="D9" s="575"/>
      <c r="E9" s="575">
        <v>5930.6113325000006</v>
      </c>
      <c r="F9" s="575">
        <v>5930.6113325000006</v>
      </c>
      <c r="G9" s="785">
        <v>72514.524305000014</v>
      </c>
      <c r="H9" s="197"/>
      <c r="I9" s="582"/>
      <c r="J9" s="582"/>
      <c r="K9" s="197"/>
      <c r="L9" s="197"/>
    </row>
    <row r="10" spans="1:12" ht="9.75" customHeight="1">
      <c r="A10" s="778" t="s">
        <v>107</v>
      </c>
      <c r="B10" s="714" t="s">
        <v>84</v>
      </c>
      <c r="C10" s="715"/>
      <c r="D10" s="715"/>
      <c r="E10" s="715">
        <v>7837.976995</v>
      </c>
      <c r="F10" s="715">
        <v>7837.976995</v>
      </c>
      <c r="G10" s="784">
        <v>44472.005747500007</v>
      </c>
      <c r="H10" s="197"/>
      <c r="I10" s="582"/>
      <c r="J10" s="582"/>
      <c r="K10" s="197"/>
      <c r="L10" s="197"/>
    </row>
    <row r="11" spans="1:12" ht="9.75" customHeight="1">
      <c r="A11" s="780" t="s">
        <v>297</v>
      </c>
      <c r="B11" s="574"/>
      <c r="C11" s="575"/>
      <c r="D11" s="575"/>
      <c r="E11" s="575">
        <v>7837.976995</v>
      </c>
      <c r="F11" s="575">
        <v>7837.976995</v>
      </c>
      <c r="G11" s="785">
        <v>44472.005747500007</v>
      </c>
      <c r="H11" s="197"/>
      <c r="I11" s="582"/>
      <c r="J11" s="582"/>
      <c r="K11" s="197"/>
      <c r="L11" s="197"/>
    </row>
    <row r="12" spans="1:12" ht="9.75" customHeight="1">
      <c r="A12" s="778" t="s">
        <v>500</v>
      </c>
      <c r="B12" s="714" t="s">
        <v>506</v>
      </c>
      <c r="C12" s="715"/>
      <c r="D12" s="715"/>
      <c r="E12" s="715">
        <v>8134.8132374999996</v>
      </c>
      <c r="F12" s="715">
        <v>8134.8132374999996</v>
      </c>
      <c r="G12" s="784">
        <v>58597.000979999975</v>
      </c>
      <c r="H12" s="197"/>
      <c r="I12" s="582"/>
      <c r="J12" s="582"/>
      <c r="K12" s="197"/>
      <c r="L12" s="197"/>
    </row>
    <row r="13" spans="1:12" ht="9.75" customHeight="1">
      <c r="A13" s="780" t="s">
        <v>501</v>
      </c>
      <c r="B13" s="574"/>
      <c r="C13" s="575"/>
      <c r="D13" s="575"/>
      <c r="E13" s="575">
        <v>8134.8132374999996</v>
      </c>
      <c r="F13" s="575">
        <v>8134.8132374999996</v>
      </c>
      <c r="G13" s="785">
        <v>58597.000979999975</v>
      </c>
      <c r="H13" s="197"/>
      <c r="I13" s="582"/>
      <c r="J13" s="582"/>
      <c r="K13" s="197"/>
      <c r="L13" s="197"/>
    </row>
    <row r="14" spans="1:12" ht="9.75" customHeight="1">
      <c r="A14" s="778" t="s">
        <v>95</v>
      </c>
      <c r="B14" s="714" t="s">
        <v>298</v>
      </c>
      <c r="C14" s="715">
        <v>70613.938874999993</v>
      </c>
      <c r="D14" s="715"/>
      <c r="E14" s="715"/>
      <c r="F14" s="715">
        <v>70613.938874999993</v>
      </c>
      <c r="G14" s="784">
        <v>739001.28816999996</v>
      </c>
      <c r="H14" s="197"/>
      <c r="I14" s="582"/>
      <c r="J14" s="582"/>
      <c r="K14" s="197"/>
      <c r="L14" s="197"/>
    </row>
    <row r="15" spans="1:12" ht="9.75" customHeight="1">
      <c r="A15" s="780" t="s">
        <v>299</v>
      </c>
      <c r="B15" s="574"/>
      <c r="C15" s="575">
        <v>70613.938874999993</v>
      </c>
      <c r="D15" s="575"/>
      <c r="E15" s="575"/>
      <c r="F15" s="575">
        <v>70613.938874999993</v>
      </c>
      <c r="G15" s="785">
        <v>739001.28816999996</v>
      </c>
      <c r="H15" s="197"/>
      <c r="I15" s="582"/>
      <c r="J15" s="582"/>
      <c r="K15" s="197"/>
      <c r="L15" s="197"/>
    </row>
    <row r="16" spans="1:12" ht="10.5" customHeight="1">
      <c r="A16" s="778" t="s">
        <v>248</v>
      </c>
      <c r="B16" s="714" t="s">
        <v>300</v>
      </c>
      <c r="C16" s="715"/>
      <c r="D16" s="715">
        <v>0</v>
      </c>
      <c r="E16" s="715"/>
      <c r="F16" s="715">
        <v>0</v>
      </c>
      <c r="G16" s="784">
        <v>2.2500000000000001E-5</v>
      </c>
      <c r="H16" s="197"/>
      <c r="I16" s="582"/>
      <c r="J16" s="582"/>
      <c r="K16" s="197"/>
      <c r="L16" s="197"/>
    </row>
    <row r="17" spans="1:12" ht="10.5" customHeight="1">
      <c r="A17" s="780" t="s">
        <v>301</v>
      </c>
      <c r="B17" s="574"/>
      <c r="C17" s="575"/>
      <c r="D17" s="575">
        <v>0</v>
      </c>
      <c r="E17" s="575"/>
      <c r="F17" s="575">
        <v>0</v>
      </c>
      <c r="G17" s="785">
        <v>2.2500000000000001E-5</v>
      </c>
      <c r="H17" s="197"/>
      <c r="I17" s="582"/>
      <c r="J17" s="582"/>
      <c r="K17" s="197"/>
      <c r="L17" s="197"/>
    </row>
    <row r="18" spans="1:12" ht="9.75" customHeight="1">
      <c r="A18" s="778" t="s">
        <v>94</v>
      </c>
      <c r="B18" s="714" t="s">
        <v>302</v>
      </c>
      <c r="C18" s="715">
        <v>41456.366942499997</v>
      </c>
      <c r="D18" s="715"/>
      <c r="E18" s="715"/>
      <c r="F18" s="715">
        <v>41456.366942499997</v>
      </c>
      <c r="G18" s="784">
        <v>469258.00179499981</v>
      </c>
      <c r="H18" s="197"/>
      <c r="I18" s="582"/>
      <c r="J18" s="582"/>
      <c r="K18" s="197"/>
      <c r="L18" s="197"/>
    </row>
    <row r="19" spans="1:12" ht="9.75" customHeight="1">
      <c r="A19" s="778"/>
      <c r="B19" s="714" t="s">
        <v>303</v>
      </c>
      <c r="C19" s="715">
        <v>14008.607550000001</v>
      </c>
      <c r="D19" s="715"/>
      <c r="E19" s="715"/>
      <c r="F19" s="715">
        <v>14008.607550000001</v>
      </c>
      <c r="G19" s="784">
        <v>144980.11376500007</v>
      </c>
      <c r="H19" s="197"/>
      <c r="I19" s="582"/>
      <c r="J19" s="582"/>
      <c r="K19" s="197"/>
      <c r="L19" s="197"/>
    </row>
    <row r="20" spans="1:12" ht="9.75" customHeight="1">
      <c r="A20" s="780" t="s">
        <v>304</v>
      </c>
      <c r="B20" s="574"/>
      <c r="C20" s="575">
        <v>55464.974492499998</v>
      </c>
      <c r="D20" s="575"/>
      <c r="E20" s="575"/>
      <c r="F20" s="575">
        <v>55464.974492499998</v>
      </c>
      <c r="G20" s="785">
        <v>614238.11555999983</v>
      </c>
      <c r="H20" s="197"/>
      <c r="I20" s="582"/>
      <c r="J20" s="582"/>
      <c r="K20" s="197"/>
      <c r="L20" s="197"/>
    </row>
    <row r="21" spans="1:12" ht="9.75" customHeight="1">
      <c r="A21" s="778" t="s">
        <v>92</v>
      </c>
      <c r="B21" s="714" t="s">
        <v>305</v>
      </c>
      <c r="C21" s="715">
        <v>1199.6497374999999</v>
      </c>
      <c r="D21" s="715"/>
      <c r="E21" s="715"/>
      <c r="F21" s="715">
        <v>1199.6497374999999</v>
      </c>
      <c r="G21" s="784">
        <v>7117.5051150000054</v>
      </c>
      <c r="H21" s="197"/>
      <c r="I21" s="582"/>
      <c r="J21" s="582"/>
      <c r="K21" s="197"/>
      <c r="L21" s="197"/>
    </row>
    <row r="22" spans="1:12" ht="9.75" customHeight="1">
      <c r="A22" s="778"/>
      <c r="B22" s="714" t="s">
        <v>306</v>
      </c>
      <c r="C22" s="715">
        <v>405.40364999999997</v>
      </c>
      <c r="D22" s="715"/>
      <c r="E22" s="715"/>
      <c r="F22" s="715">
        <v>405.40364999999997</v>
      </c>
      <c r="G22" s="784">
        <v>2372.4778074999999</v>
      </c>
      <c r="H22" s="197"/>
      <c r="I22" s="582"/>
      <c r="J22" s="582"/>
      <c r="K22" s="197"/>
      <c r="L22" s="197"/>
    </row>
    <row r="23" spans="1:12" ht="9.75" customHeight="1">
      <c r="A23" s="778"/>
      <c r="B23" s="714" t="s">
        <v>307</v>
      </c>
      <c r="C23" s="715">
        <v>3239.9702200000002</v>
      </c>
      <c r="D23" s="715"/>
      <c r="E23" s="715"/>
      <c r="F23" s="715">
        <v>3239.9702200000002</v>
      </c>
      <c r="G23" s="784">
        <v>19272.5854975</v>
      </c>
      <c r="H23" s="197"/>
      <c r="I23" s="582"/>
      <c r="J23" s="582"/>
      <c r="K23" s="197"/>
      <c r="L23" s="197"/>
    </row>
    <row r="24" spans="1:12" ht="9.75" customHeight="1">
      <c r="A24" s="778"/>
      <c r="B24" s="714" t="s">
        <v>308</v>
      </c>
      <c r="C24" s="715">
        <v>8296.3258824999994</v>
      </c>
      <c r="D24" s="715"/>
      <c r="E24" s="715"/>
      <c r="F24" s="715">
        <v>8296.3258824999994</v>
      </c>
      <c r="G24" s="784">
        <v>51879.0275225</v>
      </c>
      <c r="H24" s="197"/>
      <c r="I24" s="582"/>
      <c r="J24" s="582"/>
      <c r="K24" s="197"/>
      <c r="L24" s="197"/>
    </row>
    <row r="25" spans="1:12" ht="9.75" customHeight="1">
      <c r="A25" s="778"/>
      <c r="B25" s="714" t="s">
        <v>309</v>
      </c>
      <c r="C25" s="715">
        <v>51705.769587499999</v>
      </c>
      <c r="D25" s="715"/>
      <c r="E25" s="715"/>
      <c r="F25" s="715">
        <v>51705.769587499999</v>
      </c>
      <c r="G25" s="784">
        <v>400510.5032274999</v>
      </c>
      <c r="H25" s="197"/>
      <c r="I25" s="582"/>
      <c r="J25" s="582"/>
      <c r="K25" s="197"/>
      <c r="L25" s="197"/>
    </row>
    <row r="26" spans="1:12" ht="9.75" customHeight="1">
      <c r="A26" s="778"/>
      <c r="B26" s="714" t="s">
        <v>310</v>
      </c>
      <c r="C26" s="715">
        <v>4938.69416</v>
      </c>
      <c r="D26" s="715"/>
      <c r="E26" s="715"/>
      <c r="F26" s="715">
        <v>4938.69416</v>
      </c>
      <c r="G26" s="784">
        <v>30491.713214999989</v>
      </c>
      <c r="H26" s="197"/>
      <c r="I26" s="582"/>
      <c r="J26" s="582"/>
      <c r="K26" s="197"/>
      <c r="L26" s="197"/>
    </row>
    <row r="27" spans="1:12" ht="9.75" customHeight="1">
      <c r="A27" s="778"/>
      <c r="B27" s="714" t="s">
        <v>311</v>
      </c>
      <c r="C27" s="715"/>
      <c r="D27" s="715">
        <v>26.213819999999998</v>
      </c>
      <c r="E27" s="715"/>
      <c r="F27" s="715">
        <v>26.213819999999998</v>
      </c>
      <c r="G27" s="784">
        <v>120.3301075</v>
      </c>
      <c r="H27" s="197"/>
      <c r="I27" s="582"/>
      <c r="J27" s="582"/>
      <c r="K27" s="197"/>
      <c r="L27" s="197"/>
    </row>
    <row r="28" spans="1:12" ht="9.75" customHeight="1">
      <c r="A28" s="778"/>
      <c r="B28" s="714" t="s">
        <v>312</v>
      </c>
      <c r="C28" s="715"/>
      <c r="D28" s="715">
        <v>0</v>
      </c>
      <c r="E28" s="715"/>
      <c r="F28" s="715">
        <v>0</v>
      </c>
      <c r="G28" s="784">
        <v>91.526860000000013</v>
      </c>
      <c r="H28" s="197"/>
      <c r="I28" s="582"/>
      <c r="J28" s="582"/>
      <c r="K28" s="197"/>
      <c r="L28" s="197"/>
    </row>
    <row r="29" spans="1:12" ht="9.75" customHeight="1">
      <c r="A29" s="778"/>
      <c r="B29" s="714" t="s">
        <v>313</v>
      </c>
      <c r="C29" s="715"/>
      <c r="D29" s="715">
        <v>0</v>
      </c>
      <c r="E29" s="715"/>
      <c r="F29" s="715">
        <v>0</v>
      </c>
      <c r="G29" s="784">
        <v>30953.393329999999</v>
      </c>
      <c r="H29" s="197"/>
      <c r="I29" s="582"/>
      <c r="J29" s="582"/>
      <c r="K29" s="197"/>
      <c r="L29" s="197"/>
    </row>
    <row r="30" spans="1:12" ht="9.75" customHeight="1">
      <c r="A30" s="780" t="s">
        <v>314</v>
      </c>
      <c r="B30" s="574"/>
      <c r="C30" s="575">
        <v>69785.813237499999</v>
      </c>
      <c r="D30" s="575">
        <v>26.213819999999998</v>
      </c>
      <c r="E30" s="575"/>
      <c r="F30" s="575">
        <v>69812.027057500003</v>
      </c>
      <c r="G30" s="785">
        <v>542809.06268249988</v>
      </c>
      <c r="H30" s="197"/>
      <c r="I30" s="582"/>
      <c r="J30" s="582"/>
      <c r="K30" s="197"/>
      <c r="L30" s="197"/>
    </row>
    <row r="31" spans="1:12" ht="9.75" customHeight="1">
      <c r="A31" s="778" t="s">
        <v>115</v>
      </c>
      <c r="B31" s="714" t="s">
        <v>71</v>
      </c>
      <c r="C31" s="715"/>
      <c r="D31" s="715"/>
      <c r="E31" s="715">
        <v>641.95259750000002</v>
      </c>
      <c r="F31" s="715">
        <v>641.95259750000002</v>
      </c>
      <c r="G31" s="784">
        <v>16006.429599999996</v>
      </c>
      <c r="H31" s="197"/>
      <c r="I31" s="582"/>
      <c r="J31" s="582"/>
      <c r="K31" s="197"/>
      <c r="L31" s="197"/>
    </row>
    <row r="32" spans="1:12" ht="9.75" customHeight="1">
      <c r="A32" s="780" t="s">
        <v>315</v>
      </c>
      <c r="B32" s="574"/>
      <c r="C32" s="575"/>
      <c r="D32" s="575"/>
      <c r="E32" s="575">
        <v>641.95259750000002</v>
      </c>
      <c r="F32" s="575">
        <v>641.95259750000002</v>
      </c>
      <c r="G32" s="785">
        <v>16006.429599999996</v>
      </c>
      <c r="H32" s="197"/>
      <c r="I32" s="582"/>
      <c r="J32" s="582"/>
      <c r="K32" s="197"/>
      <c r="L32" s="197"/>
    </row>
    <row r="33" spans="1:12" ht="9.75" customHeight="1">
      <c r="A33" s="778" t="s">
        <v>93</v>
      </c>
      <c r="B33" s="714" t="s">
        <v>316</v>
      </c>
      <c r="C33" s="715">
        <v>92365.385544999997</v>
      </c>
      <c r="D33" s="715"/>
      <c r="E33" s="715"/>
      <c r="F33" s="715">
        <v>92365.385544999997</v>
      </c>
      <c r="G33" s="784">
        <v>687613.01379999996</v>
      </c>
      <c r="H33" s="197"/>
      <c r="I33" s="582"/>
      <c r="J33" s="582"/>
      <c r="K33" s="197"/>
      <c r="L33" s="197"/>
    </row>
    <row r="34" spans="1:12" ht="9.75" customHeight="1">
      <c r="A34" s="780" t="s">
        <v>317</v>
      </c>
      <c r="B34" s="574"/>
      <c r="C34" s="575">
        <v>92365.385544999997</v>
      </c>
      <c r="D34" s="575"/>
      <c r="E34" s="575"/>
      <c r="F34" s="575">
        <v>92365.385544999997</v>
      </c>
      <c r="G34" s="785">
        <v>687613.01379999996</v>
      </c>
      <c r="H34" s="197"/>
      <c r="I34" s="582"/>
      <c r="J34" s="582"/>
      <c r="K34" s="197"/>
      <c r="L34" s="197"/>
    </row>
    <row r="35" spans="1:12" ht="9.75" customHeight="1">
      <c r="A35" s="778" t="s">
        <v>102</v>
      </c>
      <c r="B35" s="714" t="s">
        <v>318</v>
      </c>
      <c r="C35" s="715">
        <v>5268.7304999999997</v>
      </c>
      <c r="D35" s="715"/>
      <c r="E35" s="715"/>
      <c r="F35" s="715">
        <v>5268.7304999999997</v>
      </c>
      <c r="G35" s="784">
        <v>30571.839000000007</v>
      </c>
      <c r="H35" s="197"/>
      <c r="I35" s="582"/>
      <c r="J35" s="582"/>
      <c r="K35" s="197"/>
      <c r="L35" s="197"/>
    </row>
    <row r="36" spans="1:12" ht="9.75" customHeight="1">
      <c r="A36" s="778"/>
      <c r="B36" s="714" t="s">
        <v>319</v>
      </c>
      <c r="C36" s="715">
        <v>3837.8760000000002</v>
      </c>
      <c r="D36" s="715"/>
      <c r="E36" s="715"/>
      <c r="F36" s="715">
        <v>3837.8760000000002</v>
      </c>
      <c r="G36" s="784">
        <v>21969.702000000008</v>
      </c>
      <c r="H36" s="197"/>
      <c r="I36" s="582"/>
      <c r="J36" s="582"/>
      <c r="K36" s="197"/>
      <c r="L36" s="197"/>
    </row>
    <row r="37" spans="1:12" ht="9.75" customHeight="1">
      <c r="A37" s="778"/>
      <c r="B37" s="714" t="s">
        <v>320</v>
      </c>
      <c r="C37" s="715"/>
      <c r="D37" s="715">
        <v>11124.534837499999</v>
      </c>
      <c r="E37" s="715"/>
      <c r="F37" s="715">
        <v>11124.534837499999</v>
      </c>
      <c r="G37" s="784">
        <v>56845.231897499994</v>
      </c>
      <c r="H37" s="197"/>
      <c r="I37" s="582"/>
      <c r="J37" s="582"/>
      <c r="K37" s="197"/>
      <c r="L37" s="197"/>
    </row>
    <row r="38" spans="1:12" ht="9.75" customHeight="1">
      <c r="A38" s="780" t="s">
        <v>321</v>
      </c>
      <c r="B38" s="574"/>
      <c r="C38" s="575">
        <v>9106.6064999999999</v>
      </c>
      <c r="D38" s="575">
        <v>11124.534837499999</v>
      </c>
      <c r="E38" s="575"/>
      <c r="F38" s="575">
        <v>20231.141337499997</v>
      </c>
      <c r="G38" s="785">
        <v>109386.77289750001</v>
      </c>
      <c r="H38" s="197"/>
      <c r="I38" s="582"/>
      <c r="J38" s="582"/>
      <c r="K38" s="197"/>
      <c r="L38" s="197"/>
    </row>
    <row r="39" spans="1:12" ht="9.75" customHeight="1">
      <c r="A39" s="778" t="s">
        <v>120</v>
      </c>
      <c r="B39" s="714" t="s">
        <v>76</v>
      </c>
      <c r="C39" s="715"/>
      <c r="D39" s="715"/>
      <c r="E39" s="715">
        <v>149.36512250000001</v>
      </c>
      <c r="F39" s="715">
        <v>149.36512250000001</v>
      </c>
      <c r="G39" s="784">
        <v>811.78871250000009</v>
      </c>
      <c r="H39" s="197"/>
      <c r="I39" s="582"/>
      <c r="J39" s="582"/>
      <c r="K39" s="197"/>
      <c r="L39" s="197"/>
    </row>
    <row r="40" spans="1:12" ht="9.75" customHeight="1">
      <c r="A40" s="780" t="s">
        <v>322</v>
      </c>
      <c r="B40" s="574"/>
      <c r="C40" s="575"/>
      <c r="D40" s="575"/>
      <c r="E40" s="575">
        <v>149.36512250000001</v>
      </c>
      <c r="F40" s="575">
        <v>149.36512250000001</v>
      </c>
      <c r="G40" s="785">
        <v>811.78871250000009</v>
      </c>
      <c r="H40" s="197"/>
      <c r="I40" s="582"/>
      <c r="J40" s="582"/>
      <c r="K40" s="197"/>
      <c r="L40" s="197"/>
    </row>
    <row r="41" spans="1:12" ht="9.75" customHeight="1">
      <c r="A41" s="778" t="s">
        <v>116</v>
      </c>
      <c r="B41" s="714" t="s">
        <v>74</v>
      </c>
      <c r="C41" s="715"/>
      <c r="D41" s="715"/>
      <c r="E41" s="715">
        <v>1872.6233400000001</v>
      </c>
      <c r="F41" s="715">
        <v>1872.6233400000001</v>
      </c>
      <c r="G41" s="784">
        <v>12107.893872499995</v>
      </c>
      <c r="H41" s="197"/>
      <c r="I41" s="582"/>
      <c r="J41" s="582"/>
      <c r="K41" s="197"/>
      <c r="L41" s="197"/>
    </row>
    <row r="42" spans="1:12" ht="9.75" customHeight="1">
      <c r="A42" s="780" t="s">
        <v>323</v>
      </c>
      <c r="B42" s="574"/>
      <c r="C42" s="575"/>
      <c r="D42" s="575"/>
      <c r="E42" s="575">
        <v>1872.6233400000001</v>
      </c>
      <c r="F42" s="575">
        <v>1872.6233400000001</v>
      </c>
      <c r="G42" s="785">
        <v>12107.893872499995</v>
      </c>
      <c r="H42" s="197"/>
      <c r="I42" s="582"/>
      <c r="J42" s="582"/>
      <c r="K42" s="197"/>
      <c r="L42" s="197"/>
    </row>
    <row r="43" spans="1:12" ht="9.75" customHeight="1">
      <c r="A43" s="778" t="s">
        <v>507</v>
      </c>
      <c r="B43" s="714" t="s">
        <v>572</v>
      </c>
      <c r="C43" s="715"/>
      <c r="D43" s="715"/>
      <c r="E43" s="715">
        <v>8218.2454450000005</v>
      </c>
      <c r="F43" s="715">
        <v>8218.2454450000005</v>
      </c>
      <c r="G43" s="784">
        <v>44681.045177499982</v>
      </c>
      <c r="H43" s="197"/>
      <c r="I43" s="582"/>
      <c r="J43" s="582"/>
      <c r="K43" s="197"/>
      <c r="L43" s="197"/>
    </row>
    <row r="44" spans="1:12" ht="9.75" customHeight="1">
      <c r="A44" s="780" t="s">
        <v>508</v>
      </c>
      <c r="B44" s="574"/>
      <c r="C44" s="575"/>
      <c r="D44" s="575"/>
      <c r="E44" s="575">
        <v>8218.2454450000005</v>
      </c>
      <c r="F44" s="575">
        <v>8218.2454450000005</v>
      </c>
      <c r="G44" s="785">
        <v>44681.045177499982</v>
      </c>
      <c r="H44" s="197"/>
      <c r="I44" s="582"/>
      <c r="J44" s="582"/>
      <c r="K44" s="197"/>
      <c r="L44" s="197"/>
    </row>
    <row r="45" spans="1:12" ht="9.75" customHeight="1">
      <c r="A45" s="778" t="s">
        <v>90</v>
      </c>
      <c r="B45" s="714" t="s">
        <v>324</v>
      </c>
      <c r="C45" s="715">
        <v>461671.09259999997</v>
      </c>
      <c r="D45" s="715"/>
      <c r="E45" s="715"/>
      <c r="F45" s="715">
        <v>461671.09259999997</v>
      </c>
      <c r="G45" s="784">
        <v>2716303.9422000046</v>
      </c>
      <c r="H45" s="197"/>
      <c r="I45" s="582"/>
      <c r="J45" s="582"/>
      <c r="K45" s="197"/>
      <c r="L45" s="197"/>
    </row>
    <row r="46" spans="1:12" ht="9.75" customHeight="1">
      <c r="A46" s="778"/>
      <c r="B46" s="714" t="s">
        <v>325</v>
      </c>
      <c r="C46" s="715">
        <v>144116.95487999998</v>
      </c>
      <c r="D46" s="715"/>
      <c r="E46" s="715"/>
      <c r="F46" s="715">
        <v>144116.95487999998</v>
      </c>
      <c r="G46" s="784">
        <v>862199.7672000014</v>
      </c>
      <c r="H46" s="197"/>
      <c r="I46" s="582"/>
      <c r="J46" s="582"/>
      <c r="K46" s="197"/>
      <c r="L46" s="197"/>
    </row>
    <row r="47" spans="1:12" ht="9.75" customHeight="1">
      <c r="A47" s="778"/>
      <c r="B47" s="714" t="s">
        <v>326</v>
      </c>
      <c r="C47" s="715"/>
      <c r="D47" s="715">
        <v>24.9114775</v>
      </c>
      <c r="E47" s="715"/>
      <c r="F47" s="715">
        <v>24.9114775</v>
      </c>
      <c r="G47" s="784">
        <v>89.529357500000003</v>
      </c>
      <c r="H47" s="197"/>
      <c r="I47" s="582"/>
      <c r="J47" s="582"/>
      <c r="K47" s="197"/>
      <c r="L47" s="197"/>
    </row>
    <row r="48" spans="1:12" ht="9.75" customHeight="1">
      <c r="A48" s="780" t="s">
        <v>327</v>
      </c>
      <c r="B48" s="574"/>
      <c r="C48" s="575">
        <v>605788.04747999995</v>
      </c>
      <c r="D48" s="575">
        <v>24.9114775</v>
      </c>
      <c r="E48" s="575"/>
      <c r="F48" s="575">
        <v>605812.95895749994</v>
      </c>
      <c r="G48" s="785">
        <v>3578593.238757506</v>
      </c>
      <c r="H48" s="197"/>
      <c r="I48" s="582"/>
      <c r="J48" s="582"/>
      <c r="K48" s="197"/>
      <c r="L48" s="197"/>
    </row>
    <row r="49" spans="1:12" ht="9.75" customHeight="1">
      <c r="A49" s="778" t="s">
        <v>249</v>
      </c>
      <c r="B49" s="714" t="s">
        <v>328</v>
      </c>
      <c r="C49" s="715">
        <v>98592.025112500007</v>
      </c>
      <c r="D49" s="715"/>
      <c r="E49" s="715"/>
      <c r="F49" s="715">
        <v>98592.025112500007</v>
      </c>
      <c r="G49" s="784">
        <v>1479706.5698199999</v>
      </c>
      <c r="H49" s="197"/>
      <c r="I49" s="582"/>
      <c r="J49" s="582"/>
      <c r="K49" s="197"/>
      <c r="L49" s="197"/>
    </row>
    <row r="50" spans="1:12" ht="9.75" customHeight="1">
      <c r="A50" s="778"/>
      <c r="B50" s="714" t="s">
        <v>329</v>
      </c>
      <c r="C50" s="715">
        <v>4481.2179100000003</v>
      </c>
      <c r="D50" s="715"/>
      <c r="E50" s="715"/>
      <c r="F50" s="715">
        <v>4481.2179100000003</v>
      </c>
      <c r="G50" s="784">
        <v>25390.672792499994</v>
      </c>
      <c r="H50" s="197"/>
      <c r="I50" s="582"/>
      <c r="J50" s="582"/>
      <c r="K50" s="197"/>
      <c r="L50" s="197"/>
    </row>
    <row r="51" spans="1:12" ht="9.75" customHeight="1">
      <c r="A51" s="780" t="s">
        <v>330</v>
      </c>
      <c r="B51" s="574"/>
      <c r="C51" s="575">
        <v>103073.24302250001</v>
      </c>
      <c r="D51" s="575"/>
      <c r="E51" s="575"/>
      <c r="F51" s="575">
        <v>103073.24302250001</v>
      </c>
      <c r="G51" s="785">
        <v>1505097.2426124997</v>
      </c>
      <c r="H51" s="197"/>
      <c r="I51" s="582"/>
      <c r="J51" s="582"/>
      <c r="K51" s="197"/>
      <c r="L51" s="197"/>
    </row>
    <row r="52" spans="1:12" ht="9.75" customHeight="1">
      <c r="A52" s="778" t="s">
        <v>250</v>
      </c>
      <c r="B52" s="714" t="s">
        <v>331</v>
      </c>
      <c r="C52" s="715">
        <v>32757.448445000002</v>
      </c>
      <c r="D52" s="715"/>
      <c r="E52" s="715"/>
      <c r="F52" s="715">
        <v>32757.448445000002</v>
      </c>
      <c r="G52" s="784">
        <v>191322.68517000001</v>
      </c>
      <c r="H52" s="197"/>
      <c r="I52" s="582"/>
      <c r="J52" s="582"/>
      <c r="K52" s="197"/>
      <c r="L52" s="197"/>
    </row>
    <row r="53" spans="1:12" ht="9.75" customHeight="1">
      <c r="A53" s="780" t="s">
        <v>332</v>
      </c>
      <c r="B53" s="574"/>
      <c r="C53" s="575">
        <v>32757.448445000002</v>
      </c>
      <c r="D53" s="575"/>
      <c r="E53" s="575"/>
      <c r="F53" s="575">
        <v>32757.448445000002</v>
      </c>
      <c r="G53" s="785">
        <v>191322.68517000001</v>
      </c>
      <c r="H53" s="111"/>
      <c r="I53" s="488"/>
      <c r="J53" s="582"/>
      <c r="K53" s="197"/>
      <c r="L53" s="197"/>
    </row>
    <row r="54" spans="1:12" ht="9.75" customHeight="1">
      <c r="A54" s="778" t="s">
        <v>251</v>
      </c>
      <c r="B54" s="714" t="s">
        <v>61</v>
      </c>
      <c r="C54" s="715"/>
      <c r="D54" s="715"/>
      <c r="E54" s="715">
        <v>3636.9585575000001</v>
      </c>
      <c r="F54" s="715">
        <v>3636.9585575000001</v>
      </c>
      <c r="G54" s="784">
        <v>60504.975987500038</v>
      </c>
      <c r="H54" s="111"/>
      <c r="I54" s="488"/>
      <c r="J54" s="582"/>
      <c r="K54" s="197"/>
      <c r="L54" s="197"/>
    </row>
    <row r="55" spans="1:12" ht="9.75" customHeight="1">
      <c r="A55" s="778"/>
      <c r="B55" s="714" t="s">
        <v>58</v>
      </c>
      <c r="C55" s="715"/>
      <c r="D55" s="715"/>
      <c r="E55" s="715">
        <v>5380.5592100000003</v>
      </c>
      <c r="F55" s="715">
        <v>5380.5592100000003</v>
      </c>
      <c r="G55" s="784">
        <v>72678.839244999996</v>
      </c>
      <c r="H55" s="111"/>
      <c r="I55" s="488"/>
      <c r="J55" s="582"/>
      <c r="K55" s="197"/>
      <c r="L55" s="197"/>
    </row>
    <row r="56" spans="1:12" ht="9.75" customHeight="1">
      <c r="A56" s="780" t="s">
        <v>333</v>
      </c>
      <c r="B56" s="574"/>
      <c r="C56" s="575"/>
      <c r="D56" s="575"/>
      <c r="E56" s="575">
        <v>9017.5177675000014</v>
      </c>
      <c r="F56" s="575">
        <v>9017.5177675000014</v>
      </c>
      <c r="G56" s="785">
        <v>133183.81523250003</v>
      </c>
      <c r="H56" s="111"/>
      <c r="I56" s="488"/>
      <c r="J56" s="582"/>
      <c r="K56" s="197"/>
      <c r="L56" s="197"/>
    </row>
    <row r="57" spans="1:12" ht="9.75" customHeight="1">
      <c r="A57" s="778" t="s">
        <v>89</v>
      </c>
      <c r="B57" s="714" t="s">
        <v>570</v>
      </c>
      <c r="C57" s="715">
        <v>44055.7305175</v>
      </c>
      <c r="D57" s="715"/>
      <c r="E57" s="715"/>
      <c r="F57" s="715">
        <v>44055.7305175</v>
      </c>
      <c r="G57" s="784">
        <v>190879.56437749998</v>
      </c>
      <c r="H57" s="111"/>
      <c r="I57" s="488"/>
      <c r="J57" s="582"/>
      <c r="K57" s="197"/>
      <c r="L57" s="197"/>
    </row>
    <row r="58" spans="1:12" ht="9.75" customHeight="1">
      <c r="A58" s="778"/>
      <c r="B58" s="714" t="s">
        <v>334</v>
      </c>
      <c r="C58" s="715">
        <v>12593.0531575</v>
      </c>
      <c r="D58" s="715"/>
      <c r="E58" s="715"/>
      <c r="F58" s="715">
        <v>12593.0531575</v>
      </c>
      <c r="G58" s="784">
        <v>108838.98908499999</v>
      </c>
      <c r="H58" s="198"/>
      <c r="I58" s="582"/>
      <c r="J58" s="582"/>
      <c r="K58" s="197"/>
      <c r="L58" s="197"/>
    </row>
    <row r="59" spans="1:12" ht="9.75" customHeight="1">
      <c r="A59" s="778"/>
      <c r="B59" s="714" t="s">
        <v>335</v>
      </c>
      <c r="C59" s="715">
        <v>82367.513065000006</v>
      </c>
      <c r="D59" s="715"/>
      <c r="E59" s="715"/>
      <c r="F59" s="715">
        <v>82367.513065000006</v>
      </c>
      <c r="G59" s="784">
        <v>661661.53157999995</v>
      </c>
      <c r="H59" s="198"/>
      <c r="I59" s="582"/>
      <c r="J59" s="582"/>
      <c r="K59" s="197"/>
      <c r="L59" s="197"/>
    </row>
    <row r="60" spans="1:12" ht="9.75" customHeight="1">
      <c r="A60" s="778"/>
      <c r="B60" s="714" t="s">
        <v>336</v>
      </c>
      <c r="C60" s="715">
        <v>57622.23921</v>
      </c>
      <c r="D60" s="715"/>
      <c r="E60" s="715"/>
      <c r="F60" s="715">
        <v>57622.23921</v>
      </c>
      <c r="G60" s="784">
        <v>493379.85401250015</v>
      </c>
      <c r="H60" s="198"/>
      <c r="I60" s="582"/>
      <c r="J60" s="582"/>
      <c r="K60" s="197"/>
      <c r="L60" s="197"/>
    </row>
    <row r="61" spans="1:12" ht="9.75" customHeight="1">
      <c r="A61" s="778"/>
      <c r="B61" s="714" t="s">
        <v>337</v>
      </c>
      <c r="C61" s="715">
        <v>45015.773492500004</v>
      </c>
      <c r="D61" s="715"/>
      <c r="E61" s="715"/>
      <c r="F61" s="715">
        <v>45015.773492500004</v>
      </c>
      <c r="G61" s="784">
        <v>261111.54771749995</v>
      </c>
      <c r="H61" s="198"/>
      <c r="I61" s="582"/>
      <c r="J61" s="582"/>
      <c r="K61" s="197"/>
      <c r="L61" s="197"/>
    </row>
    <row r="62" spans="1:12" ht="9.75" customHeight="1">
      <c r="A62" s="778"/>
      <c r="B62" s="714" t="s">
        <v>338</v>
      </c>
      <c r="C62" s="715"/>
      <c r="D62" s="715">
        <v>65.347239999999999</v>
      </c>
      <c r="E62" s="715"/>
      <c r="F62" s="715">
        <v>65.347239999999999</v>
      </c>
      <c r="G62" s="784">
        <v>42708.709299999995</v>
      </c>
      <c r="H62" s="198"/>
      <c r="I62" s="582"/>
      <c r="J62" s="582"/>
      <c r="K62" s="197"/>
      <c r="L62" s="197"/>
    </row>
    <row r="63" spans="1:12" ht="9.75" customHeight="1">
      <c r="A63" s="778"/>
      <c r="B63" s="714" t="s">
        <v>339</v>
      </c>
      <c r="C63" s="715"/>
      <c r="D63" s="715">
        <v>55455.753442499998</v>
      </c>
      <c r="E63" s="715"/>
      <c r="F63" s="715">
        <v>55455.753442499998</v>
      </c>
      <c r="G63" s="784">
        <v>191958.32114749998</v>
      </c>
      <c r="H63" s="198"/>
      <c r="I63" s="582"/>
      <c r="J63" s="582"/>
      <c r="K63" s="197"/>
      <c r="L63" s="197"/>
    </row>
    <row r="64" spans="1:12" ht="9.75" customHeight="1">
      <c r="A64" s="778"/>
      <c r="B64" s="714" t="s">
        <v>340</v>
      </c>
      <c r="C64" s="715"/>
      <c r="D64" s="715">
        <v>309236.27431499999</v>
      </c>
      <c r="E64" s="715"/>
      <c r="F64" s="715">
        <v>309236.27431499999</v>
      </c>
      <c r="G64" s="784">
        <v>1357673.1463875005</v>
      </c>
      <c r="I64" s="360"/>
      <c r="J64" s="582"/>
      <c r="K64" s="197"/>
      <c r="L64" s="197"/>
    </row>
    <row r="65" spans="1:12" ht="9.75" customHeight="1">
      <c r="A65" s="778"/>
      <c r="B65" s="714" t="s">
        <v>494</v>
      </c>
      <c r="C65" s="715"/>
      <c r="D65" s="715"/>
      <c r="E65" s="715">
        <v>288.58421249999998</v>
      </c>
      <c r="F65" s="715">
        <v>288.58421249999998</v>
      </c>
      <c r="G65" s="784">
        <v>1742.1129249999994</v>
      </c>
      <c r="I65" s="360"/>
      <c r="J65" s="582"/>
      <c r="K65" s="197"/>
      <c r="L65" s="197"/>
    </row>
    <row r="66" spans="1:12" ht="9.75" customHeight="1">
      <c r="A66" s="780" t="s">
        <v>341</v>
      </c>
      <c r="B66" s="574"/>
      <c r="C66" s="575">
        <v>241654.30944250003</v>
      </c>
      <c r="D66" s="575">
        <v>364757.37499749998</v>
      </c>
      <c r="E66" s="575">
        <v>288.58421249999998</v>
      </c>
      <c r="F66" s="575">
        <v>606700.2686525</v>
      </c>
      <c r="G66" s="785">
        <v>3309953.7765325005</v>
      </c>
      <c r="I66" s="360"/>
      <c r="J66" s="582"/>
      <c r="K66" s="197"/>
      <c r="L66" s="197"/>
    </row>
    <row r="67" spans="1:12" ht="9.75" customHeight="1">
      <c r="A67" s="778" t="s">
        <v>97</v>
      </c>
      <c r="B67" s="714" t="s">
        <v>342</v>
      </c>
      <c r="C67" s="715"/>
      <c r="D67" s="715">
        <v>82.151359999999997</v>
      </c>
      <c r="E67" s="715"/>
      <c r="F67" s="715">
        <v>82.151359999999997</v>
      </c>
      <c r="G67" s="784">
        <v>8875.1804575000006</v>
      </c>
      <c r="I67" s="360"/>
      <c r="J67" s="582"/>
      <c r="K67" s="197"/>
      <c r="L67" s="197"/>
    </row>
    <row r="68" spans="1:12" ht="9.75" customHeight="1">
      <c r="A68" s="778"/>
      <c r="B68" s="714" t="s">
        <v>343</v>
      </c>
      <c r="C68" s="715"/>
      <c r="D68" s="715">
        <v>1145.2822775</v>
      </c>
      <c r="E68" s="715"/>
      <c r="F68" s="715">
        <v>1145.2822775</v>
      </c>
      <c r="G68" s="784">
        <v>119044.23204999996</v>
      </c>
      <c r="I68" s="360"/>
      <c r="J68" s="582"/>
      <c r="K68" s="197"/>
      <c r="L68" s="197"/>
    </row>
    <row r="69" spans="1:12" ht="9.75" customHeight="1">
      <c r="A69" s="778"/>
      <c r="B69" s="714" t="s">
        <v>344</v>
      </c>
      <c r="C69" s="715"/>
      <c r="D69" s="715">
        <v>57641.573505</v>
      </c>
      <c r="E69" s="715"/>
      <c r="F69" s="715">
        <v>57641.573505</v>
      </c>
      <c r="G69" s="784">
        <v>168244.86280249999</v>
      </c>
      <c r="I69" s="360"/>
      <c r="J69" s="582"/>
      <c r="K69" s="197"/>
      <c r="L69" s="197"/>
    </row>
    <row r="70" spans="1:12" ht="9.75" customHeight="1">
      <c r="A70" s="780" t="s">
        <v>345</v>
      </c>
      <c r="B70" s="574"/>
      <c r="C70" s="575"/>
      <c r="D70" s="575">
        <v>58869.007142499999</v>
      </c>
      <c r="E70" s="575"/>
      <c r="F70" s="575">
        <v>58869.007142499999</v>
      </c>
      <c r="G70" s="785">
        <v>296164.27530999994</v>
      </c>
      <c r="I70" s="360"/>
      <c r="J70" s="582"/>
      <c r="K70" s="197"/>
      <c r="L70" s="197"/>
    </row>
    <row r="71" spans="1:12" ht="9.75" customHeight="1">
      <c r="A71" s="778" t="s">
        <v>99</v>
      </c>
      <c r="B71" s="714" t="s">
        <v>532</v>
      </c>
      <c r="C71" s="715"/>
      <c r="D71" s="715"/>
      <c r="E71" s="715">
        <v>29487.714509999998</v>
      </c>
      <c r="F71" s="715">
        <v>29487.714509999998</v>
      </c>
      <c r="G71" s="784">
        <v>185796.10691499995</v>
      </c>
      <c r="I71" s="360"/>
      <c r="J71" s="582"/>
      <c r="K71" s="197"/>
      <c r="L71" s="197"/>
    </row>
    <row r="72" spans="1:12" ht="9.75" customHeight="1">
      <c r="A72" s="778"/>
      <c r="B72" s="714" t="s">
        <v>531</v>
      </c>
      <c r="C72" s="715"/>
      <c r="D72" s="715"/>
      <c r="E72" s="715">
        <v>52934.5919325</v>
      </c>
      <c r="F72" s="715">
        <v>52934.5919325</v>
      </c>
      <c r="G72" s="784">
        <v>273415.04482999997</v>
      </c>
      <c r="I72" s="360"/>
      <c r="J72" s="582"/>
      <c r="K72" s="197"/>
      <c r="L72" s="197"/>
    </row>
    <row r="73" spans="1:12" ht="9.75" customHeight="1">
      <c r="A73" s="780" t="s">
        <v>346</v>
      </c>
      <c r="B73" s="574"/>
      <c r="C73" s="575"/>
      <c r="D73" s="575"/>
      <c r="E73" s="575">
        <v>82422.306442500005</v>
      </c>
      <c r="F73" s="575">
        <v>82422.306442500005</v>
      </c>
      <c r="G73" s="785">
        <v>459211.15174499992</v>
      </c>
      <c r="I73" s="360"/>
      <c r="J73" s="582"/>
      <c r="K73" s="197"/>
      <c r="L73" s="197"/>
    </row>
    <row r="74" spans="1:12" ht="9.75" customHeight="1">
      <c r="A74" s="778" t="s">
        <v>98</v>
      </c>
      <c r="B74" s="714" t="s">
        <v>78</v>
      </c>
      <c r="C74" s="715"/>
      <c r="D74" s="715"/>
      <c r="E74" s="715">
        <v>26913.110274999999</v>
      </c>
      <c r="F74" s="715">
        <v>26913.110274999999</v>
      </c>
      <c r="G74" s="784">
        <v>161464.34462499997</v>
      </c>
      <c r="I74" s="360"/>
      <c r="J74" s="582"/>
      <c r="K74" s="197"/>
      <c r="L74" s="197"/>
    </row>
    <row r="75" spans="1:12" ht="9.75" customHeight="1">
      <c r="A75" s="778"/>
      <c r="B75" s="714" t="s">
        <v>80</v>
      </c>
      <c r="C75" s="715"/>
      <c r="D75" s="715"/>
      <c r="E75" s="715">
        <v>14476.99108</v>
      </c>
      <c r="F75" s="715">
        <v>14476.99108</v>
      </c>
      <c r="G75" s="784">
        <v>51585.911214999993</v>
      </c>
      <c r="I75" s="360"/>
      <c r="J75" s="582"/>
      <c r="K75" s="197"/>
      <c r="L75" s="197"/>
    </row>
    <row r="76" spans="1:12" ht="9.75" customHeight="1">
      <c r="A76" s="798" t="s">
        <v>347</v>
      </c>
      <c r="B76" s="724"/>
      <c r="C76" s="725"/>
      <c r="D76" s="725"/>
      <c r="E76" s="725">
        <v>41390.101354999999</v>
      </c>
      <c r="F76" s="725">
        <v>41390.101354999999</v>
      </c>
      <c r="G76" s="799">
        <v>213050.25583999997</v>
      </c>
    </row>
    <row r="77" spans="1:12" ht="9.75" customHeight="1">
      <c r="A77" s="360"/>
      <c r="B77" s="360"/>
      <c r="C77" s="476"/>
      <c r="D77" s="476"/>
      <c r="E77" s="476"/>
      <c r="F77" s="360"/>
      <c r="G77" s="360"/>
    </row>
    <row r="78" spans="1:12" ht="9.75" customHeight="1">
      <c r="A78" s="360"/>
      <c r="B78" s="360"/>
      <c r="C78" s="476"/>
      <c r="D78" s="476"/>
      <c r="E78" s="476"/>
      <c r="F78" s="360"/>
      <c r="G78" s="360"/>
    </row>
    <row r="79" spans="1:12" ht="9.75" customHeight="1">
      <c r="A79" s="360"/>
      <c r="B79" s="360"/>
      <c r="C79" s="476"/>
      <c r="D79" s="476"/>
      <c r="E79" s="476"/>
      <c r="F79" s="360"/>
      <c r="G79" s="360"/>
    </row>
    <row r="80" spans="1:12" ht="9.75" customHeight="1">
      <c r="A80" s="360"/>
      <c r="B80" s="360"/>
      <c r="C80" s="476"/>
      <c r="D80" s="476"/>
      <c r="E80" s="476"/>
      <c r="F80" s="360"/>
      <c r="G80" s="360"/>
    </row>
    <row r="81" spans="1:7" ht="9.75" customHeight="1">
      <c r="A81" s="360"/>
      <c r="B81" s="360"/>
      <c r="C81" s="476"/>
      <c r="D81" s="476"/>
      <c r="E81" s="476"/>
      <c r="F81" s="360"/>
      <c r="G81" s="360"/>
    </row>
    <row r="82" spans="1:7" ht="9.75" customHeight="1">
      <c r="A82" s="360"/>
      <c r="B82" s="360"/>
      <c r="C82" s="476"/>
      <c r="D82" s="476"/>
      <c r="E82" s="476"/>
      <c r="F82" s="360"/>
      <c r="G82" s="360"/>
    </row>
    <row r="83" spans="1:7" ht="9.75" customHeight="1">
      <c r="A83" s="360"/>
      <c r="B83" s="360"/>
      <c r="C83" s="476"/>
      <c r="D83" s="476"/>
      <c r="E83" s="476"/>
      <c r="F83" s="360"/>
      <c r="G83" s="360"/>
    </row>
    <row r="84" spans="1:7" ht="9.75" customHeight="1">
      <c r="A84" s="360"/>
      <c r="B84" s="360"/>
      <c r="C84" s="476"/>
      <c r="D84" s="476"/>
      <c r="E84" s="476"/>
      <c r="F84" s="360"/>
      <c r="G84" s="360"/>
    </row>
    <row r="85" spans="1:7" ht="9.75" customHeight="1">
      <c r="A85" s="360"/>
      <c r="B85" s="360"/>
      <c r="C85" s="476"/>
      <c r="D85" s="476"/>
      <c r="E85" s="476"/>
      <c r="F85" s="360"/>
      <c r="G85" s="360"/>
    </row>
    <row r="86" spans="1:7" ht="9.75" customHeight="1">
      <c r="A86" s="360"/>
      <c r="B86" s="360"/>
      <c r="C86" s="476"/>
      <c r="D86" s="476"/>
      <c r="E86" s="476"/>
      <c r="F86" s="360"/>
      <c r="G86" s="360"/>
    </row>
    <row r="87" spans="1:7" ht="9.75" customHeight="1">
      <c r="A87" s="360"/>
      <c r="B87" s="360"/>
      <c r="C87" s="476"/>
      <c r="D87" s="476"/>
      <c r="E87" s="476"/>
      <c r="F87" s="360"/>
      <c r="G87" s="360"/>
    </row>
    <row r="88" spans="1:7" ht="9.75" customHeight="1">
      <c r="A88" s="360"/>
      <c r="B88" s="360"/>
      <c r="C88" s="476"/>
      <c r="D88" s="476"/>
      <c r="E88" s="476"/>
      <c r="F88" s="360"/>
      <c r="G88" s="360"/>
    </row>
    <row r="89" spans="1:7" ht="9.75" customHeight="1">
      <c r="A89" s="360"/>
      <c r="B89" s="360"/>
      <c r="C89" s="476"/>
      <c r="D89" s="476"/>
      <c r="E89" s="476"/>
      <c r="F89" s="360"/>
      <c r="G89" s="360"/>
    </row>
    <row r="90" spans="1:7" ht="9.75" customHeight="1">
      <c r="A90" s="360"/>
      <c r="B90" s="360"/>
      <c r="C90" s="476"/>
      <c r="D90" s="476"/>
      <c r="E90" s="476"/>
      <c r="F90" s="360"/>
      <c r="G90" s="360"/>
    </row>
    <row r="91" spans="1:7" ht="9.75" customHeight="1">
      <c r="A91" s="360"/>
      <c r="B91" s="360"/>
      <c r="C91" s="476"/>
      <c r="D91" s="476"/>
      <c r="E91" s="476"/>
      <c r="F91" s="360"/>
      <c r="G91" s="360"/>
    </row>
    <row r="92" spans="1:7" ht="9.75" customHeight="1">
      <c r="A92" s="360"/>
      <c r="B92" s="360"/>
      <c r="C92" s="476"/>
      <c r="D92" s="476"/>
      <c r="E92" s="476"/>
      <c r="F92" s="360"/>
      <c r="G92" s="360"/>
    </row>
    <row r="93" spans="1:7" ht="9.75" customHeight="1">
      <c r="A93" s="360"/>
      <c r="B93" s="360"/>
      <c r="C93" s="476"/>
      <c r="D93" s="476"/>
      <c r="E93" s="476"/>
      <c r="F93" s="360"/>
      <c r="G93" s="360"/>
    </row>
    <row r="94" spans="1:7" ht="9.75" customHeight="1">
      <c r="A94" s="360"/>
      <c r="B94" s="360"/>
      <c r="C94" s="476"/>
      <c r="D94" s="476"/>
      <c r="E94" s="476"/>
      <c r="F94" s="360"/>
      <c r="G94" s="360"/>
    </row>
    <row r="95" spans="1:7" ht="9.75" customHeight="1">
      <c r="A95" s="360"/>
      <c r="B95" s="360"/>
      <c r="C95" s="476"/>
      <c r="D95" s="476"/>
      <c r="E95" s="476"/>
      <c r="F95" s="360"/>
      <c r="G95" s="360"/>
    </row>
    <row r="96" spans="1:7" ht="9.75" customHeight="1">
      <c r="A96" s="360"/>
      <c r="B96" s="360"/>
      <c r="C96" s="476"/>
      <c r="D96" s="476"/>
      <c r="E96" s="476"/>
      <c r="F96" s="360"/>
      <c r="G96" s="360"/>
    </row>
    <row r="97" spans="1:7" ht="9.75" customHeight="1">
      <c r="A97" s="360"/>
      <c r="B97" s="360"/>
      <c r="C97" s="476"/>
      <c r="D97" s="476"/>
      <c r="E97" s="476"/>
      <c r="F97" s="360"/>
      <c r="G97" s="360"/>
    </row>
    <row r="98" spans="1:7" ht="9.75" customHeight="1">
      <c r="A98" s="360"/>
      <c r="B98" s="360"/>
      <c r="C98" s="476"/>
      <c r="D98" s="476"/>
      <c r="E98" s="476"/>
      <c r="F98" s="360"/>
      <c r="G98" s="360"/>
    </row>
    <row r="99" spans="1:7" ht="9.75" customHeight="1">
      <c r="A99" s="360"/>
      <c r="B99" s="360"/>
      <c r="C99" s="476"/>
      <c r="D99" s="476"/>
      <c r="E99" s="476"/>
      <c r="F99" s="360"/>
      <c r="G99" s="360"/>
    </row>
    <row r="100" spans="1:7" ht="9.75" customHeight="1">
      <c r="A100" s="360"/>
      <c r="B100" s="360"/>
      <c r="C100" s="476"/>
      <c r="D100" s="476"/>
      <c r="E100" s="476"/>
      <c r="F100" s="360"/>
      <c r="G100" s="360"/>
    </row>
    <row r="101" spans="1:7" ht="9.75" customHeight="1">
      <c r="A101" s="360"/>
      <c r="B101" s="360"/>
      <c r="C101" s="476"/>
      <c r="D101" s="476"/>
      <c r="E101" s="476"/>
      <c r="F101" s="360"/>
      <c r="G101" s="360"/>
    </row>
    <row r="102" spans="1:7" ht="9.75" customHeight="1">
      <c r="A102" s="360"/>
      <c r="B102" s="360"/>
      <c r="C102" s="476"/>
      <c r="D102" s="476"/>
      <c r="E102" s="476"/>
      <c r="F102" s="360"/>
      <c r="G102" s="360"/>
    </row>
    <row r="103" spans="1:7" ht="9.75" customHeight="1">
      <c r="A103" s="360"/>
      <c r="B103" s="360"/>
      <c r="C103" s="476"/>
      <c r="D103" s="476"/>
      <c r="E103" s="476"/>
      <c r="F103" s="360"/>
      <c r="G103" s="360"/>
    </row>
    <row r="104" spans="1:7" ht="9.75" customHeight="1">
      <c r="A104" s="360"/>
      <c r="B104" s="360"/>
      <c r="C104" s="476"/>
      <c r="D104" s="476"/>
      <c r="E104" s="476"/>
      <c r="F104" s="360"/>
      <c r="G104" s="360"/>
    </row>
    <row r="105" spans="1:7" ht="9.75" customHeight="1">
      <c r="A105" s="360"/>
      <c r="B105" s="360"/>
      <c r="C105" s="476"/>
      <c r="D105" s="476"/>
      <c r="E105" s="476"/>
      <c r="F105" s="360"/>
      <c r="G105" s="360"/>
    </row>
    <row r="106" spans="1:7" ht="9.75" customHeight="1">
      <c r="A106" s="360"/>
      <c r="B106" s="360"/>
      <c r="C106" s="476"/>
      <c r="D106" s="476"/>
      <c r="E106" s="476"/>
      <c r="F106" s="360"/>
      <c r="G106" s="360"/>
    </row>
    <row r="107" spans="1:7" ht="9.75" customHeight="1">
      <c r="A107" s="360"/>
      <c r="B107" s="360"/>
      <c r="C107" s="476"/>
      <c r="D107" s="476"/>
      <c r="E107" s="476"/>
      <c r="F107" s="360"/>
      <c r="G107" s="360"/>
    </row>
    <row r="108" spans="1:7" ht="9.75" customHeight="1">
      <c r="A108" s="360"/>
      <c r="B108" s="360"/>
      <c r="C108" s="476"/>
      <c r="D108" s="476"/>
      <c r="E108" s="476"/>
      <c r="F108" s="360"/>
      <c r="G108" s="360"/>
    </row>
    <row r="109" spans="1:7" ht="9.75" customHeight="1">
      <c r="A109" s="360"/>
      <c r="B109" s="360"/>
      <c r="C109" s="476"/>
      <c r="D109" s="476"/>
      <c r="E109" s="476"/>
      <c r="F109" s="360"/>
      <c r="G109" s="360"/>
    </row>
    <row r="110" spans="1:7" ht="9.75" customHeight="1">
      <c r="A110" s="360"/>
      <c r="B110" s="360"/>
      <c r="C110" s="476"/>
      <c r="D110" s="476"/>
      <c r="E110" s="476"/>
      <c r="F110" s="360"/>
      <c r="G110" s="360"/>
    </row>
    <row r="111" spans="1:7" ht="9.75" customHeight="1">
      <c r="A111" s="360"/>
      <c r="B111" s="360"/>
      <c r="C111" s="476"/>
      <c r="D111" s="476"/>
      <c r="E111" s="476"/>
      <c r="F111" s="360"/>
      <c r="G111" s="360"/>
    </row>
    <row r="112" spans="1:7" ht="9.75" customHeight="1">
      <c r="A112" s="360"/>
      <c r="B112" s="360"/>
      <c r="C112" s="476"/>
      <c r="D112" s="476"/>
      <c r="E112" s="476"/>
      <c r="F112" s="360"/>
      <c r="G112" s="360"/>
    </row>
    <row r="113" spans="1:7" ht="9.75" customHeight="1">
      <c r="A113" s="360"/>
      <c r="B113" s="360"/>
      <c r="C113" s="476"/>
      <c r="D113" s="476"/>
      <c r="E113" s="476"/>
      <c r="F113" s="360"/>
      <c r="G113" s="360"/>
    </row>
    <row r="114" spans="1:7" ht="9.75" customHeight="1">
      <c r="A114" s="360"/>
      <c r="B114" s="360"/>
      <c r="C114" s="476"/>
      <c r="D114" s="476"/>
      <c r="E114" s="476"/>
      <c r="F114" s="360"/>
      <c r="G114" s="360"/>
    </row>
    <row r="115" spans="1:7" ht="9.75" customHeight="1">
      <c r="A115" s="360"/>
      <c r="B115" s="360"/>
      <c r="C115" s="476"/>
      <c r="D115" s="476"/>
      <c r="E115" s="476"/>
      <c r="F115" s="360"/>
      <c r="G115" s="360"/>
    </row>
    <row r="116" spans="1:7" ht="9.75" customHeight="1">
      <c r="A116" s="360"/>
      <c r="B116" s="360"/>
      <c r="C116" s="476"/>
      <c r="D116" s="476"/>
      <c r="E116" s="476"/>
      <c r="F116" s="360"/>
      <c r="G116" s="360"/>
    </row>
    <row r="117" spans="1:7" ht="9.75" customHeight="1">
      <c r="A117" s="360"/>
      <c r="B117" s="360"/>
      <c r="C117" s="476"/>
      <c r="D117" s="476"/>
      <c r="E117" s="476"/>
      <c r="F117" s="360"/>
      <c r="G117" s="360"/>
    </row>
    <row r="118" spans="1:7" ht="9.75" customHeight="1">
      <c r="A118" s="360"/>
      <c r="B118" s="360"/>
      <c r="C118" s="476"/>
      <c r="D118" s="476"/>
      <c r="E118" s="476"/>
      <c r="F118" s="360"/>
      <c r="G118" s="360"/>
    </row>
    <row r="119" spans="1:7" ht="9.75" customHeight="1">
      <c r="A119" s="360"/>
      <c r="B119" s="360"/>
      <c r="C119" s="476"/>
      <c r="D119" s="476"/>
      <c r="E119" s="476"/>
      <c r="F119" s="360"/>
      <c r="G119" s="360"/>
    </row>
    <row r="120" spans="1:7" ht="9.75" customHeight="1">
      <c r="A120" s="360"/>
      <c r="B120" s="360"/>
      <c r="C120" s="476"/>
      <c r="D120" s="476"/>
      <c r="E120" s="476"/>
      <c r="F120" s="360"/>
      <c r="G120" s="360"/>
    </row>
    <row r="121" spans="1:7" ht="9.75" customHeight="1">
      <c r="A121" s="360"/>
      <c r="B121" s="360"/>
      <c r="C121" s="476"/>
      <c r="D121" s="476"/>
      <c r="E121" s="476"/>
      <c r="F121" s="360"/>
      <c r="G121" s="360"/>
    </row>
    <row r="122" spans="1:7" ht="9.75" customHeight="1">
      <c r="A122" s="360"/>
      <c r="B122" s="360"/>
      <c r="C122" s="476"/>
      <c r="D122" s="476"/>
      <c r="E122" s="476"/>
      <c r="F122" s="360"/>
      <c r="G122" s="360"/>
    </row>
    <row r="123" spans="1:7" ht="9.75" customHeight="1">
      <c r="A123" s="360"/>
      <c r="B123" s="360"/>
      <c r="C123" s="476"/>
      <c r="D123" s="476"/>
      <c r="E123" s="476"/>
      <c r="F123" s="360"/>
      <c r="G123" s="360"/>
    </row>
    <row r="124" spans="1:7" ht="9.75" customHeight="1">
      <c r="A124" s="360"/>
      <c r="B124" s="360"/>
      <c r="C124" s="476"/>
      <c r="D124" s="476"/>
      <c r="E124" s="476"/>
      <c r="F124" s="360"/>
      <c r="G124" s="360"/>
    </row>
    <row r="125" spans="1:7" ht="9.75" customHeight="1">
      <c r="A125" s="360"/>
      <c r="B125" s="360"/>
      <c r="C125" s="476"/>
      <c r="D125" s="476"/>
      <c r="E125" s="476"/>
      <c r="F125" s="360"/>
      <c r="G125" s="360"/>
    </row>
    <row r="126" spans="1:7" ht="9.75" customHeight="1">
      <c r="A126" s="360"/>
      <c r="B126" s="360"/>
      <c r="C126" s="476"/>
      <c r="D126" s="476"/>
      <c r="E126" s="476"/>
      <c r="F126" s="360"/>
      <c r="G126" s="360"/>
    </row>
    <row r="127" spans="1:7" ht="9.75" customHeight="1">
      <c r="A127" s="360"/>
      <c r="B127" s="360"/>
      <c r="C127" s="476"/>
      <c r="D127" s="476"/>
      <c r="E127" s="476"/>
      <c r="F127" s="360"/>
      <c r="G127" s="360"/>
    </row>
    <row r="128" spans="1:7" ht="9.75" customHeight="1">
      <c r="A128" s="360"/>
      <c r="B128" s="360"/>
      <c r="C128" s="476"/>
      <c r="D128" s="476"/>
      <c r="E128" s="476"/>
      <c r="F128" s="360"/>
      <c r="G128" s="360"/>
    </row>
    <row r="129" spans="1:7" ht="9.75" customHeight="1">
      <c r="A129" s="360"/>
      <c r="B129" s="360"/>
      <c r="C129" s="476"/>
      <c r="D129" s="476"/>
      <c r="E129" s="476"/>
      <c r="F129" s="360"/>
      <c r="G129" s="360"/>
    </row>
    <row r="130" spans="1:7" ht="9.75" customHeight="1">
      <c r="A130" s="360"/>
      <c r="B130" s="360"/>
      <c r="C130" s="476"/>
      <c r="D130" s="476"/>
      <c r="E130" s="476"/>
      <c r="F130" s="360"/>
      <c r="G130" s="360"/>
    </row>
    <row r="131" spans="1:7" ht="9.75" customHeight="1">
      <c r="A131" s="360"/>
      <c r="B131" s="360"/>
      <c r="C131" s="476"/>
      <c r="D131" s="476"/>
      <c r="E131" s="476"/>
      <c r="F131" s="360"/>
      <c r="G131" s="360"/>
    </row>
    <row r="132" spans="1:7" ht="9.75" customHeight="1">
      <c r="A132" s="360"/>
      <c r="B132" s="360"/>
      <c r="C132" s="476"/>
      <c r="D132" s="476"/>
      <c r="E132" s="476"/>
      <c r="F132" s="360"/>
      <c r="G132" s="360"/>
    </row>
    <row r="133" spans="1:7" ht="9.75" customHeight="1">
      <c r="A133" s="360"/>
      <c r="B133" s="360"/>
      <c r="C133" s="476"/>
      <c r="D133" s="476"/>
      <c r="E133" s="476"/>
      <c r="F133" s="360"/>
      <c r="G133" s="360"/>
    </row>
    <row r="134" spans="1:7" ht="9.75" customHeight="1">
      <c r="A134" s="360"/>
      <c r="B134" s="360"/>
      <c r="C134" s="476"/>
      <c r="D134" s="476"/>
      <c r="E134" s="476"/>
      <c r="F134" s="360"/>
      <c r="G134" s="360"/>
    </row>
    <row r="135" spans="1:7" ht="9.75" customHeight="1">
      <c r="A135" s="360"/>
      <c r="B135" s="360"/>
      <c r="C135" s="476"/>
      <c r="D135" s="476"/>
      <c r="E135" s="476"/>
      <c r="F135" s="360"/>
      <c r="G135" s="360"/>
    </row>
    <row r="136" spans="1:7" ht="9.75" customHeight="1">
      <c r="A136" s="360"/>
      <c r="B136" s="360"/>
      <c r="C136" s="476"/>
      <c r="D136" s="476"/>
      <c r="E136" s="476"/>
      <c r="F136" s="360"/>
      <c r="G136" s="360"/>
    </row>
    <row r="137" spans="1:7" ht="9.75" customHeight="1">
      <c r="A137" s="360"/>
      <c r="B137" s="360"/>
      <c r="C137" s="476"/>
      <c r="D137" s="476"/>
      <c r="E137" s="476"/>
      <c r="F137" s="360"/>
      <c r="G137" s="360"/>
    </row>
    <row r="138" spans="1:7" ht="9.75" customHeight="1">
      <c r="A138" s="360"/>
      <c r="B138" s="360"/>
      <c r="C138" s="476"/>
      <c r="D138" s="476"/>
      <c r="E138" s="476"/>
      <c r="F138" s="360"/>
      <c r="G138" s="360"/>
    </row>
    <row r="139" spans="1:7" ht="9.75" customHeight="1">
      <c r="A139" s="360"/>
      <c r="B139" s="360"/>
      <c r="C139" s="476"/>
      <c r="D139" s="476"/>
      <c r="E139" s="476"/>
      <c r="F139" s="360"/>
      <c r="G139" s="360"/>
    </row>
    <row r="140" spans="1:7" ht="9.75" customHeight="1">
      <c r="A140" s="360"/>
      <c r="B140" s="360"/>
      <c r="C140" s="476"/>
      <c r="D140" s="476"/>
      <c r="E140" s="476"/>
      <c r="F140" s="360"/>
      <c r="G140" s="360"/>
    </row>
    <row r="141" spans="1:7" ht="9.75" customHeight="1">
      <c r="A141" s="360"/>
      <c r="B141" s="360"/>
      <c r="C141" s="476"/>
      <c r="D141" s="476"/>
      <c r="E141" s="476"/>
      <c r="F141" s="360"/>
      <c r="G141" s="360"/>
    </row>
    <row r="142" spans="1:7" ht="9.75" customHeight="1">
      <c r="A142" s="360"/>
      <c r="B142" s="360"/>
      <c r="C142" s="476"/>
      <c r="D142" s="476"/>
      <c r="E142" s="476"/>
      <c r="F142" s="360"/>
      <c r="G142" s="360"/>
    </row>
    <row r="143" spans="1:7" ht="9.75" customHeight="1">
      <c r="A143" s="360"/>
      <c r="B143" s="360"/>
      <c r="C143" s="476"/>
      <c r="D143" s="476"/>
      <c r="E143" s="476"/>
      <c r="F143" s="360"/>
      <c r="G143" s="360"/>
    </row>
    <row r="144" spans="1:7" ht="9.75" customHeight="1">
      <c r="A144" s="360"/>
      <c r="B144" s="360"/>
      <c r="C144" s="476"/>
      <c r="D144" s="476"/>
      <c r="E144" s="476"/>
      <c r="F144" s="360"/>
      <c r="G144" s="360"/>
    </row>
    <row r="145" spans="1:7" ht="9.75" customHeight="1">
      <c r="A145" s="360"/>
      <c r="B145" s="360"/>
      <c r="C145" s="476"/>
      <c r="D145" s="476"/>
      <c r="E145" s="476"/>
      <c r="F145" s="360"/>
      <c r="G145" s="360"/>
    </row>
    <row r="146" spans="1:7" ht="9.75" customHeight="1">
      <c r="A146" s="360"/>
      <c r="B146" s="360"/>
      <c r="C146" s="476"/>
      <c r="D146" s="476"/>
      <c r="E146" s="476"/>
      <c r="F146" s="360"/>
      <c r="G146" s="360"/>
    </row>
    <row r="147" spans="1:7" ht="9.75" customHeight="1">
      <c r="A147" s="360"/>
      <c r="B147" s="360"/>
      <c r="C147" s="476"/>
      <c r="D147" s="476"/>
      <c r="E147" s="476"/>
      <c r="F147" s="360"/>
      <c r="G147" s="360"/>
    </row>
    <row r="148" spans="1:7" ht="9.75" customHeight="1">
      <c r="A148" s="360"/>
      <c r="B148" s="360"/>
      <c r="C148" s="476"/>
      <c r="D148" s="476"/>
      <c r="E148" s="476"/>
      <c r="F148" s="360"/>
      <c r="G148" s="360"/>
    </row>
    <row r="149" spans="1:7" ht="9.75" customHeight="1">
      <c r="A149" s="360"/>
      <c r="B149" s="360"/>
      <c r="C149" s="476"/>
      <c r="D149" s="476"/>
      <c r="E149" s="476"/>
      <c r="F149" s="360"/>
      <c r="G149" s="360"/>
    </row>
    <row r="150" spans="1:7" ht="9.75" customHeight="1">
      <c r="A150" s="360"/>
      <c r="B150" s="360"/>
      <c r="C150" s="476"/>
      <c r="D150" s="476"/>
      <c r="E150" s="476"/>
      <c r="F150" s="360"/>
      <c r="G150" s="360"/>
    </row>
    <row r="151" spans="1:7" ht="9.75" customHeight="1">
      <c r="A151" s="360"/>
      <c r="B151" s="360"/>
      <c r="C151" s="476"/>
      <c r="D151" s="476"/>
      <c r="E151" s="476"/>
      <c r="F151" s="360"/>
      <c r="G151" s="360"/>
    </row>
    <row r="152" spans="1:7" ht="9.75" customHeight="1">
      <c r="A152" s="360"/>
      <c r="B152" s="360"/>
      <c r="C152" s="476"/>
      <c r="D152" s="476"/>
      <c r="E152" s="476"/>
      <c r="F152" s="360"/>
      <c r="G152" s="360"/>
    </row>
    <row r="153" spans="1:7" ht="9.75" customHeight="1">
      <c r="A153" s="360"/>
      <c r="B153" s="360"/>
      <c r="C153" s="476"/>
      <c r="D153" s="476"/>
      <c r="E153" s="476"/>
      <c r="F153" s="360"/>
      <c r="G153" s="360"/>
    </row>
    <row r="154" spans="1:7" ht="9.75" customHeight="1">
      <c r="A154" s="360"/>
      <c r="B154" s="360"/>
      <c r="C154" s="476"/>
      <c r="D154" s="476"/>
      <c r="E154" s="476"/>
      <c r="F154" s="360"/>
      <c r="G154" s="360"/>
    </row>
    <row r="155" spans="1:7" ht="9.75" customHeight="1">
      <c r="A155" s="360"/>
      <c r="B155" s="360"/>
      <c r="C155" s="476"/>
      <c r="D155" s="476"/>
      <c r="E155" s="476"/>
      <c r="F155" s="360"/>
      <c r="G155" s="360"/>
    </row>
    <row r="156" spans="1:7" ht="9.75" customHeight="1">
      <c r="A156" s="360"/>
      <c r="B156" s="360"/>
      <c r="C156" s="476"/>
      <c r="D156" s="476"/>
      <c r="E156" s="476"/>
      <c r="F156" s="360"/>
      <c r="G156" s="360"/>
    </row>
    <row r="157" spans="1:7" ht="9.75" customHeight="1">
      <c r="A157" s="360"/>
      <c r="B157" s="360"/>
      <c r="C157" s="476"/>
      <c r="D157" s="476"/>
      <c r="E157" s="476"/>
      <c r="F157" s="360"/>
      <c r="G157" s="360"/>
    </row>
    <row r="158" spans="1:7" ht="9.75" customHeight="1">
      <c r="A158" s="360"/>
      <c r="B158" s="360"/>
      <c r="C158" s="476"/>
      <c r="D158" s="476"/>
      <c r="E158" s="476"/>
      <c r="F158" s="360"/>
      <c r="G158" s="360"/>
    </row>
    <row r="159" spans="1:7" ht="9.75" customHeight="1">
      <c r="A159" s="360"/>
      <c r="B159" s="360"/>
      <c r="C159" s="476"/>
      <c r="D159" s="476"/>
      <c r="E159" s="476"/>
      <c r="F159" s="360"/>
      <c r="G159" s="360"/>
    </row>
    <row r="160" spans="1:7" ht="9.75" customHeight="1">
      <c r="A160" s="360"/>
      <c r="B160" s="360"/>
      <c r="C160" s="476"/>
      <c r="D160" s="476"/>
      <c r="E160" s="476"/>
      <c r="F160" s="360"/>
      <c r="G160" s="360"/>
    </row>
    <row r="161" spans="1:7" ht="9.75" customHeight="1">
      <c r="A161" s="360"/>
      <c r="B161" s="360"/>
      <c r="C161" s="476"/>
      <c r="D161" s="476"/>
      <c r="E161" s="476"/>
      <c r="F161" s="360"/>
      <c r="G161" s="360"/>
    </row>
    <row r="162" spans="1:7" ht="9.75" customHeight="1">
      <c r="A162" s="360"/>
      <c r="B162" s="360"/>
      <c r="C162" s="476"/>
      <c r="D162" s="476"/>
      <c r="E162" s="476"/>
      <c r="F162" s="360"/>
      <c r="G162" s="360"/>
    </row>
    <row r="163" spans="1:7" ht="9.75" customHeight="1">
      <c r="A163" s="360"/>
      <c r="B163" s="360"/>
      <c r="C163" s="476"/>
      <c r="D163" s="476"/>
      <c r="E163" s="476"/>
      <c r="F163" s="360"/>
      <c r="G163" s="360"/>
    </row>
    <row r="164" spans="1:7" ht="9.75" customHeight="1">
      <c r="A164" s="360"/>
      <c r="B164" s="360"/>
      <c r="C164" s="476"/>
      <c r="D164" s="476"/>
      <c r="E164" s="476"/>
      <c r="F164" s="360"/>
      <c r="G164" s="360"/>
    </row>
    <row r="165" spans="1:7" ht="9.75" customHeight="1">
      <c r="A165" s="360"/>
      <c r="B165" s="360"/>
      <c r="C165" s="476"/>
      <c r="D165" s="476"/>
      <c r="E165" s="476"/>
      <c r="F165" s="360"/>
      <c r="G165" s="360"/>
    </row>
    <row r="166" spans="1:7" ht="9.75" customHeight="1">
      <c r="A166" s="360"/>
      <c r="B166" s="360"/>
      <c r="C166" s="360"/>
      <c r="D166" s="360"/>
      <c r="E166" s="360"/>
      <c r="F166" s="360"/>
      <c r="G166" s="360"/>
    </row>
    <row r="167" spans="1:7" ht="9.75" customHeight="1">
      <c r="A167" s="360"/>
      <c r="B167" s="360"/>
      <c r="C167" s="360"/>
      <c r="D167" s="360"/>
      <c r="E167" s="360"/>
      <c r="F167" s="360"/>
      <c r="G167" s="360"/>
    </row>
    <row r="168" spans="1:7" ht="9.75" customHeight="1">
      <c r="A168" s="360"/>
      <c r="B168" s="360"/>
      <c r="C168" s="360"/>
      <c r="D168" s="360"/>
      <c r="E168" s="360"/>
      <c r="F168" s="360"/>
      <c r="G168" s="360"/>
    </row>
    <row r="169" spans="1:7" ht="9.75" customHeight="1">
      <c r="A169" s="360"/>
      <c r="B169" s="360"/>
      <c r="C169" s="360"/>
      <c r="D169" s="360"/>
      <c r="E169" s="360"/>
      <c r="F169" s="360"/>
      <c r="G169" s="360"/>
    </row>
    <row r="170" spans="1:7" ht="9.75" customHeight="1">
      <c r="A170" s="360"/>
      <c r="B170" s="360"/>
      <c r="C170" s="360"/>
      <c r="D170" s="360"/>
      <c r="E170" s="360"/>
      <c r="F170" s="360"/>
      <c r="G170" s="360"/>
    </row>
    <row r="171" spans="1:7" ht="9.75" customHeight="1">
      <c r="A171" s="360"/>
      <c r="B171" s="360"/>
      <c r="C171" s="360"/>
      <c r="D171" s="360"/>
      <c r="E171" s="360"/>
      <c r="F171" s="360"/>
      <c r="G171" s="360"/>
    </row>
    <row r="172" spans="1:7" ht="9.75" customHeight="1">
      <c r="A172" s="360"/>
      <c r="B172" s="360"/>
      <c r="C172" s="360"/>
      <c r="D172" s="360"/>
      <c r="E172" s="360"/>
      <c r="F172" s="360"/>
      <c r="G172" s="360"/>
    </row>
    <row r="173" spans="1:7" ht="9.75" customHeight="1">
      <c r="A173" s="360"/>
      <c r="B173" s="360"/>
      <c r="C173" s="360"/>
      <c r="D173" s="360"/>
      <c r="E173" s="360"/>
      <c r="F173" s="360"/>
      <c r="G173" s="360"/>
    </row>
    <row r="174" spans="1:7" ht="9.75" customHeight="1">
      <c r="A174" s="360"/>
      <c r="B174" s="360"/>
      <c r="C174" s="360"/>
      <c r="D174" s="360"/>
      <c r="E174" s="360"/>
      <c r="F174" s="360"/>
      <c r="G174" s="360"/>
    </row>
  </sheetData>
  <mergeCells count="5">
    <mergeCell ref="A2:A5"/>
    <mergeCell ref="B2:B5"/>
    <mergeCell ref="C2:F2"/>
    <mergeCell ref="C3:E3"/>
    <mergeCell ref="F3:F4"/>
  </mergeCells>
  <pageMargins left="0.70866141732283472" right="0.47244094488188981"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77A5"/>
  </sheetPr>
  <dimension ref="A1:L107"/>
  <sheetViews>
    <sheetView showGridLines="0" view="pageBreakPreview" zoomScale="120" zoomScaleNormal="100" zoomScaleSheetLayoutView="120" zoomScalePageLayoutView="130" workbookViewId="0">
      <selection activeCell="C12" sqref="C12"/>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 min="10" max="11" width="9.33203125" style="460" customWidth="1"/>
    <col min="12" max="12" width="9.33203125" style="460"/>
  </cols>
  <sheetData>
    <row r="1" spans="1:12" ht="17.25" customHeight="1">
      <c r="A1" s="976" t="s">
        <v>264</v>
      </c>
      <c r="B1" s="979" t="s">
        <v>55</v>
      </c>
      <c r="C1" s="982" t="str">
        <f>+'18. ANEXOI-1'!C2:F2</f>
        <v>ENERGÍA PRODUCIDA JUNIO 2019</v>
      </c>
      <c r="D1" s="982"/>
      <c r="E1" s="982"/>
      <c r="F1" s="982"/>
      <c r="G1" s="721" t="s">
        <v>290</v>
      </c>
      <c r="H1" s="204"/>
      <c r="I1" s="204"/>
      <c r="J1" s="584"/>
      <c r="K1" s="584"/>
    </row>
    <row r="2" spans="1:12" ht="11.25" customHeight="1">
      <c r="A2" s="977"/>
      <c r="B2" s="980"/>
      <c r="C2" s="983" t="s">
        <v>291</v>
      </c>
      <c r="D2" s="983"/>
      <c r="E2" s="983"/>
      <c r="F2" s="984" t="str">
        <f>"TOTAL 
"&amp;UPPER('1. Resumen'!Q4)</f>
        <v>TOTAL 
JUNIO</v>
      </c>
      <c r="G2" s="722" t="s">
        <v>292</v>
      </c>
      <c r="H2" s="195"/>
      <c r="I2" s="195"/>
      <c r="J2" s="585"/>
      <c r="K2" s="585"/>
      <c r="L2" s="584"/>
    </row>
    <row r="3" spans="1:12" ht="11.25" customHeight="1">
      <c r="A3" s="977"/>
      <c r="B3" s="980"/>
      <c r="C3" s="711" t="s">
        <v>223</v>
      </c>
      <c r="D3" s="711" t="s">
        <v>224</v>
      </c>
      <c r="E3" s="711" t="s">
        <v>293</v>
      </c>
      <c r="F3" s="985"/>
      <c r="G3" s="722">
        <v>2019</v>
      </c>
      <c r="H3" s="197"/>
      <c r="I3" s="196"/>
      <c r="J3" s="586"/>
      <c r="K3" s="586"/>
      <c r="L3" s="584"/>
    </row>
    <row r="4" spans="1:12" ht="11.25" customHeight="1">
      <c r="A4" s="986"/>
      <c r="B4" s="987"/>
      <c r="C4" s="712" t="s">
        <v>294</v>
      </c>
      <c r="D4" s="712" t="s">
        <v>294</v>
      </c>
      <c r="E4" s="712" t="s">
        <v>294</v>
      </c>
      <c r="F4" s="712" t="s">
        <v>294</v>
      </c>
      <c r="G4" s="723" t="s">
        <v>211</v>
      </c>
      <c r="H4" s="197"/>
      <c r="I4" s="197"/>
      <c r="J4" s="587"/>
      <c r="K4" s="587"/>
      <c r="L4" s="588"/>
    </row>
    <row r="5" spans="1:12" ht="10.5" customHeight="1">
      <c r="A5" s="778" t="s">
        <v>88</v>
      </c>
      <c r="B5" s="714" t="s">
        <v>348</v>
      </c>
      <c r="C5" s="715">
        <v>28777.633529999999</v>
      </c>
      <c r="D5" s="715"/>
      <c r="E5" s="715"/>
      <c r="F5" s="715">
        <v>28777.633529999999</v>
      </c>
      <c r="G5" s="784">
        <v>350900.66539999994</v>
      </c>
      <c r="I5" s="583"/>
      <c r="K5" s="587"/>
      <c r="L5" s="587"/>
    </row>
    <row r="6" spans="1:12" ht="10.5" customHeight="1">
      <c r="A6" s="778"/>
      <c r="B6" s="714" t="s">
        <v>349</v>
      </c>
      <c r="C6" s="715">
        <v>63112.594217499995</v>
      </c>
      <c r="D6" s="715"/>
      <c r="E6" s="715"/>
      <c r="F6" s="715">
        <v>63112.594217499995</v>
      </c>
      <c r="G6" s="784">
        <v>508478.29073500005</v>
      </c>
      <c r="I6" s="583"/>
      <c r="K6" s="587"/>
      <c r="L6" s="587"/>
    </row>
    <row r="7" spans="1:12" ht="10.5" customHeight="1">
      <c r="A7" s="778"/>
      <c r="B7" s="714" t="s">
        <v>350</v>
      </c>
      <c r="C7" s="715"/>
      <c r="D7" s="715">
        <v>356377.80530750001</v>
      </c>
      <c r="E7" s="715"/>
      <c r="F7" s="715">
        <v>356377.80530750001</v>
      </c>
      <c r="G7" s="784">
        <v>1687403.0038175001</v>
      </c>
      <c r="I7" s="583"/>
      <c r="K7" s="587"/>
      <c r="L7" s="587"/>
    </row>
    <row r="8" spans="1:12" ht="10.5" customHeight="1">
      <c r="A8" s="778"/>
      <c r="B8" s="714" t="s">
        <v>351</v>
      </c>
      <c r="C8" s="715"/>
      <c r="D8" s="715">
        <v>72670.220702499995</v>
      </c>
      <c r="E8" s="715"/>
      <c r="F8" s="715">
        <v>72670.220702499995</v>
      </c>
      <c r="G8" s="784">
        <v>193792.88688499999</v>
      </c>
      <c r="I8" s="583"/>
      <c r="K8" s="587"/>
      <c r="L8" s="587"/>
    </row>
    <row r="9" spans="1:12" ht="10.5" customHeight="1">
      <c r="A9" s="778"/>
      <c r="B9" s="714" t="s">
        <v>352</v>
      </c>
      <c r="C9" s="715"/>
      <c r="D9" s="715">
        <v>0</v>
      </c>
      <c r="E9" s="715"/>
      <c r="F9" s="715">
        <v>0</v>
      </c>
      <c r="G9" s="784">
        <v>18283.25661</v>
      </c>
      <c r="I9" s="583"/>
      <c r="K9" s="587"/>
      <c r="L9" s="587"/>
    </row>
    <row r="10" spans="1:12" ht="10.5" customHeight="1">
      <c r="A10" s="778"/>
      <c r="B10" s="714" t="s">
        <v>353</v>
      </c>
      <c r="C10" s="715"/>
      <c r="D10" s="715">
        <v>458.21564499999999</v>
      </c>
      <c r="E10" s="715"/>
      <c r="F10" s="715">
        <v>458.21564499999999</v>
      </c>
      <c r="G10" s="784">
        <v>1783.9387775</v>
      </c>
      <c r="I10" s="583"/>
      <c r="K10" s="587"/>
      <c r="L10" s="587"/>
    </row>
    <row r="11" spans="1:12" ht="10.5" customHeight="1">
      <c r="A11" s="778"/>
      <c r="B11" s="714" t="s">
        <v>354</v>
      </c>
      <c r="C11" s="715"/>
      <c r="D11" s="715">
        <v>3907.9179074999997</v>
      </c>
      <c r="E11" s="715"/>
      <c r="F11" s="715">
        <v>3907.9179074999997</v>
      </c>
      <c r="G11" s="784">
        <v>4999.8174675</v>
      </c>
      <c r="I11" s="583"/>
      <c r="K11" s="587"/>
      <c r="L11" s="587"/>
    </row>
    <row r="12" spans="1:12" ht="10.5" customHeight="1">
      <c r="A12" s="778"/>
      <c r="B12" s="714" t="s">
        <v>533</v>
      </c>
      <c r="C12" s="715"/>
      <c r="D12" s="715"/>
      <c r="E12" s="715">
        <v>7259.6672950000002</v>
      </c>
      <c r="F12" s="715">
        <v>7259.6672950000002</v>
      </c>
      <c r="G12" s="784">
        <v>46356.641339999995</v>
      </c>
      <c r="I12" s="583"/>
      <c r="K12" s="587"/>
      <c r="L12" s="587"/>
    </row>
    <row r="13" spans="1:12" ht="10.5" customHeight="1">
      <c r="A13" s="780" t="s">
        <v>355</v>
      </c>
      <c r="B13" s="574"/>
      <c r="C13" s="575">
        <v>91890.227747500001</v>
      </c>
      <c r="D13" s="575">
        <v>433414.15956250002</v>
      </c>
      <c r="E13" s="575">
        <v>7259.6672950000002</v>
      </c>
      <c r="F13" s="575">
        <v>532564.05460500007</v>
      </c>
      <c r="G13" s="785">
        <v>2811998.5010325001</v>
      </c>
      <c r="I13" s="583"/>
      <c r="K13" s="587"/>
      <c r="L13" s="587"/>
    </row>
    <row r="14" spans="1:12" ht="10.5" customHeight="1">
      <c r="A14" s="778" t="s">
        <v>252</v>
      </c>
      <c r="B14" s="714" t="s">
        <v>356</v>
      </c>
      <c r="C14" s="715"/>
      <c r="D14" s="715">
        <v>392351.49879500002</v>
      </c>
      <c r="E14" s="715"/>
      <c r="F14" s="715">
        <v>392351.49879500002</v>
      </c>
      <c r="G14" s="784">
        <v>1868882.9271825003</v>
      </c>
      <c r="I14" s="583"/>
      <c r="K14" s="587"/>
      <c r="L14" s="587"/>
    </row>
    <row r="15" spans="1:12" ht="10.5" customHeight="1">
      <c r="A15" s="780" t="s">
        <v>357</v>
      </c>
      <c r="B15" s="574"/>
      <c r="C15" s="575"/>
      <c r="D15" s="575">
        <v>392351.49879500002</v>
      </c>
      <c r="E15" s="575"/>
      <c r="F15" s="575">
        <v>392351.49879500002</v>
      </c>
      <c r="G15" s="785">
        <v>1868882.9271825003</v>
      </c>
      <c r="I15" s="583"/>
      <c r="K15" s="587"/>
      <c r="L15" s="587"/>
    </row>
    <row r="16" spans="1:12" ht="10.5" customHeight="1">
      <c r="A16" s="778" t="s">
        <v>109</v>
      </c>
      <c r="B16" s="714" t="s">
        <v>67</v>
      </c>
      <c r="C16" s="715"/>
      <c r="D16" s="715"/>
      <c r="E16" s="715">
        <v>5679.8131400000002</v>
      </c>
      <c r="F16" s="715">
        <v>5679.8131400000002</v>
      </c>
      <c r="G16" s="784">
        <v>27036.650069999996</v>
      </c>
      <c r="I16" s="583"/>
      <c r="K16" s="587"/>
      <c r="L16" s="587"/>
    </row>
    <row r="17" spans="1:12" ht="10.5" customHeight="1">
      <c r="A17" s="778"/>
      <c r="B17" s="714" t="s">
        <v>493</v>
      </c>
      <c r="C17" s="715"/>
      <c r="D17" s="715"/>
      <c r="E17" s="715">
        <v>4584.3103900000006</v>
      </c>
      <c r="F17" s="715">
        <v>4584.3103900000006</v>
      </c>
      <c r="G17" s="784">
        <v>40821.735645000008</v>
      </c>
      <c r="I17" s="583"/>
      <c r="K17" s="587"/>
      <c r="L17" s="587"/>
    </row>
    <row r="18" spans="1:12" ht="10.5" customHeight="1">
      <c r="A18" s="778"/>
      <c r="B18" s="714" t="s">
        <v>491</v>
      </c>
      <c r="C18" s="715"/>
      <c r="D18" s="715"/>
      <c r="E18" s="715">
        <v>5694.7082025</v>
      </c>
      <c r="F18" s="715">
        <v>5694.7082025</v>
      </c>
      <c r="G18" s="784">
        <v>44615.392424999991</v>
      </c>
      <c r="I18" s="583"/>
      <c r="K18" s="587"/>
      <c r="L18" s="587"/>
    </row>
    <row r="19" spans="1:12" ht="10.5" customHeight="1">
      <c r="A19" s="778"/>
      <c r="B19" s="714" t="s">
        <v>492</v>
      </c>
      <c r="C19" s="715"/>
      <c r="D19" s="715"/>
      <c r="E19" s="715">
        <v>5734.0693700000002</v>
      </c>
      <c r="F19" s="715">
        <v>5734.0693700000002</v>
      </c>
      <c r="G19" s="784">
        <v>43943.406752500014</v>
      </c>
      <c r="I19" s="583"/>
      <c r="K19" s="587"/>
      <c r="L19" s="587"/>
    </row>
    <row r="20" spans="1:12" ht="10.5" customHeight="1">
      <c r="A20" s="780" t="s">
        <v>358</v>
      </c>
      <c r="B20" s="574"/>
      <c r="C20" s="575"/>
      <c r="D20" s="575"/>
      <c r="E20" s="575">
        <v>21692.9011025</v>
      </c>
      <c r="F20" s="575">
        <v>21692.9011025</v>
      </c>
      <c r="G20" s="785">
        <v>156417.18489250002</v>
      </c>
      <c r="I20" s="583"/>
      <c r="K20" s="587"/>
      <c r="L20" s="587"/>
    </row>
    <row r="21" spans="1:12" ht="10.5" customHeight="1">
      <c r="A21" s="778" t="s">
        <v>112</v>
      </c>
      <c r="B21" s="714" t="s">
        <v>245</v>
      </c>
      <c r="C21" s="715"/>
      <c r="D21" s="715"/>
      <c r="E21" s="715">
        <v>3303.3308000000002</v>
      </c>
      <c r="F21" s="715">
        <v>3303.3308000000002</v>
      </c>
      <c r="G21" s="784">
        <v>21198.532064999999</v>
      </c>
      <c r="I21" s="583"/>
      <c r="K21" s="587"/>
      <c r="L21" s="587"/>
    </row>
    <row r="22" spans="1:12" ht="10.5" customHeight="1">
      <c r="A22" s="780" t="s">
        <v>359</v>
      </c>
      <c r="B22" s="574"/>
      <c r="C22" s="575"/>
      <c r="D22" s="575"/>
      <c r="E22" s="575">
        <v>3303.3308000000002</v>
      </c>
      <c r="F22" s="575">
        <v>3303.3308000000002</v>
      </c>
      <c r="G22" s="785">
        <v>21198.532064999999</v>
      </c>
      <c r="I22" s="583"/>
      <c r="K22" s="587"/>
      <c r="L22" s="587"/>
    </row>
    <row r="23" spans="1:12" ht="10.5" customHeight="1">
      <c r="A23" s="778" t="s">
        <v>113</v>
      </c>
      <c r="B23" s="714" t="s">
        <v>83</v>
      </c>
      <c r="C23" s="715"/>
      <c r="D23" s="715"/>
      <c r="E23" s="715">
        <v>3222.6788799999999</v>
      </c>
      <c r="F23" s="715">
        <v>3222.6788799999999</v>
      </c>
      <c r="G23" s="784">
        <v>20420.226899999998</v>
      </c>
      <c r="I23" s="583"/>
      <c r="K23" s="587"/>
      <c r="L23" s="587"/>
    </row>
    <row r="24" spans="1:12" ht="10.5" customHeight="1">
      <c r="A24" s="780" t="s">
        <v>360</v>
      </c>
      <c r="B24" s="574"/>
      <c r="C24" s="575"/>
      <c r="D24" s="575"/>
      <c r="E24" s="575">
        <v>3222.6788799999999</v>
      </c>
      <c r="F24" s="575">
        <v>3222.6788799999999</v>
      </c>
      <c r="G24" s="785">
        <v>20420.226899999998</v>
      </c>
      <c r="I24" s="583"/>
      <c r="K24" s="587"/>
      <c r="L24" s="587"/>
    </row>
    <row r="25" spans="1:12" ht="10.5" customHeight="1">
      <c r="A25" s="778" t="s">
        <v>117</v>
      </c>
      <c r="B25" s="714" t="s">
        <v>75</v>
      </c>
      <c r="C25" s="715"/>
      <c r="D25" s="715"/>
      <c r="E25" s="715">
        <v>2314.4</v>
      </c>
      <c r="F25" s="715">
        <v>2314.4</v>
      </c>
      <c r="G25" s="784">
        <v>13805.200000000115</v>
      </c>
      <c r="I25" s="583"/>
      <c r="K25" s="587"/>
      <c r="L25" s="587"/>
    </row>
    <row r="26" spans="1:12" ht="10.5" customHeight="1">
      <c r="A26" s="780" t="s">
        <v>361</v>
      </c>
      <c r="B26" s="574"/>
      <c r="C26" s="575"/>
      <c r="D26" s="575"/>
      <c r="E26" s="575">
        <v>2314.4</v>
      </c>
      <c r="F26" s="575">
        <v>2314.4</v>
      </c>
      <c r="G26" s="785">
        <v>13805.200000000115</v>
      </c>
      <c r="I26" s="583"/>
      <c r="K26" s="587"/>
      <c r="L26" s="587"/>
    </row>
    <row r="27" spans="1:12" ht="10.5" customHeight="1">
      <c r="A27" s="778" t="s">
        <v>104</v>
      </c>
      <c r="B27" s="714" t="s">
        <v>362</v>
      </c>
      <c r="C27" s="715">
        <v>12212.356</v>
      </c>
      <c r="D27" s="715"/>
      <c r="E27" s="715"/>
      <c r="F27" s="715">
        <v>12212.356</v>
      </c>
      <c r="G27" s="784">
        <v>81366.26499999997</v>
      </c>
      <c r="I27" s="583"/>
      <c r="K27" s="587"/>
      <c r="L27" s="587"/>
    </row>
    <row r="28" spans="1:12" ht="10.5" customHeight="1">
      <c r="A28" s="780" t="s">
        <v>363</v>
      </c>
      <c r="B28" s="574"/>
      <c r="C28" s="575">
        <v>12212.356</v>
      </c>
      <c r="D28" s="575"/>
      <c r="E28" s="575"/>
      <c r="F28" s="575">
        <v>12212.356</v>
      </c>
      <c r="G28" s="785">
        <v>81366.26499999997</v>
      </c>
      <c r="I28" s="583"/>
      <c r="K28" s="587"/>
      <c r="L28" s="587"/>
    </row>
    <row r="29" spans="1:12" ht="20.25" customHeight="1">
      <c r="A29" s="793" t="s">
        <v>514</v>
      </c>
      <c r="B29" s="726" t="s">
        <v>364</v>
      </c>
      <c r="C29" s="727">
        <v>13143.650912499999</v>
      </c>
      <c r="D29" s="727"/>
      <c r="E29" s="727"/>
      <c r="F29" s="727">
        <v>13143.650912499999</v>
      </c>
      <c r="G29" s="794">
        <v>78046.391700000022</v>
      </c>
      <c r="I29" s="583"/>
      <c r="K29" s="587"/>
      <c r="L29" s="587"/>
    </row>
    <row r="30" spans="1:12" ht="10.5" customHeight="1">
      <c r="A30" s="780" t="s">
        <v>509</v>
      </c>
      <c r="B30" s="574"/>
      <c r="C30" s="575">
        <v>13143.650912499999</v>
      </c>
      <c r="D30" s="575"/>
      <c r="E30" s="575"/>
      <c r="F30" s="575">
        <v>13143.650912499999</v>
      </c>
      <c r="G30" s="785">
        <v>78046.391700000022</v>
      </c>
      <c r="I30" s="583"/>
      <c r="K30" s="587"/>
      <c r="L30" s="587"/>
    </row>
    <row r="31" spans="1:12" ht="10.5" customHeight="1">
      <c r="A31" s="778" t="s">
        <v>253</v>
      </c>
      <c r="B31" s="714" t="s">
        <v>60</v>
      </c>
      <c r="C31" s="715"/>
      <c r="D31" s="715"/>
      <c r="E31" s="715">
        <v>12126.311217500001</v>
      </c>
      <c r="F31" s="715">
        <v>12126.311217500001</v>
      </c>
      <c r="G31" s="784">
        <v>69872.213607500002</v>
      </c>
      <c r="I31" s="583"/>
      <c r="K31" s="587"/>
      <c r="L31" s="587"/>
    </row>
    <row r="32" spans="1:12" ht="10.5" customHeight="1">
      <c r="A32" s="780" t="s">
        <v>365</v>
      </c>
      <c r="B32" s="574"/>
      <c r="C32" s="575"/>
      <c r="D32" s="575"/>
      <c r="E32" s="575">
        <v>12126.311217500001</v>
      </c>
      <c r="F32" s="575">
        <v>12126.311217500001</v>
      </c>
      <c r="G32" s="785">
        <v>69872.213607500002</v>
      </c>
      <c r="I32" s="583"/>
      <c r="K32" s="587"/>
      <c r="L32" s="587"/>
    </row>
    <row r="33" spans="1:12" ht="10.5" customHeight="1">
      <c r="A33" s="778" t="s">
        <v>490</v>
      </c>
      <c r="B33" s="714" t="s">
        <v>573</v>
      </c>
      <c r="C33" s="715">
        <v>227.50075000000001</v>
      </c>
      <c r="D33" s="715"/>
      <c r="E33" s="715"/>
      <c r="F33" s="715">
        <v>227.50075000000001</v>
      </c>
      <c r="G33" s="784">
        <v>3195.1372500000007</v>
      </c>
      <c r="I33" s="583"/>
      <c r="K33" s="587"/>
      <c r="L33" s="587"/>
    </row>
    <row r="34" spans="1:12" ht="10.5" customHeight="1">
      <c r="A34" s="780" t="s">
        <v>495</v>
      </c>
      <c r="B34" s="574"/>
      <c r="C34" s="575">
        <v>227.50075000000001</v>
      </c>
      <c r="D34" s="575"/>
      <c r="E34" s="575"/>
      <c r="F34" s="575">
        <v>227.50075000000001</v>
      </c>
      <c r="G34" s="785">
        <v>3195.1372500000007</v>
      </c>
      <c r="I34" s="583"/>
      <c r="K34" s="587"/>
      <c r="L34" s="587"/>
    </row>
    <row r="35" spans="1:12" ht="10.5" customHeight="1">
      <c r="A35" s="778" t="s">
        <v>535</v>
      </c>
      <c r="B35" s="714" t="s">
        <v>542</v>
      </c>
      <c r="C35" s="715">
        <v>48274.155285000001</v>
      </c>
      <c r="D35" s="715"/>
      <c r="E35" s="715"/>
      <c r="F35" s="715">
        <v>48274.155285000001</v>
      </c>
      <c r="G35" s="784">
        <v>369038.96944999998</v>
      </c>
      <c r="I35" s="583"/>
      <c r="K35" s="587"/>
      <c r="L35" s="587"/>
    </row>
    <row r="36" spans="1:12" ht="10.5" customHeight="1">
      <c r="A36" s="780" t="s">
        <v>543</v>
      </c>
      <c r="B36" s="574"/>
      <c r="C36" s="575">
        <v>48274.155285000001</v>
      </c>
      <c r="D36" s="575"/>
      <c r="E36" s="575"/>
      <c r="F36" s="575">
        <v>48274.155285000001</v>
      </c>
      <c r="G36" s="785">
        <v>369038.96944999998</v>
      </c>
      <c r="I36" s="583"/>
      <c r="K36" s="587"/>
      <c r="L36" s="587"/>
    </row>
    <row r="37" spans="1:12" ht="10.5" customHeight="1">
      <c r="A37" s="795" t="s">
        <v>119</v>
      </c>
      <c r="B37" s="474" t="s">
        <v>366</v>
      </c>
      <c r="C37" s="475"/>
      <c r="D37" s="475">
        <v>56.168257500000003</v>
      </c>
      <c r="E37" s="475"/>
      <c r="F37" s="475">
        <v>56.168257500000003</v>
      </c>
      <c r="G37" s="796">
        <v>272.0245875</v>
      </c>
      <c r="I37" s="583"/>
      <c r="K37" s="587"/>
      <c r="L37" s="587"/>
    </row>
    <row r="38" spans="1:12" ht="10.5" customHeight="1">
      <c r="A38" s="797"/>
      <c r="B38" s="714" t="s">
        <v>367</v>
      </c>
      <c r="C38" s="715"/>
      <c r="D38" s="715">
        <v>343.252115</v>
      </c>
      <c r="E38" s="715"/>
      <c r="F38" s="715">
        <v>343.252115</v>
      </c>
      <c r="G38" s="784">
        <v>1409.7013400000001</v>
      </c>
      <c r="I38" s="583"/>
      <c r="K38" s="587"/>
      <c r="L38" s="587"/>
    </row>
    <row r="39" spans="1:12" ht="10.5" customHeight="1">
      <c r="A39" s="780" t="s">
        <v>368</v>
      </c>
      <c r="B39" s="574"/>
      <c r="C39" s="575"/>
      <c r="D39" s="575">
        <v>399.42037249999998</v>
      </c>
      <c r="E39" s="575"/>
      <c r="F39" s="575">
        <v>399.42037249999998</v>
      </c>
      <c r="G39" s="785">
        <v>1681.7259275000001</v>
      </c>
      <c r="I39" s="583"/>
      <c r="K39" s="587"/>
      <c r="L39" s="587"/>
    </row>
    <row r="40" spans="1:12" ht="10.5" customHeight="1">
      <c r="A40" s="778" t="s">
        <v>486</v>
      </c>
      <c r="B40" s="714" t="s">
        <v>369</v>
      </c>
      <c r="C40" s="715"/>
      <c r="D40" s="715">
        <v>494301.36821999995</v>
      </c>
      <c r="E40" s="715"/>
      <c r="F40" s="715">
        <v>494301.36821999995</v>
      </c>
      <c r="G40" s="784">
        <v>1391534.4801150002</v>
      </c>
      <c r="I40" s="583"/>
      <c r="K40" s="587"/>
      <c r="L40" s="587"/>
    </row>
    <row r="41" spans="1:12" ht="10.5" customHeight="1">
      <c r="A41" s="778"/>
      <c r="B41" s="714" t="s">
        <v>370</v>
      </c>
      <c r="C41" s="715"/>
      <c r="D41" s="715">
        <v>15443.50563</v>
      </c>
      <c r="E41" s="715"/>
      <c r="F41" s="715">
        <v>15443.50563</v>
      </c>
      <c r="G41" s="784">
        <v>216897.95866</v>
      </c>
      <c r="I41" s="583"/>
      <c r="K41" s="587"/>
      <c r="L41" s="587"/>
    </row>
    <row r="42" spans="1:12" ht="10.5" customHeight="1">
      <c r="A42" s="797"/>
      <c r="B42" s="714" t="s">
        <v>540</v>
      </c>
      <c r="C42" s="715">
        <v>202551.499235</v>
      </c>
      <c r="D42" s="715"/>
      <c r="E42" s="715"/>
      <c r="F42" s="715">
        <v>202551.499235</v>
      </c>
      <c r="G42" s="784">
        <v>1693206.6982524998</v>
      </c>
      <c r="I42" s="583"/>
      <c r="K42" s="587"/>
      <c r="L42" s="587"/>
    </row>
    <row r="43" spans="1:12" ht="10.5" customHeight="1">
      <c r="A43" s="797"/>
      <c r="B43" s="714" t="s">
        <v>371</v>
      </c>
      <c r="C43" s="715">
        <v>3264.8474999999999</v>
      </c>
      <c r="D43" s="715"/>
      <c r="E43" s="715"/>
      <c r="F43" s="715">
        <v>3264.8474999999999</v>
      </c>
      <c r="G43" s="784">
        <v>34080.798582499992</v>
      </c>
      <c r="I43" s="583"/>
      <c r="K43" s="587"/>
      <c r="L43" s="587"/>
    </row>
    <row r="44" spans="1:12" ht="10.5" customHeight="1">
      <c r="A44" s="780" t="s">
        <v>372</v>
      </c>
      <c r="B44" s="574"/>
      <c r="C44" s="575">
        <v>205816.346735</v>
      </c>
      <c r="D44" s="575">
        <v>509744.87384999997</v>
      </c>
      <c r="E44" s="575"/>
      <c r="F44" s="575">
        <v>715561.220585</v>
      </c>
      <c r="G44" s="785">
        <v>3335719.93561</v>
      </c>
      <c r="I44" s="583"/>
      <c r="K44" s="587"/>
      <c r="L44" s="587"/>
    </row>
    <row r="45" spans="1:12" ht="10.5" customHeight="1">
      <c r="A45" s="778" t="s">
        <v>118</v>
      </c>
      <c r="B45" s="714" t="s">
        <v>73</v>
      </c>
      <c r="C45" s="715"/>
      <c r="D45" s="715"/>
      <c r="E45" s="715">
        <v>1296.832455</v>
      </c>
      <c r="F45" s="715">
        <v>1296.832455</v>
      </c>
      <c r="G45" s="784">
        <v>8651.0615000000016</v>
      </c>
      <c r="I45" s="583"/>
      <c r="K45" s="587"/>
      <c r="L45" s="587"/>
    </row>
    <row r="46" spans="1:12" ht="10.5" customHeight="1">
      <c r="A46" s="780" t="s">
        <v>373</v>
      </c>
      <c r="B46" s="574"/>
      <c r="C46" s="575"/>
      <c r="D46" s="575"/>
      <c r="E46" s="575">
        <v>1296.832455</v>
      </c>
      <c r="F46" s="575">
        <v>1296.832455</v>
      </c>
      <c r="G46" s="785">
        <v>8651.0615000000016</v>
      </c>
      <c r="I46" s="583"/>
      <c r="K46" s="587"/>
      <c r="L46" s="587"/>
    </row>
    <row r="47" spans="1:12" ht="10.5" customHeight="1">
      <c r="A47" s="778" t="s">
        <v>111</v>
      </c>
      <c r="B47" s="714" t="s">
        <v>82</v>
      </c>
      <c r="C47" s="715"/>
      <c r="D47" s="715"/>
      <c r="E47" s="715">
        <v>3272.7369275000001</v>
      </c>
      <c r="F47" s="715">
        <v>3272.7369275000001</v>
      </c>
      <c r="G47" s="784">
        <v>21454.427779999998</v>
      </c>
      <c r="I47" s="583"/>
      <c r="K47" s="587"/>
      <c r="L47" s="587"/>
    </row>
    <row r="48" spans="1:12" ht="10.5" customHeight="1">
      <c r="A48" s="780" t="s">
        <v>374</v>
      </c>
      <c r="B48" s="574"/>
      <c r="C48" s="575"/>
      <c r="D48" s="575"/>
      <c r="E48" s="575">
        <v>3272.7369275000001</v>
      </c>
      <c r="F48" s="575">
        <v>3272.7369275000001</v>
      </c>
      <c r="G48" s="785">
        <v>21454.427779999998</v>
      </c>
      <c r="H48" s="391"/>
      <c r="I48" s="583"/>
      <c r="K48" s="587"/>
      <c r="L48" s="587"/>
    </row>
    <row r="49" spans="1:12" ht="10.5" customHeight="1">
      <c r="A49" s="778" t="s">
        <v>254</v>
      </c>
      <c r="B49" s="714" t="s">
        <v>72</v>
      </c>
      <c r="C49" s="715"/>
      <c r="D49" s="715"/>
      <c r="E49" s="715">
        <v>3127.9569274999999</v>
      </c>
      <c r="F49" s="715">
        <v>3127.9569274999999</v>
      </c>
      <c r="G49" s="784">
        <v>21713.588672499998</v>
      </c>
      <c r="I49" s="583"/>
      <c r="K49" s="587"/>
      <c r="L49" s="587"/>
    </row>
    <row r="50" spans="1:12" ht="10.5" customHeight="1">
      <c r="A50" s="778"/>
      <c r="B50" s="714" t="s">
        <v>375</v>
      </c>
      <c r="C50" s="715">
        <v>77718.757354999994</v>
      </c>
      <c r="D50" s="715"/>
      <c r="E50" s="715"/>
      <c r="F50" s="715">
        <v>77718.757354999994</v>
      </c>
      <c r="G50" s="784">
        <v>871450.83020999993</v>
      </c>
      <c r="I50" s="583"/>
      <c r="K50" s="587"/>
      <c r="L50" s="587"/>
    </row>
    <row r="51" spans="1:12" ht="10.5" customHeight="1">
      <c r="A51" s="778"/>
      <c r="B51" s="714" t="s">
        <v>376</v>
      </c>
      <c r="C51" s="715">
        <v>46651.599352499994</v>
      </c>
      <c r="D51" s="715"/>
      <c r="E51" s="715"/>
      <c r="F51" s="715">
        <v>46651.599352499994</v>
      </c>
      <c r="G51" s="784">
        <v>351533.27455999999</v>
      </c>
      <c r="I51" s="583"/>
      <c r="K51" s="587"/>
      <c r="L51" s="587"/>
    </row>
    <row r="52" spans="1:12" ht="10.5" customHeight="1">
      <c r="A52" s="778"/>
      <c r="B52" s="714" t="s">
        <v>63</v>
      </c>
      <c r="C52" s="715"/>
      <c r="D52" s="715"/>
      <c r="E52" s="715">
        <v>6095.8465475000003</v>
      </c>
      <c r="F52" s="715">
        <v>6095.8465475000003</v>
      </c>
      <c r="G52" s="784">
        <v>36514.321852499976</v>
      </c>
      <c r="I52" s="583"/>
      <c r="K52" s="587"/>
      <c r="L52" s="587"/>
    </row>
    <row r="53" spans="1:12" ht="10.5" customHeight="1">
      <c r="A53" s="780" t="s">
        <v>377</v>
      </c>
      <c r="B53" s="574"/>
      <c r="C53" s="575">
        <v>124370.35670749999</v>
      </c>
      <c r="D53" s="575"/>
      <c r="E53" s="575">
        <v>9223.8034750000006</v>
      </c>
      <c r="F53" s="575">
        <v>133594.1601825</v>
      </c>
      <c r="G53" s="785">
        <v>1281212.015295</v>
      </c>
      <c r="I53" s="583"/>
      <c r="K53" s="587"/>
      <c r="L53" s="587"/>
    </row>
    <row r="54" spans="1:12" ht="10.5" customHeight="1">
      <c r="A54" s="778" t="s">
        <v>255</v>
      </c>
      <c r="B54" s="714" t="s">
        <v>79</v>
      </c>
      <c r="C54" s="715"/>
      <c r="D54" s="715"/>
      <c r="E54" s="715">
        <v>13713.851442499999</v>
      </c>
      <c r="F54" s="715">
        <v>13713.851442499999</v>
      </c>
      <c r="G54" s="784">
        <v>77725.300382500005</v>
      </c>
      <c r="I54" s="583"/>
      <c r="K54" s="587"/>
      <c r="L54" s="587"/>
    </row>
    <row r="55" spans="1:12" ht="10.5" customHeight="1">
      <c r="A55" s="780" t="s">
        <v>378</v>
      </c>
      <c r="B55" s="574"/>
      <c r="C55" s="575"/>
      <c r="D55" s="575"/>
      <c r="E55" s="575">
        <v>13713.851442499999</v>
      </c>
      <c r="F55" s="575">
        <v>13713.851442499999</v>
      </c>
      <c r="G55" s="785">
        <v>77725.300382500005</v>
      </c>
      <c r="I55" s="583"/>
      <c r="K55" s="587"/>
      <c r="L55" s="587"/>
    </row>
    <row r="56" spans="1:12" ht="10.5" customHeight="1">
      <c r="A56" s="778" t="s">
        <v>100</v>
      </c>
      <c r="B56" s="714" t="s">
        <v>77</v>
      </c>
      <c r="C56" s="715"/>
      <c r="D56" s="715"/>
      <c r="E56" s="715">
        <v>39743.770369999998</v>
      </c>
      <c r="F56" s="715">
        <v>39743.770369999998</v>
      </c>
      <c r="G56" s="784">
        <v>230929.84639249998</v>
      </c>
      <c r="I56" s="583"/>
      <c r="K56" s="587"/>
      <c r="L56" s="587"/>
    </row>
    <row r="57" spans="1:12" ht="10.5" customHeight="1">
      <c r="A57" s="780" t="s">
        <v>379</v>
      </c>
      <c r="B57" s="574"/>
      <c r="C57" s="575"/>
      <c r="D57" s="575"/>
      <c r="E57" s="575">
        <v>39743.770369999998</v>
      </c>
      <c r="F57" s="575">
        <v>39743.770369999998</v>
      </c>
      <c r="G57" s="785">
        <v>230929.84639249998</v>
      </c>
      <c r="I57" s="583"/>
      <c r="K57" s="587"/>
      <c r="L57" s="587"/>
    </row>
    <row r="58" spans="1:12" ht="10.5" customHeight="1">
      <c r="A58" s="778" t="s">
        <v>108</v>
      </c>
      <c r="B58" s="714" t="s">
        <v>244</v>
      </c>
      <c r="C58" s="715"/>
      <c r="D58" s="715"/>
      <c r="E58" s="715">
        <v>3484.4144999999999</v>
      </c>
      <c r="F58" s="715">
        <v>3484.4144999999999</v>
      </c>
      <c r="G58" s="784">
        <v>23307.382107500001</v>
      </c>
      <c r="I58" s="583"/>
      <c r="K58" s="587"/>
      <c r="L58" s="587"/>
    </row>
    <row r="59" spans="1:12" ht="10.5" customHeight="1">
      <c r="A59" s="780" t="s">
        <v>380</v>
      </c>
      <c r="B59" s="574"/>
      <c r="C59" s="575"/>
      <c r="D59" s="575"/>
      <c r="E59" s="575">
        <v>3484.4144999999999</v>
      </c>
      <c r="F59" s="575">
        <v>3484.4144999999999</v>
      </c>
      <c r="G59" s="785">
        <v>23307.382107500001</v>
      </c>
      <c r="I59" s="583"/>
      <c r="K59" s="587"/>
      <c r="L59" s="587"/>
    </row>
    <row r="60" spans="1:12" ht="10.5" customHeight="1">
      <c r="A60" s="778" t="s">
        <v>487</v>
      </c>
      <c r="B60" s="714" t="s">
        <v>86</v>
      </c>
      <c r="C60" s="715"/>
      <c r="D60" s="715"/>
      <c r="E60" s="715">
        <v>487.80634250000003</v>
      </c>
      <c r="F60" s="715">
        <v>487.80634250000003</v>
      </c>
      <c r="G60" s="784">
        <v>7288.4960299999957</v>
      </c>
      <c r="I60" s="583"/>
      <c r="K60" s="587"/>
      <c r="L60" s="587"/>
    </row>
    <row r="61" spans="1:12" ht="10.5" customHeight="1">
      <c r="A61" s="778"/>
      <c r="B61" s="714" t="s">
        <v>85</v>
      </c>
      <c r="C61" s="715"/>
      <c r="D61" s="715"/>
      <c r="E61" s="715">
        <v>2566.9731849999998</v>
      </c>
      <c r="F61" s="715">
        <v>2566.9731849999998</v>
      </c>
      <c r="G61" s="784">
        <v>16695.835482499995</v>
      </c>
      <c r="I61" s="583"/>
      <c r="K61" s="587"/>
      <c r="L61" s="587"/>
    </row>
    <row r="62" spans="1:12" ht="10.5" customHeight="1">
      <c r="A62" s="778"/>
      <c r="B62" s="714" t="s">
        <v>534</v>
      </c>
      <c r="C62" s="715"/>
      <c r="D62" s="715"/>
      <c r="E62" s="715">
        <v>1365.021565</v>
      </c>
      <c r="F62" s="715">
        <v>1365.021565</v>
      </c>
      <c r="G62" s="784">
        <v>7633.7228050000049</v>
      </c>
      <c r="I62" s="583"/>
      <c r="K62" s="587"/>
      <c r="L62" s="587"/>
    </row>
    <row r="63" spans="1:12" ht="10.5" customHeight="1">
      <c r="A63" s="780" t="s">
        <v>381</v>
      </c>
      <c r="B63" s="574"/>
      <c r="C63" s="575"/>
      <c r="D63" s="575"/>
      <c r="E63" s="575">
        <v>4419.8010924999999</v>
      </c>
      <c r="F63" s="575">
        <v>4419.8010924999999</v>
      </c>
      <c r="G63" s="785">
        <v>31618.054317499995</v>
      </c>
      <c r="I63" s="583"/>
      <c r="K63" s="587"/>
      <c r="L63" s="587"/>
    </row>
    <row r="64" spans="1:12" ht="10.5" customHeight="1">
      <c r="A64" s="778" t="s">
        <v>256</v>
      </c>
      <c r="B64" s="714" t="s">
        <v>382</v>
      </c>
      <c r="C64" s="715"/>
      <c r="D64" s="715">
        <v>576.51218999999992</v>
      </c>
      <c r="E64" s="715"/>
      <c r="F64" s="715">
        <v>576.51218999999992</v>
      </c>
      <c r="G64" s="784">
        <v>642.17332999999996</v>
      </c>
      <c r="I64" s="583"/>
      <c r="K64" s="587"/>
      <c r="L64" s="587"/>
    </row>
    <row r="65" spans="1:12" ht="10.5" customHeight="1">
      <c r="A65" s="780" t="s">
        <v>383</v>
      </c>
      <c r="B65" s="574"/>
      <c r="C65" s="575"/>
      <c r="D65" s="575">
        <v>576.51218999999992</v>
      </c>
      <c r="E65" s="575"/>
      <c r="F65" s="575">
        <v>576.51218999999992</v>
      </c>
      <c r="G65" s="785">
        <v>642.17332999999996</v>
      </c>
      <c r="I65" s="583"/>
      <c r="K65" s="587"/>
      <c r="L65" s="587"/>
    </row>
    <row r="66" spans="1:12" ht="10.5" customHeight="1">
      <c r="A66" s="778" t="s">
        <v>585</v>
      </c>
      <c r="B66" s="714" t="s">
        <v>587</v>
      </c>
      <c r="C66" s="715"/>
      <c r="D66" s="715"/>
      <c r="E66" s="715">
        <v>8274.0776750000005</v>
      </c>
      <c r="F66" s="715">
        <v>8274.0776750000005</v>
      </c>
      <c r="G66" s="784">
        <v>10080.592650000001</v>
      </c>
      <c r="I66" s="583"/>
      <c r="K66" s="587"/>
      <c r="L66" s="587"/>
    </row>
    <row r="67" spans="1:12" ht="10.5" customHeight="1">
      <c r="A67" s="780" t="s">
        <v>586</v>
      </c>
      <c r="B67" s="574"/>
      <c r="C67" s="575"/>
      <c r="D67" s="575"/>
      <c r="E67" s="575">
        <v>8274.0776750000005</v>
      </c>
      <c r="F67" s="575">
        <v>8274.0776750000005</v>
      </c>
      <c r="G67" s="785">
        <v>10080.592650000001</v>
      </c>
      <c r="I67" s="583"/>
      <c r="K67" s="587"/>
      <c r="L67" s="587"/>
    </row>
    <row r="68" spans="1:12" ht="10.5" customHeight="1">
      <c r="A68" s="778" t="s">
        <v>105</v>
      </c>
      <c r="B68" s="714" t="s">
        <v>62</v>
      </c>
      <c r="C68" s="715"/>
      <c r="D68" s="715"/>
      <c r="E68" s="715">
        <v>7277.7289624999994</v>
      </c>
      <c r="F68" s="715">
        <v>7277.7289624999994</v>
      </c>
      <c r="G68" s="784">
        <v>69463.226579999988</v>
      </c>
      <c r="I68" s="583"/>
      <c r="K68" s="587"/>
      <c r="L68" s="587"/>
    </row>
    <row r="69" spans="1:12" ht="10.5" customHeight="1">
      <c r="A69" s="798" t="s">
        <v>384</v>
      </c>
      <c r="B69" s="724"/>
      <c r="C69" s="725"/>
      <c r="D69" s="725"/>
      <c r="E69" s="725">
        <v>7277.7289624999994</v>
      </c>
      <c r="F69" s="725">
        <v>7277.7289624999994</v>
      </c>
      <c r="G69" s="799">
        <v>69463.226579999988</v>
      </c>
      <c r="I69" s="583"/>
      <c r="K69" s="587"/>
      <c r="L69" s="587"/>
    </row>
    <row r="70" spans="1:12" ht="10.5" customHeight="1">
      <c r="I70" s="583"/>
      <c r="K70" s="587"/>
      <c r="L70" s="589"/>
    </row>
    <row r="71" spans="1:12" ht="10.5" customHeight="1">
      <c r="I71" s="583"/>
      <c r="K71" s="587"/>
      <c r="L71" s="589"/>
    </row>
    <row r="72" spans="1:12" ht="10.5" customHeight="1">
      <c r="A72" s="360"/>
      <c r="B72" s="360"/>
      <c r="C72" s="360"/>
      <c r="D72" s="360"/>
      <c r="E72" s="360"/>
      <c r="F72" s="360"/>
      <c r="G72" s="360"/>
    </row>
    <row r="73" spans="1:12" ht="10.5" customHeight="1">
      <c r="A73" s="360"/>
      <c r="B73" s="360"/>
      <c r="C73" s="360"/>
      <c r="D73" s="360"/>
      <c r="E73" s="360"/>
      <c r="F73" s="360"/>
      <c r="G73" s="360"/>
    </row>
    <row r="74" spans="1:12" ht="10.5" customHeight="1">
      <c r="A74" s="360"/>
      <c r="B74" s="360"/>
      <c r="C74" s="360"/>
      <c r="D74" s="360"/>
      <c r="E74" s="360"/>
      <c r="F74" s="360"/>
      <c r="G74" s="360"/>
    </row>
    <row r="75" spans="1:12" ht="10.5" customHeight="1">
      <c r="A75" s="360"/>
      <c r="B75" s="360"/>
      <c r="C75" s="360"/>
      <c r="D75" s="360"/>
      <c r="E75" s="360"/>
      <c r="F75" s="360"/>
      <c r="G75" s="360"/>
    </row>
    <row r="76" spans="1:12" ht="10.5" customHeight="1">
      <c r="A76" s="360"/>
      <c r="B76" s="360"/>
      <c r="C76" s="360"/>
      <c r="D76" s="360"/>
      <c r="E76" s="360"/>
      <c r="F76" s="360"/>
      <c r="G76" s="360"/>
    </row>
    <row r="77" spans="1:12" ht="10.5" customHeight="1">
      <c r="A77" s="360"/>
      <c r="B77" s="360"/>
      <c r="C77" s="360"/>
      <c r="D77" s="360"/>
      <c r="E77" s="360"/>
      <c r="F77" s="360"/>
      <c r="G77" s="360"/>
    </row>
    <row r="78" spans="1:12" ht="10.5" customHeight="1">
      <c r="A78" s="360"/>
      <c r="B78" s="360"/>
      <c r="C78" s="360"/>
      <c r="D78" s="360"/>
      <c r="E78" s="360"/>
      <c r="F78" s="360"/>
      <c r="G78" s="360"/>
    </row>
    <row r="79" spans="1:12" ht="10.5" customHeight="1">
      <c r="A79" s="360"/>
      <c r="B79" s="360"/>
      <c r="C79" s="360"/>
      <c r="D79" s="360"/>
      <c r="E79" s="360"/>
      <c r="F79" s="360"/>
      <c r="G79" s="360"/>
    </row>
    <row r="80" spans="1:12" ht="10.5" customHeight="1">
      <c r="A80" s="360"/>
      <c r="B80" s="360"/>
      <c r="C80" s="360"/>
      <c r="D80" s="360"/>
      <c r="E80" s="360"/>
      <c r="F80" s="360"/>
      <c r="G80" s="360"/>
    </row>
    <row r="81" spans="1:7" ht="10.5" customHeight="1">
      <c r="A81" s="360"/>
      <c r="B81" s="360"/>
      <c r="C81" s="360"/>
      <c r="D81" s="360"/>
      <c r="E81" s="360"/>
      <c r="F81" s="360"/>
      <c r="G81" s="360"/>
    </row>
    <row r="82" spans="1:7" ht="10.5" customHeight="1">
      <c r="A82" s="360"/>
      <c r="B82" s="360"/>
      <c r="C82" s="360"/>
      <c r="D82" s="360"/>
      <c r="E82" s="360"/>
      <c r="F82" s="360"/>
      <c r="G82" s="360"/>
    </row>
    <row r="83" spans="1:7" ht="10.5" customHeight="1">
      <c r="A83" s="360"/>
      <c r="B83" s="360"/>
      <c r="C83" s="360"/>
      <c r="D83" s="360"/>
      <c r="E83" s="360"/>
      <c r="F83" s="360"/>
      <c r="G83" s="360"/>
    </row>
    <row r="84" spans="1:7" ht="10.5" customHeight="1">
      <c r="A84" s="360"/>
      <c r="B84" s="360"/>
      <c r="C84" s="360"/>
      <c r="D84" s="360"/>
      <c r="E84" s="360"/>
      <c r="F84" s="360"/>
      <c r="G84" s="360"/>
    </row>
    <row r="85" spans="1:7" ht="10.5" customHeight="1">
      <c r="A85" s="360"/>
      <c r="B85" s="360"/>
      <c r="C85" s="360"/>
      <c r="D85" s="360"/>
      <c r="E85" s="360"/>
      <c r="F85" s="360"/>
      <c r="G85" s="360"/>
    </row>
    <row r="86" spans="1:7" ht="10.5" customHeight="1">
      <c r="A86" s="360"/>
      <c r="B86" s="360"/>
      <c r="C86" s="360"/>
      <c r="D86" s="360"/>
      <c r="E86" s="360"/>
      <c r="F86" s="360"/>
      <c r="G86" s="360"/>
    </row>
    <row r="87" spans="1:7" ht="10.5" customHeight="1">
      <c r="A87" s="360"/>
      <c r="B87" s="360"/>
      <c r="C87" s="360"/>
      <c r="D87" s="360"/>
      <c r="E87" s="360"/>
      <c r="F87" s="360"/>
      <c r="G87" s="360"/>
    </row>
    <row r="88" spans="1:7" ht="10.5" customHeight="1">
      <c r="A88" s="360"/>
      <c r="B88" s="360"/>
      <c r="C88" s="360"/>
      <c r="D88" s="360"/>
      <c r="E88" s="360"/>
      <c r="F88" s="360"/>
      <c r="G88" s="360"/>
    </row>
    <row r="89" spans="1:7" ht="10.5" customHeight="1">
      <c r="A89" s="360"/>
      <c r="B89" s="360"/>
      <c r="C89" s="360"/>
      <c r="D89" s="360"/>
      <c r="E89" s="360"/>
      <c r="F89" s="360"/>
      <c r="G89" s="360"/>
    </row>
    <row r="90" spans="1:7" ht="10.5" customHeight="1">
      <c r="A90" s="360"/>
      <c r="B90" s="360"/>
      <c r="C90" s="360"/>
      <c r="D90" s="360"/>
      <c r="E90" s="360"/>
      <c r="F90" s="360"/>
      <c r="G90" s="360"/>
    </row>
    <row r="91" spans="1:7" ht="10.5" customHeight="1">
      <c r="A91" s="360"/>
      <c r="B91" s="360"/>
      <c r="C91" s="360"/>
      <c r="D91" s="360"/>
      <c r="E91" s="360"/>
      <c r="F91" s="360"/>
      <c r="G91" s="360"/>
    </row>
    <row r="92" spans="1:7" ht="10.5" customHeight="1">
      <c r="A92" s="360"/>
      <c r="B92" s="360"/>
      <c r="C92" s="360"/>
      <c r="D92" s="360"/>
      <c r="E92" s="360"/>
      <c r="F92" s="360"/>
      <c r="G92" s="360"/>
    </row>
    <row r="93" spans="1:7" ht="10.5" customHeight="1">
      <c r="A93" s="360"/>
      <c r="B93" s="360"/>
      <c r="C93" s="360"/>
      <c r="D93" s="360"/>
      <c r="E93" s="360"/>
      <c r="F93" s="360"/>
      <c r="G93" s="360"/>
    </row>
    <row r="94" spans="1:7" ht="10.5" customHeight="1">
      <c r="A94" s="360"/>
      <c r="B94" s="360"/>
      <c r="C94" s="360"/>
      <c r="D94" s="360"/>
      <c r="E94" s="360"/>
      <c r="F94" s="360"/>
      <c r="G94" s="360"/>
    </row>
    <row r="95" spans="1:7" ht="10.5" customHeight="1">
      <c r="A95" s="360"/>
      <c r="B95" s="360"/>
      <c r="C95" s="360"/>
      <c r="D95" s="360"/>
      <c r="E95" s="360"/>
      <c r="F95" s="360"/>
      <c r="G95" s="360"/>
    </row>
    <row r="96" spans="1:7" ht="10.5" customHeight="1">
      <c r="A96" s="360"/>
      <c r="B96" s="360"/>
      <c r="C96" s="360"/>
      <c r="D96" s="360"/>
      <c r="E96" s="360"/>
      <c r="F96" s="360"/>
      <c r="G96" s="360"/>
    </row>
    <row r="97" spans="1:7" ht="10.5" customHeight="1">
      <c r="A97" s="360"/>
      <c r="B97" s="360"/>
      <c r="C97" s="360"/>
      <c r="D97" s="360"/>
      <c r="E97" s="360"/>
      <c r="F97" s="360"/>
      <c r="G97" s="360"/>
    </row>
    <row r="98" spans="1:7" ht="10.5" customHeight="1">
      <c r="A98" s="360"/>
      <c r="B98" s="360"/>
      <c r="C98" s="360"/>
      <c r="D98" s="360"/>
      <c r="E98" s="360"/>
      <c r="F98" s="360"/>
      <c r="G98" s="360"/>
    </row>
    <row r="99" spans="1:7" ht="10.5" customHeight="1">
      <c r="A99" s="360"/>
      <c r="B99" s="360"/>
      <c r="C99" s="360"/>
      <c r="D99" s="360"/>
      <c r="E99" s="360"/>
      <c r="F99" s="360"/>
      <c r="G99" s="360"/>
    </row>
    <row r="100" spans="1:7" ht="10.5" customHeight="1">
      <c r="A100" s="360"/>
      <c r="B100" s="360"/>
      <c r="C100" s="360"/>
      <c r="D100" s="360"/>
      <c r="E100" s="360"/>
      <c r="F100" s="360"/>
      <c r="G100" s="360"/>
    </row>
    <row r="101" spans="1:7" ht="10.5" customHeight="1">
      <c r="A101" s="360"/>
      <c r="B101" s="360"/>
      <c r="C101" s="360"/>
      <c r="D101" s="360"/>
      <c r="E101" s="360"/>
      <c r="F101" s="360"/>
      <c r="G101" s="360"/>
    </row>
    <row r="102" spans="1:7" ht="10.5" customHeight="1">
      <c r="A102" s="360"/>
      <c r="B102" s="360"/>
      <c r="C102" s="360"/>
      <c r="D102" s="360"/>
      <c r="E102" s="360"/>
      <c r="F102" s="360"/>
      <c r="G102" s="360"/>
    </row>
    <row r="103" spans="1:7" ht="10.5" customHeight="1">
      <c r="A103" s="360"/>
      <c r="B103" s="360"/>
      <c r="C103" s="360"/>
      <c r="D103" s="360"/>
      <c r="E103" s="360"/>
      <c r="F103" s="360"/>
      <c r="G103" s="360"/>
    </row>
    <row r="104" spans="1:7" ht="10.5" customHeight="1">
      <c r="A104" s="360"/>
      <c r="B104" s="360"/>
      <c r="C104" s="360"/>
      <c r="D104" s="360"/>
      <c r="E104" s="360"/>
      <c r="F104" s="360"/>
      <c r="G104" s="360"/>
    </row>
    <row r="105" spans="1:7" ht="10.5" customHeight="1">
      <c r="A105" s="360"/>
      <c r="B105" s="360"/>
      <c r="C105" s="360"/>
      <c r="D105" s="360"/>
      <c r="E105" s="360"/>
      <c r="F105" s="360"/>
      <c r="G105" s="360"/>
    </row>
    <row r="106" spans="1:7" ht="10.5" customHeight="1">
      <c r="A106" s="360"/>
      <c r="B106" s="360"/>
      <c r="C106" s="360"/>
      <c r="D106" s="360"/>
      <c r="E106" s="360"/>
      <c r="F106" s="360"/>
      <c r="G106" s="360"/>
    </row>
    <row r="107" spans="1:7" ht="10.5" customHeight="1">
      <c r="A107" s="360"/>
      <c r="B107" s="360"/>
      <c r="C107" s="360"/>
      <c r="D107" s="360"/>
      <c r="E107" s="360"/>
      <c r="F107" s="360"/>
      <c r="G107" s="360"/>
    </row>
  </sheetData>
  <mergeCells count="5">
    <mergeCell ref="A1:A4"/>
    <mergeCell ref="B1:B4"/>
    <mergeCell ref="C1:F1"/>
    <mergeCell ref="C2:E2"/>
    <mergeCell ref="F2:F3"/>
  </mergeCells>
  <conditionalFormatting sqref="K70:K71">
    <cfRule type="cellIs" dxfId="0" priority="1" operator="greaterThan">
      <formula>0</formula>
    </cfRule>
  </conditionalFormatting>
  <pageMargins left="0.70866141732283472" right="0.47244094488188981"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2019&amp;C19&amp;R&amp;7Dirección Ejecutiva
Sub Dirección de Gestión de Información</oddFooter>
  </headerFooter>
  <rowBreaks count="1" manualBreakCount="1">
    <brk id="69"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77A5"/>
  </sheetPr>
  <dimension ref="A1:M64"/>
  <sheetViews>
    <sheetView showGridLines="0" view="pageBreakPreview" zoomScale="145" zoomScaleNormal="100" zoomScaleSheetLayoutView="145" zoomScalePageLayoutView="160" workbookViewId="0">
      <selection activeCell="C12" sqref="C12"/>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 min="10" max="11" width="9.33203125" customWidth="1"/>
  </cols>
  <sheetData>
    <row r="1" spans="1:12" ht="15.75" customHeight="1">
      <c r="A1" s="976" t="s">
        <v>264</v>
      </c>
      <c r="B1" s="979" t="s">
        <v>55</v>
      </c>
      <c r="C1" s="982" t="str">
        <f>+'19. ANEXOI-2'!C1:F1</f>
        <v>ENERGÍA PRODUCIDA JUNIO 2019</v>
      </c>
      <c r="D1" s="982"/>
      <c r="E1" s="982"/>
      <c r="F1" s="982"/>
      <c r="G1" s="721" t="s">
        <v>290</v>
      </c>
      <c r="H1" s="204"/>
      <c r="I1" s="204"/>
      <c r="J1" s="204"/>
      <c r="K1" s="204"/>
    </row>
    <row r="2" spans="1:12" ht="11.25" customHeight="1">
      <c r="A2" s="977"/>
      <c r="B2" s="980"/>
      <c r="C2" s="983" t="s">
        <v>291</v>
      </c>
      <c r="D2" s="983"/>
      <c r="E2" s="983"/>
      <c r="F2" s="984" t="str">
        <f>"TOTAL 
"&amp;UPPER('1. Resumen'!Q4)</f>
        <v>TOTAL 
JUNIO</v>
      </c>
      <c r="G2" s="722" t="s">
        <v>292</v>
      </c>
      <c r="H2" s="195"/>
      <c r="I2" s="195"/>
      <c r="J2" s="195"/>
      <c r="K2" s="195"/>
      <c r="L2" s="36"/>
    </row>
    <row r="3" spans="1:12" ht="11.25" customHeight="1">
      <c r="A3" s="977"/>
      <c r="B3" s="980"/>
      <c r="C3" s="711" t="s">
        <v>223</v>
      </c>
      <c r="D3" s="711" t="s">
        <v>224</v>
      </c>
      <c r="E3" s="711" t="s">
        <v>293</v>
      </c>
      <c r="F3" s="985"/>
      <c r="G3" s="722">
        <v>2019</v>
      </c>
      <c r="H3" s="197"/>
      <c r="I3" s="196"/>
      <c r="J3" s="196"/>
      <c r="K3" s="196"/>
      <c r="L3" s="36"/>
    </row>
    <row r="4" spans="1:12" ht="11.25" customHeight="1">
      <c r="A4" s="986"/>
      <c r="B4" s="987"/>
      <c r="C4" s="712" t="s">
        <v>294</v>
      </c>
      <c r="D4" s="712" t="s">
        <v>294</v>
      </c>
      <c r="E4" s="712" t="s">
        <v>294</v>
      </c>
      <c r="F4" s="712" t="s">
        <v>294</v>
      </c>
      <c r="G4" s="723" t="s">
        <v>211</v>
      </c>
      <c r="H4" s="197"/>
      <c r="I4" s="197"/>
      <c r="J4" s="197"/>
      <c r="K4" s="197"/>
      <c r="L4" s="8"/>
    </row>
    <row r="5" spans="1:12" s="360" customFormat="1" ht="9" customHeight="1">
      <c r="A5" s="778" t="s">
        <v>257</v>
      </c>
      <c r="B5" s="714" t="s">
        <v>385</v>
      </c>
      <c r="C5" s="715"/>
      <c r="D5" s="715">
        <v>0</v>
      </c>
      <c r="E5" s="715"/>
      <c r="F5" s="715">
        <v>0</v>
      </c>
      <c r="G5" s="784">
        <v>784.23300749999999</v>
      </c>
      <c r="I5" s="460"/>
      <c r="J5" s="460"/>
      <c r="K5" s="587"/>
      <c r="L5" s="587"/>
    </row>
    <row r="6" spans="1:12" s="360" customFormat="1" ht="9" customHeight="1">
      <c r="A6" s="780" t="s">
        <v>386</v>
      </c>
      <c r="B6" s="574"/>
      <c r="C6" s="575"/>
      <c r="D6" s="575">
        <v>0</v>
      </c>
      <c r="E6" s="575"/>
      <c r="F6" s="575">
        <v>0</v>
      </c>
      <c r="G6" s="785">
        <v>784.23300749999999</v>
      </c>
      <c r="I6" s="460"/>
      <c r="J6" s="460"/>
      <c r="K6" s="587"/>
      <c r="L6" s="587"/>
    </row>
    <row r="7" spans="1:12" s="360" customFormat="1" ht="9" customHeight="1">
      <c r="A7" s="778" t="s">
        <v>96</v>
      </c>
      <c r="B7" s="714" t="s">
        <v>387</v>
      </c>
      <c r="C7" s="715">
        <v>53306.523067499998</v>
      </c>
      <c r="D7" s="715"/>
      <c r="E7" s="715"/>
      <c r="F7" s="715">
        <v>53306.523067499998</v>
      </c>
      <c r="G7" s="784">
        <v>387741.25113749993</v>
      </c>
      <c r="I7" s="460"/>
      <c r="J7" s="460"/>
      <c r="K7" s="587"/>
      <c r="L7" s="587"/>
    </row>
    <row r="8" spans="1:12" s="360" customFormat="1" ht="9" customHeight="1">
      <c r="A8" s="780" t="s">
        <v>388</v>
      </c>
      <c r="B8" s="574"/>
      <c r="C8" s="575">
        <v>53306.523067499998</v>
      </c>
      <c r="D8" s="575"/>
      <c r="E8" s="575"/>
      <c r="F8" s="575">
        <v>53306.523067499998</v>
      </c>
      <c r="G8" s="785">
        <v>387741.25113749993</v>
      </c>
      <c r="I8" s="460"/>
      <c r="J8" s="460"/>
      <c r="K8" s="587"/>
      <c r="L8" s="587"/>
    </row>
    <row r="9" spans="1:12" s="360" customFormat="1" ht="9" customHeight="1">
      <c r="A9" s="778" t="s">
        <v>536</v>
      </c>
      <c r="B9" s="714" t="s">
        <v>571</v>
      </c>
      <c r="C9" s="715"/>
      <c r="D9" s="715"/>
      <c r="E9" s="715">
        <v>4370.4773724999995</v>
      </c>
      <c r="F9" s="715">
        <v>4370.4773724999995</v>
      </c>
      <c r="G9" s="784">
        <v>12662.120734999999</v>
      </c>
      <c r="I9" s="460"/>
      <c r="J9" s="460"/>
      <c r="K9" s="587"/>
      <c r="L9" s="587"/>
    </row>
    <row r="10" spans="1:12" s="360" customFormat="1" ht="9" customHeight="1">
      <c r="A10" s="780" t="s">
        <v>544</v>
      </c>
      <c r="B10" s="574"/>
      <c r="C10" s="575"/>
      <c r="D10" s="575"/>
      <c r="E10" s="575">
        <v>4370.4773724999995</v>
      </c>
      <c r="F10" s="575">
        <v>4370.4773724999995</v>
      </c>
      <c r="G10" s="785">
        <v>12662.120734999999</v>
      </c>
      <c r="I10" s="460"/>
      <c r="J10" s="460"/>
      <c r="K10" s="587"/>
      <c r="L10" s="587"/>
    </row>
    <row r="11" spans="1:12" s="360" customFormat="1" ht="9" customHeight="1">
      <c r="A11" s="778" t="s">
        <v>470</v>
      </c>
      <c r="B11" s="714" t="s">
        <v>477</v>
      </c>
      <c r="C11" s="715"/>
      <c r="D11" s="715"/>
      <c r="E11" s="715">
        <v>14406.5407175</v>
      </c>
      <c r="F11" s="715">
        <v>14406.5407175</v>
      </c>
      <c r="G11" s="784">
        <v>77767.558339999989</v>
      </c>
      <c r="I11" s="460"/>
      <c r="J11" s="460"/>
      <c r="K11" s="587"/>
      <c r="L11" s="587"/>
    </row>
    <row r="12" spans="1:12" s="360" customFormat="1" ht="9" customHeight="1">
      <c r="A12" s="778" t="s">
        <v>472</v>
      </c>
      <c r="B12" s="714"/>
      <c r="C12" s="715"/>
      <c r="D12" s="715"/>
      <c r="E12" s="715">
        <v>14406.5407175</v>
      </c>
      <c r="F12" s="715">
        <v>14406.5407175</v>
      </c>
      <c r="G12" s="784">
        <v>77767.558339999989</v>
      </c>
      <c r="I12" s="460"/>
      <c r="J12" s="460"/>
      <c r="K12" s="587"/>
      <c r="L12" s="587"/>
    </row>
    <row r="13" spans="1:12" s="360" customFormat="1" ht="9" customHeight="1">
      <c r="A13" s="778" t="s">
        <v>258</v>
      </c>
      <c r="B13" s="714" t="s">
        <v>66</v>
      </c>
      <c r="C13" s="715"/>
      <c r="D13" s="715"/>
      <c r="E13" s="715">
        <v>2181.2907025</v>
      </c>
      <c r="F13" s="715">
        <v>2181.2907025</v>
      </c>
      <c r="G13" s="784">
        <v>32598.523434999996</v>
      </c>
      <c r="I13" s="460"/>
      <c r="J13" s="460"/>
      <c r="K13" s="587"/>
      <c r="L13" s="587"/>
    </row>
    <row r="14" spans="1:12" s="360" customFormat="1" ht="9" customHeight="1">
      <c r="A14" s="778"/>
      <c r="B14" s="714" t="s">
        <v>65</v>
      </c>
      <c r="C14" s="715"/>
      <c r="D14" s="715"/>
      <c r="E14" s="715">
        <v>2532.7437475000002</v>
      </c>
      <c r="F14" s="715">
        <v>2532.7437475000002</v>
      </c>
      <c r="G14" s="784">
        <v>34183.295270000002</v>
      </c>
      <c r="I14" s="460"/>
      <c r="J14" s="460"/>
      <c r="K14" s="587"/>
      <c r="L14" s="587"/>
    </row>
    <row r="15" spans="1:12" s="360" customFormat="1" ht="9" customHeight="1">
      <c r="A15" s="780"/>
      <c r="B15" s="574" t="s">
        <v>69</v>
      </c>
      <c r="C15" s="575"/>
      <c r="D15" s="575"/>
      <c r="E15" s="575">
        <v>1600.2257824999999</v>
      </c>
      <c r="F15" s="575">
        <v>1600.2257824999999</v>
      </c>
      <c r="G15" s="785">
        <v>21234.376657499994</v>
      </c>
      <c r="I15" s="460"/>
      <c r="J15" s="460"/>
      <c r="K15" s="587"/>
      <c r="L15" s="587"/>
    </row>
    <row r="16" spans="1:12" s="360" customFormat="1" ht="9" customHeight="1">
      <c r="A16" s="778"/>
      <c r="B16" s="714" t="s">
        <v>68</v>
      </c>
      <c r="C16" s="715"/>
      <c r="D16" s="715"/>
      <c r="E16" s="715">
        <v>1934.7021024999999</v>
      </c>
      <c r="F16" s="715">
        <v>1934.7021024999999</v>
      </c>
      <c r="G16" s="784">
        <v>22796.328114999997</v>
      </c>
      <c r="I16" s="460"/>
      <c r="J16" s="460"/>
      <c r="K16" s="587"/>
      <c r="L16" s="587"/>
    </row>
    <row r="17" spans="1:12" s="360" customFormat="1" ht="9" customHeight="1">
      <c r="A17" s="780" t="s">
        <v>389</v>
      </c>
      <c r="B17" s="574"/>
      <c r="C17" s="575"/>
      <c r="D17" s="575"/>
      <c r="E17" s="575">
        <v>8248.9623350000002</v>
      </c>
      <c r="F17" s="575">
        <v>8248.9623350000002</v>
      </c>
      <c r="G17" s="785">
        <v>110812.52347749998</v>
      </c>
      <c r="I17" s="460"/>
      <c r="J17" s="460"/>
      <c r="K17" s="587"/>
      <c r="L17" s="587"/>
    </row>
    <row r="18" spans="1:12" s="360" customFormat="1" ht="9" customHeight="1">
      <c r="A18" s="778" t="s">
        <v>103</v>
      </c>
      <c r="B18" s="714" t="s">
        <v>390</v>
      </c>
      <c r="C18" s="715"/>
      <c r="D18" s="715">
        <v>20583.389967499999</v>
      </c>
      <c r="E18" s="715"/>
      <c r="F18" s="715">
        <v>20583.389967499999</v>
      </c>
      <c r="G18" s="784">
        <v>119564.97418750003</v>
      </c>
      <c r="I18" s="460"/>
      <c r="J18" s="460"/>
      <c r="K18" s="587"/>
      <c r="L18" s="587"/>
    </row>
    <row r="19" spans="1:12" s="360" customFormat="1" ht="9" customHeight="1">
      <c r="A19" s="780" t="s">
        <v>391</v>
      </c>
      <c r="B19" s="574"/>
      <c r="C19" s="575"/>
      <c r="D19" s="575">
        <v>20583.389967499999</v>
      </c>
      <c r="E19" s="575"/>
      <c r="F19" s="575">
        <v>20583.389967499999</v>
      </c>
      <c r="G19" s="785">
        <v>119564.97418750003</v>
      </c>
      <c r="I19" s="460"/>
      <c r="J19" s="460"/>
      <c r="K19" s="587"/>
      <c r="L19" s="587"/>
    </row>
    <row r="20" spans="1:12" s="360" customFormat="1" ht="9" customHeight="1">
      <c r="A20" s="778" t="s">
        <v>121</v>
      </c>
      <c r="B20" s="714" t="s">
        <v>392</v>
      </c>
      <c r="C20" s="715"/>
      <c r="D20" s="715">
        <v>264.27637249999998</v>
      </c>
      <c r="E20" s="715"/>
      <c r="F20" s="715">
        <v>264.27637249999998</v>
      </c>
      <c r="G20" s="784">
        <v>42440.080027499986</v>
      </c>
      <c r="I20" s="460"/>
      <c r="J20" s="460"/>
      <c r="K20" s="587"/>
      <c r="L20" s="587"/>
    </row>
    <row r="21" spans="1:12" s="360" customFormat="1" ht="9" customHeight="1">
      <c r="A21" s="780" t="s">
        <v>393</v>
      </c>
      <c r="B21" s="574"/>
      <c r="C21" s="575"/>
      <c r="D21" s="575">
        <v>264.27637249999998</v>
      </c>
      <c r="E21" s="575"/>
      <c r="F21" s="575">
        <v>264.27637249999998</v>
      </c>
      <c r="G21" s="785">
        <v>42440.080027499986</v>
      </c>
      <c r="I21" s="460"/>
      <c r="J21" s="460"/>
      <c r="K21" s="587"/>
      <c r="L21" s="587"/>
    </row>
    <row r="22" spans="1:12" s="360" customFormat="1" ht="9" customHeight="1">
      <c r="A22" s="778" t="s">
        <v>114</v>
      </c>
      <c r="B22" s="714" t="s">
        <v>588</v>
      </c>
      <c r="C22" s="715"/>
      <c r="D22" s="715"/>
      <c r="E22" s="715">
        <v>12445.4965825</v>
      </c>
      <c r="F22" s="715">
        <v>12445.4965825</v>
      </c>
      <c r="G22" s="784">
        <v>14742.7596175</v>
      </c>
      <c r="I22" s="460"/>
      <c r="J22" s="460"/>
      <c r="K22" s="587"/>
      <c r="L22" s="587"/>
    </row>
    <row r="23" spans="1:12" s="360" customFormat="1" ht="9" customHeight="1">
      <c r="A23" s="778"/>
      <c r="B23" s="714" t="s">
        <v>70</v>
      </c>
      <c r="C23" s="715"/>
      <c r="D23" s="715"/>
      <c r="E23" s="715">
        <v>5528.6384099999996</v>
      </c>
      <c r="F23" s="715">
        <v>5528.6384099999996</v>
      </c>
      <c r="G23" s="784">
        <v>28826.573492499992</v>
      </c>
      <c r="I23" s="460"/>
      <c r="J23" s="460"/>
      <c r="K23" s="587"/>
      <c r="L23" s="587"/>
    </row>
    <row r="24" spans="1:12" s="360" customFormat="1" ht="9" customHeight="1">
      <c r="A24" s="780" t="s">
        <v>394</v>
      </c>
      <c r="B24" s="574"/>
      <c r="C24" s="575"/>
      <c r="D24" s="575"/>
      <c r="E24" s="575">
        <v>17974.134992499999</v>
      </c>
      <c r="F24" s="575">
        <v>17974.134992499999</v>
      </c>
      <c r="G24" s="785">
        <v>43569.333109999992</v>
      </c>
      <c r="I24" s="460"/>
      <c r="J24" s="460"/>
      <c r="K24" s="587"/>
      <c r="L24" s="587"/>
    </row>
    <row r="25" spans="1:12" s="360" customFormat="1" ht="9" customHeight="1">
      <c r="A25" s="778" t="s">
        <v>91</v>
      </c>
      <c r="B25" s="714" t="s">
        <v>395</v>
      </c>
      <c r="C25" s="715">
        <v>20514.473397499998</v>
      </c>
      <c r="D25" s="715"/>
      <c r="E25" s="715"/>
      <c r="F25" s="715">
        <v>20514.473397499998</v>
      </c>
      <c r="G25" s="784">
        <v>146582.29397999999</v>
      </c>
      <c r="I25" s="460"/>
      <c r="J25" s="460"/>
      <c r="K25" s="587"/>
      <c r="L25" s="587"/>
    </row>
    <row r="26" spans="1:12" s="360" customFormat="1" ht="9" customHeight="1">
      <c r="A26" s="778"/>
      <c r="B26" s="714" t="s">
        <v>396</v>
      </c>
      <c r="C26" s="715">
        <v>30937.081097500002</v>
      </c>
      <c r="D26" s="715"/>
      <c r="E26" s="715"/>
      <c r="F26" s="715">
        <v>30937.081097500002</v>
      </c>
      <c r="G26" s="784">
        <v>482567.54008250003</v>
      </c>
      <c r="I26" s="460"/>
      <c r="J26" s="460"/>
      <c r="K26" s="587"/>
      <c r="L26" s="587"/>
    </row>
    <row r="27" spans="1:12" s="360" customFormat="1" ht="9" customHeight="1">
      <c r="A27" s="778"/>
      <c r="B27" s="714" t="s">
        <v>397</v>
      </c>
      <c r="C27" s="715">
        <v>7014.1387775000003</v>
      </c>
      <c r="D27" s="715"/>
      <c r="E27" s="715"/>
      <c r="F27" s="715">
        <v>7014.1387775000003</v>
      </c>
      <c r="G27" s="784">
        <v>82271.667902499976</v>
      </c>
      <c r="I27" s="460"/>
      <c r="J27" s="460"/>
      <c r="K27" s="587"/>
      <c r="L27" s="587"/>
    </row>
    <row r="28" spans="1:12" s="360" customFormat="1" ht="9" customHeight="1">
      <c r="A28" s="778"/>
      <c r="B28" s="714" t="s">
        <v>398</v>
      </c>
      <c r="C28" s="715">
        <v>136.13175749999999</v>
      </c>
      <c r="D28" s="715"/>
      <c r="E28" s="715"/>
      <c r="F28" s="715">
        <v>136.13175749999999</v>
      </c>
      <c r="G28" s="784">
        <v>322.03889000000004</v>
      </c>
      <c r="I28" s="460"/>
      <c r="J28" s="460"/>
      <c r="K28" s="587"/>
      <c r="L28" s="587"/>
    </row>
    <row r="29" spans="1:12" s="360" customFormat="1" ht="9" customHeight="1">
      <c r="A29" s="778"/>
      <c r="B29" s="714" t="s">
        <v>399</v>
      </c>
      <c r="C29" s="715">
        <v>16560.387569999999</v>
      </c>
      <c r="D29" s="715"/>
      <c r="E29" s="715"/>
      <c r="F29" s="715">
        <v>16560.387569999999</v>
      </c>
      <c r="G29" s="784">
        <v>132013.54320999997</v>
      </c>
      <c r="I29" s="460"/>
      <c r="J29" s="460"/>
      <c r="K29" s="587"/>
      <c r="L29" s="587"/>
    </row>
    <row r="30" spans="1:12" s="360" customFormat="1" ht="9" customHeight="1">
      <c r="A30" s="778"/>
      <c r="B30" s="714" t="s">
        <v>400</v>
      </c>
      <c r="C30" s="715">
        <v>1992.3855775</v>
      </c>
      <c r="D30" s="715"/>
      <c r="E30" s="715"/>
      <c r="F30" s="715">
        <v>1992.3855775</v>
      </c>
      <c r="G30" s="784">
        <v>11826.654920000003</v>
      </c>
      <c r="I30" s="460"/>
      <c r="J30" s="460"/>
      <c r="K30" s="587"/>
      <c r="L30" s="587"/>
    </row>
    <row r="31" spans="1:12" s="360" customFormat="1" ht="9" customHeight="1">
      <c r="A31" s="778"/>
      <c r="B31" s="714" t="s">
        <v>401</v>
      </c>
      <c r="C31" s="715">
        <v>5171.9812199999997</v>
      </c>
      <c r="D31" s="715"/>
      <c r="E31" s="715"/>
      <c r="F31" s="715">
        <v>5171.9812199999997</v>
      </c>
      <c r="G31" s="784">
        <v>19799.393940000002</v>
      </c>
      <c r="I31" s="460"/>
      <c r="J31" s="460"/>
      <c r="K31" s="587"/>
      <c r="L31" s="587"/>
    </row>
    <row r="32" spans="1:12" s="360" customFormat="1" ht="8.25" customHeight="1">
      <c r="A32" s="778"/>
      <c r="B32" s="714" t="s">
        <v>402</v>
      </c>
      <c r="C32" s="715">
        <v>2621.6985725000004</v>
      </c>
      <c r="D32" s="715"/>
      <c r="E32" s="715"/>
      <c r="F32" s="715">
        <v>2621.6985725000004</v>
      </c>
      <c r="G32" s="784">
        <v>12631.688629999993</v>
      </c>
      <c r="I32" s="460"/>
      <c r="J32" s="460"/>
      <c r="K32" s="587"/>
      <c r="L32" s="587"/>
    </row>
    <row r="33" spans="1:12" s="360" customFormat="1" ht="9" customHeight="1">
      <c r="A33" s="778"/>
      <c r="B33" s="714" t="s">
        <v>403</v>
      </c>
      <c r="C33" s="715">
        <v>1294.9652750000002</v>
      </c>
      <c r="D33" s="715"/>
      <c r="E33" s="715"/>
      <c r="F33" s="715">
        <v>1294.9652750000002</v>
      </c>
      <c r="G33" s="784">
        <v>8833.463389999999</v>
      </c>
      <c r="I33" s="460"/>
      <c r="J33" s="460"/>
      <c r="K33" s="587"/>
      <c r="L33" s="587"/>
    </row>
    <row r="34" spans="1:12" s="360" customFormat="1" ht="9" customHeight="1">
      <c r="A34" s="778"/>
      <c r="B34" s="714" t="s">
        <v>404</v>
      </c>
      <c r="C34" s="715">
        <v>305.11711500000001</v>
      </c>
      <c r="D34" s="715"/>
      <c r="E34" s="715"/>
      <c r="F34" s="715">
        <v>305.11711500000001</v>
      </c>
      <c r="G34" s="784">
        <v>1823.0094399999998</v>
      </c>
      <c r="I34" s="460"/>
      <c r="J34" s="460"/>
      <c r="K34" s="587"/>
      <c r="L34" s="587"/>
    </row>
    <row r="35" spans="1:12" s="360" customFormat="1" ht="9" customHeight="1">
      <c r="A35" s="778"/>
      <c r="B35" s="714" t="s">
        <v>405</v>
      </c>
      <c r="C35" s="715">
        <v>222.5516025</v>
      </c>
      <c r="D35" s="715"/>
      <c r="E35" s="715"/>
      <c r="F35" s="715">
        <v>222.5516025</v>
      </c>
      <c r="G35" s="784">
        <v>1348.6561200000003</v>
      </c>
      <c r="I35" s="460"/>
      <c r="J35" s="460"/>
      <c r="K35" s="587"/>
      <c r="L35" s="587"/>
    </row>
    <row r="36" spans="1:12" s="360" customFormat="1" ht="9" customHeight="1">
      <c r="A36" s="778"/>
      <c r="B36" s="714" t="s">
        <v>406</v>
      </c>
      <c r="C36" s="715">
        <v>72798.96093999999</v>
      </c>
      <c r="D36" s="715"/>
      <c r="E36" s="715"/>
      <c r="F36" s="715">
        <v>72798.96093999999</v>
      </c>
      <c r="G36" s="784">
        <v>409875.79932250001</v>
      </c>
      <c r="I36" s="460"/>
      <c r="J36" s="460"/>
      <c r="K36" s="587"/>
      <c r="L36" s="587"/>
    </row>
    <row r="37" spans="1:12" s="360" customFormat="1" ht="9" customHeight="1">
      <c r="A37" s="780" t="s">
        <v>407</v>
      </c>
      <c r="B37" s="574"/>
      <c r="C37" s="575">
        <v>159569.87290249998</v>
      </c>
      <c r="D37" s="575"/>
      <c r="E37" s="575"/>
      <c r="F37" s="575">
        <v>159569.87290249998</v>
      </c>
      <c r="G37" s="785">
        <v>1309895.7498275002</v>
      </c>
      <c r="I37" s="460"/>
      <c r="J37" s="460"/>
      <c r="K37" s="587"/>
      <c r="L37" s="587"/>
    </row>
    <row r="38" spans="1:12" s="360" customFormat="1" ht="9" customHeight="1">
      <c r="A38" s="778" t="s">
        <v>110</v>
      </c>
      <c r="B38" s="714" t="s">
        <v>243</v>
      </c>
      <c r="C38" s="715"/>
      <c r="D38" s="715"/>
      <c r="E38" s="715">
        <v>2841.3957125000002</v>
      </c>
      <c r="F38" s="715">
        <v>2841.3957125000002</v>
      </c>
      <c r="G38" s="784">
        <v>22828.680792500007</v>
      </c>
      <c r="K38" s="587"/>
      <c r="L38" s="587"/>
    </row>
    <row r="39" spans="1:12" s="360" customFormat="1" ht="9" customHeight="1">
      <c r="A39" s="780" t="s">
        <v>408</v>
      </c>
      <c r="B39" s="574"/>
      <c r="C39" s="575"/>
      <c r="D39" s="575"/>
      <c r="E39" s="575">
        <v>2841.3957125000002</v>
      </c>
      <c r="F39" s="575">
        <v>2841.3957125000002</v>
      </c>
      <c r="G39" s="785">
        <v>22828.680792500007</v>
      </c>
      <c r="K39" s="587"/>
      <c r="L39" s="587"/>
    </row>
    <row r="40" spans="1:12">
      <c r="A40" s="778" t="s">
        <v>101</v>
      </c>
      <c r="B40" s="714" t="s">
        <v>541</v>
      </c>
      <c r="C40" s="714"/>
      <c r="D40" s="714">
        <v>125521.0348125</v>
      </c>
      <c r="E40" s="714"/>
      <c r="F40" s="714">
        <v>125521.0348125</v>
      </c>
      <c r="G40" s="786">
        <v>878126.57082999963</v>
      </c>
    </row>
    <row r="41" spans="1:12">
      <c r="A41" s="780" t="s">
        <v>409</v>
      </c>
      <c r="B41" s="574"/>
      <c r="C41" s="575"/>
      <c r="D41" s="575">
        <v>125521.0348125</v>
      </c>
      <c r="E41" s="575"/>
      <c r="F41" s="575">
        <v>125521.0348125</v>
      </c>
      <c r="G41" s="785">
        <v>878126.57082999963</v>
      </c>
    </row>
    <row r="42" spans="1:12">
      <c r="A42" s="787" t="s">
        <v>106</v>
      </c>
      <c r="B42" s="728" t="s">
        <v>410</v>
      </c>
      <c r="C42" s="729"/>
      <c r="D42" s="729">
        <v>22282.443610000002</v>
      </c>
      <c r="E42" s="729"/>
      <c r="F42" s="729">
        <v>22282.443610000002</v>
      </c>
      <c r="G42" s="788">
        <v>107077.483865</v>
      </c>
    </row>
    <row r="43" spans="1:12">
      <c r="A43" s="789" t="s">
        <v>411</v>
      </c>
      <c r="B43" s="790"/>
      <c r="C43" s="791"/>
      <c r="D43" s="791">
        <v>22282.443610000002</v>
      </c>
      <c r="E43" s="791"/>
      <c r="F43" s="791">
        <v>22282.443610000002</v>
      </c>
      <c r="G43" s="792">
        <v>107077.483865</v>
      </c>
    </row>
    <row r="44" spans="1:12">
      <c r="A44" s="554" t="s">
        <v>511</v>
      </c>
      <c r="B44" s="554"/>
      <c r="C44" s="553">
        <v>1989420.7571474998</v>
      </c>
      <c r="D44" s="553">
        <v>1939939.6518075</v>
      </c>
      <c r="E44" s="553">
        <v>359997.69221750007</v>
      </c>
      <c r="F44" s="553">
        <v>4289358.1011725022</v>
      </c>
      <c r="G44" s="730">
        <v>26348143.163722523</v>
      </c>
    </row>
    <row r="45" spans="1:12">
      <c r="A45" s="554" t="s">
        <v>412</v>
      </c>
      <c r="B45" s="554"/>
      <c r="C45" s="555"/>
      <c r="D45" s="555"/>
      <c r="E45" s="609"/>
      <c r="F45" s="556">
        <f>+'3. Tipo Generación'!D14*1000</f>
        <v>17062.013390000004</v>
      </c>
      <c r="G45" s="731">
        <f>+'4. Tipo Recurso'!$G$21*1000</f>
        <v>29997.176460000013</v>
      </c>
    </row>
    <row r="46" spans="1:12">
      <c r="A46" s="732" t="s">
        <v>413</v>
      </c>
      <c r="B46" s="554"/>
      <c r="C46" s="555"/>
      <c r="D46" s="555"/>
      <c r="E46" s="609"/>
      <c r="F46" s="556"/>
      <c r="G46" s="731"/>
    </row>
    <row r="47" spans="1:12" ht="6.75" customHeight="1">
      <c r="A47" s="733"/>
      <c r="B47" s="733"/>
      <c r="C47" s="733"/>
      <c r="D47" s="733"/>
      <c r="E47" s="733"/>
      <c r="F47" s="733"/>
      <c r="G47" s="733"/>
    </row>
    <row r="48" spans="1:12" ht="23.25" customHeight="1">
      <c r="A48" s="988" t="s">
        <v>555</v>
      </c>
      <c r="B48" s="988"/>
      <c r="C48" s="988"/>
      <c r="D48" s="988"/>
      <c r="E48" s="988"/>
      <c r="F48" s="988"/>
      <c r="G48" s="988"/>
    </row>
    <row r="49" spans="1:13" ht="17.25" customHeight="1">
      <c r="A49" s="823" t="s">
        <v>600</v>
      </c>
      <c r="B49" s="823"/>
      <c r="C49" s="823"/>
      <c r="D49" s="823"/>
      <c r="E49" s="823"/>
      <c r="F49" s="823"/>
      <c r="G49" s="823"/>
      <c r="H49" s="46"/>
    </row>
    <row r="50" spans="1:13" ht="17.25" customHeight="1">
      <c r="A50" s="823" t="s">
        <v>601</v>
      </c>
      <c r="B50" s="823"/>
      <c r="C50" s="823"/>
      <c r="D50" s="823"/>
      <c r="E50" s="823"/>
      <c r="F50" s="823"/>
      <c r="G50" s="823"/>
      <c r="H50" s="46"/>
    </row>
    <row r="51" spans="1:13" s="450" customFormat="1" ht="17.25" customHeight="1">
      <c r="A51" s="823" t="s">
        <v>602</v>
      </c>
      <c r="B51" s="823"/>
      <c r="C51" s="823"/>
      <c r="D51" s="823"/>
      <c r="E51" s="823"/>
      <c r="F51" s="823"/>
      <c r="G51" s="823"/>
      <c r="H51" s="46"/>
      <c r="I51"/>
      <c r="J51"/>
      <c r="K51"/>
      <c r="L51"/>
      <c r="M51"/>
    </row>
    <row r="52" spans="1:13" ht="17.25" customHeight="1">
      <c r="A52" s="823" t="s">
        <v>603</v>
      </c>
      <c r="B52" s="823"/>
      <c r="C52" s="823"/>
      <c r="D52" s="823"/>
      <c r="E52" s="823"/>
      <c r="F52" s="823"/>
      <c r="G52" s="823"/>
      <c r="H52" s="46"/>
    </row>
    <row r="53" spans="1:13" ht="17.25" customHeight="1">
      <c r="A53" s="823" t="s">
        <v>717</v>
      </c>
      <c r="B53" s="293"/>
      <c r="C53" s="293"/>
      <c r="D53" s="293"/>
      <c r="E53" s="293"/>
      <c r="F53" s="293"/>
      <c r="G53" s="46"/>
      <c r="H53" s="46"/>
    </row>
    <row r="54" spans="1:13" ht="17.25" customHeight="1">
      <c r="A54" s="823" t="s">
        <v>716</v>
      </c>
      <c r="B54" s="293"/>
      <c r="C54" s="293"/>
      <c r="D54" s="293"/>
      <c r="E54" s="293"/>
      <c r="F54" s="293"/>
      <c r="G54" s="46"/>
      <c r="H54" s="46"/>
    </row>
    <row r="55" spans="1:13">
      <c r="A55" s="360"/>
      <c r="B55" s="281"/>
      <c r="C55" s="281"/>
      <c r="D55" s="281"/>
      <c r="E55" s="281"/>
      <c r="F55" s="281"/>
    </row>
    <row r="56" spans="1:13">
      <c r="A56" s="360"/>
      <c r="B56" s="281"/>
      <c r="C56" s="281"/>
      <c r="D56" s="281"/>
      <c r="E56" s="281"/>
      <c r="F56" s="281"/>
    </row>
    <row r="57" spans="1:13">
      <c r="A57" s="360"/>
      <c r="B57" s="281"/>
      <c r="C57" s="281"/>
      <c r="D57" s="281"/>
      <c r="E57" s="281"/>
      <c r="F57" s="281"/>
    </row>
    <row r="58" spans="1:13">
      <c r="A58" s="360"/>
      <c r="B58" s="281"/>
      <c r="C58" s="281"/>
      <c r="D58" s="281"/>
      <c r="E58" s="281"/>
      <c r="F58" s="281"/>
    </row>
    <row r="59" spans="1:13">
      <c r="A59" s="360"/>
      <c r="B59" s="281"/>
      <c r="C59" s="281"/>
      <c r="D59" s="281"/>
      <c r="E59" s="281"/>
      <c r="F59" s="281"/>
    </row>
    <row r="60" spans="1:13">
      <c r="A60" s="360"/>
      <c r="B60" s="281"/>
      <c r="C60" s="281"/>
      <c r="D60" s="281"/>
      <c r="E60" s="281"/>
      <c r="F60" s="281"/>
    </row>
    <row r="61" spans="1:13">
      <c r="A61" s="360"/>
      <c r="B61" s="281"/>
      <c r="C61" s="281"/>
      <c r="D61" s="281"/>
      <c r="E61" s="281"/>
      <c r="F61" s="281"/>
    </row>
    <row r="62" spans="1:13">
      <c r="A62" s="360"/>
    </row>
    <row r="63" spans="1:13">
      <c r="A63" s="360"/>
    </row>
    <row r="64" spans="1:13">
      <c r="A64" s="360"/>
    </row>
  </sheetData>
  <mergeCells count="6">
    <mergeCell ref="A48:G48"/>
    <mergeCell ref="A1:A4"/>
    <mergeCell ref="B1:B4"/>
    <mergeCell ref="C1:F1"/>
    <mergeCell ref="C2:E2"/>
    <mergeCell ref="F2:F3"/>
  </mergeCells>
  <pageMargins left="0.70866141732283472" right="0.47244094488188981"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77A5"/>
  </sheetPr>
  <dimension ref="A1:P184"/>
  <sheetViews>
    <sheetView showGridLines="0" view="pageBreakPreview" zoomScale="130" zoomScaleNormal="100" zoomScaleSheetLayoutView="130" zoomScalePageLayoutView="160" workbookViewId="0">
      <selection activeCell="C12" sqref="C12"/>
    </sheetView>
  </sheetViews>
  <sheetFormatPr defaultColWidth="9.33203125" defaultRowHeight="9"/>
  <cols>
    <col min="1" max="1" width="28.6640625" style="281" customWidth="1"/>
    <col min="2" max="2" width="22.1640625" style="281" customWidth="1"/>
    <col min="3" max="4" width="17.6640625" style="281" customWidth="1"/>
    <col min="5" max="5" width="15.1640625" style="281" customWidth="1"/>
    <col min="6" max="6" width="12.1640625" style="281" customWidth="1"/>
    <col min="7" max="7" width="9.33203125" style="281"/>
    <col min="8" max="8" width="15.6640625" style="281" customWidth="1"/>
    <col min="9" max="9" width="9.33203125" style="281"/>
    <col min="10" max="11" width="9.33203125" style="281" customWidth="1"/>
    <col min="12" max="16384" width="9.33203125" style="281"/>
  </cols>
  <sheetData>
    <row r="1" spans="1:12" ht="11.25" customHeight="1">
      <c r="A1" s="746" t="s">
        <v>416</v>
      </c>
      <c r="B1" s="747"/>
      <c r="C1" s="747"/>
      <c r="D1" s="747"/>
      <c r="E1" s="747"/>
      <c r="F1" s="747"/>
    </row>
    <row r="2" spans="1:12" s="360" customFormat="1" ht="11.25" customHeight="1">
      <c r="A2" s="989" t="s">
        <v>264</v>
      </c>
      <c r="B2" s="992" t="s">
        <v>55</v>
      </c>
      <c r="C2" s="992" t="s">
        <v>417</v>
      </c>
      <c r="D2" s="992"/>
      <c r="E2" s="992"/>
      <c r="F2" s="995"/>
      <c r="G2" s="477"/>
      <c r="H2" s="477"/>
      <c r="I2" s="477"/>
      <c r="J2" s="477"/>
      <c r="K2" s="477"/>
    </row>
    <row r="3" spans="1:12" s="360" customFormat="1" ht="11.25" customHeight="1">
      <c r="A3" s="990"/>
      <c r="B3" s="993"/>
      <c r="C3" s="557" t="str">
        <f>UPPER('1. Resumen'!Q4)&amp;" "&amp;'1. Resumen'!Q5</f>
        <v>JUNIO 2019</v>
      </c>
      <c r="D3" s="558" t="str">
        <f>UPPER('1. Resumen'!Q4)&amp;" "&amp;'1. Resumen'!Q5-1</f>
        <v>JUNIO 2018</v>
      </c>
      <c r="E3" s="851" t="s">
        <v>700</v>
      </c>
      <c r="F3" s="734" t="s">
        <v>546</v>
      </c>
      <c r="G3" s="478"/>
      <c r="H3" s="478"/>
      <c r="I3" s="478"/>
      <c r="J3" s="478"/>
      <c r="K3" s="478"/>
      <c r="L3" s="477"/>
    </row>
    <row r="4" spans="1:12" s="360" customFormat="1" ht="11.25" customHeight="1">
      <c r="A4" s="990"/>
      <c r="B4" s="993"/>
      <c r="C4" s="560">
        <f>+'8. Max Potencia'!D8</f>
        <v>43635.75</v>
      </c>
      <c r="D4" s="560">
        <f>+'8. Max Potencia'!E8</f>
        <v>43256.78125</v>
      </c>
      <c r="E4" s="560">
        <f>+'8. Max Potencia'!E8</f>
        <v>43256.78125</v>
      </c>
      <c r="F4" s="735" t="s">
        <v>414</v>
      </c>
      <c r="G4" s="479"/>
      <c r="H4" s="479"/>
      <c r="I4" s="480"/>
      <c r="J4" s="480"/>
      <c r="K4" s="480"/>
      <c r="L4" s="477"/>
    </row>
    <row r="5" spans="1:12" s="360" customFormat="1" ht="11.25" customHeight="1">
      <c r="A5" s="991"/>
      <c r="B5" s="994"/>
      <c r="C5" s="738">
        <f>+'8. Max Potencia'!D9</f>
        <v>43635.75</v>
      </c>
      <c r="D5" s="738">
        <f>+'8. Max Potencia'!E9</f>
        <v>43256.78125</v>
      </c>
      <c r="E5" s="738">
        <f>+E4</f>
        <v>43256.78125</v>
      </c>
      <c r="F5" s="739" t="s">
        <v>415</v>
      </c>
      <c r="G5" s="479"/>
      <c r="H5" s="479"/>
      <c r="I5" s="479"/>
      <c r="J5" s="479"/>
      <c r="K5" s="479"/>
      <c r="L5" s="481"/>
    </row>
    <row r="6" spans="1:12" s="360" customFormat="1" ht="10.5" customHeight="1">
      <c r="A6" s="800" t="s">
        <v>123</v>
      </c>
      <c r="B6" s="474" t="s">
        <v>87</v>
      </c>
      <c r="C6" s="482">
        <v>17.947790000000001</v>
      </c>
      <c r="D6" s="482">
        <v>0</v>
      </c>
      <c r="E6" s="482">
        <v>0</v>
      </c>
      <c r="F6" s="805" t="str">
        <f>+IF(D6=0,"",C6/D6-1)</f>
        <v/>
      </c>
      <c r="G6" s="479"/>
      <c r="H6" s="591"/>
      <c r="I6" s="591"/>
      <c r="J6" s="479"/>
      <c r="K6" s="479"/>
      <c r="L6" s="483"/>
    </row>
    <row r="7" spans="1:12" s="360" customFormat="1" ht="10.5" customHeight="1">
      <c r="A7" s="780" t="s">
        <v>295</v>
      </c>
      <c r="B7" s="574"/>
      <c r="C7" s="576">
        <v>17.947790000000001</v>
      </c>
      <c r="D7" s="576">
        <v>0</v>
      </c>
      <c r="E7" s="576">
        <v>0</v>
      </c>
      <c r="F7" s="781" t="str">
        <f t="shared" ref="F7:F71" si="0">+IF(D7=0,"",C7/D7-1)</f>
        <v/>
      </c>
      <c r="G7" s="479"/>
      <c r="H7" s="591"/>
      <c r="I7" s="591"/>
      <c r="J7" s="479"/>
      <c r="K7" s="479"/>
      <c r="L7" s="484"/>
    </row>
    <row r="8" spans="1:12" s="360" customFormat="1" ht="10.5" customHeight="1">
      <c r="A8" s="800" t="s">
        <v>122</v>
      </c>
      <c r="B8" s="474" t="s">
        <v>64</v>
      </c>
      <c r="C8" s="482">
        <v>0</v>
      </c>
      <c r="D8" s="482">
        <v>18.205300000000001</v>
      </c>
      <c r="E8" s="482">
        <v>14.63743</v>
      </c>
      <c r="F8" s="806">
        <f t="shared" si="0"/>
        <v>-1</v>
      </c>
      <c r="G8" s="479"/>
      <c r="H8" s="591"/>
      <c r="I8" s="591"/>
      <c r="J8" s="479"/>
      <c r="K8" s="479"/>
      <c r="L8" s="485"/>
    </row>
    <row r="9" spans="1:12" s="360" customFormat="1" ht="10.5" customHeight="1">
      <c r="A9" s="780" t="s">
        <v>296</v>
      </c>
      <c r="B9" s="574"/>
      <c r="C9" s="576">
        <v>0</v>
      </c>
      <c r="D9" s="576">
        <v>18.205300000000001</v>
      </c>
      <c r="E9" s="576">
        <v>14.63743</v>
      </c>
      <c r="F9" s="781">
        <f t="shared" si="0"/>
        <v>-1</v>
      </c>
      <c r="G9" s="479"/>
      <c r="H9" s="591"/>
      <c r="I9" s="591"/>
      <c r="J9" s="479"/>
      <c r="K9" s="479"/>
      <c r="L9" s="484"/>
    </row>
    <row r="10" spans="1:12" s="360" customFormat="1" ht="10.5" customHeight="1">
      <c r="A10" s="778" t="s">
        <v>107</v>
      </c>
      <c r="B10" s="714" t="s">
        <v>84</v>
      </c>
      <c r="C10" s="717">
        <v>14.48222</v>
      </c>
      <c r="D10" s="717">
        <v>0</v>
      </c>
      <c r="E10" s="717">
        <v>14.744210000000001</v>
      </c>
      <c r="F10" s="779" t="str">
        <f t="shared" si="0"/>
        <v/>
      </c>
      <c r="G10" s="479"/>
      <c r="H10" s="591"/>
      <c r="I10" s="591"/>
      <c r="J10" s="479"/>
      <c r="K10" s="479"/>
      <c r="L10" s="484"/>
    </row>
    <row r="11" spans="1:12" s="360" customFormat="1" ht="10.5" customHeight="1">
      <c r="A11" s="780" t="s">
        <v>297</v>
      </c>
      <c r="B11" s="574"/>
      <c r="C11" s="576">
        <v>14.48222</v>
      </c>
      <c r="D11" s="576">
        <v>0</v>
      </c>
      <c r="E11" s="576">
        <v>14.744210000000001</v>
      </c>
      <c r="F11" s="781" t="str">
        <f t="shared" si="0"/>
        <v/>
      </c>
      <c r="G11" s="479"/>
      <c r="H11" s="591"/>
      <c r="I11" s="591"/>
      <c r="J11" s="479"/>
      <c r="K11" s="479"/>
      <c r="L11" s="484"/>
    </row>
    <row r="12" spans="1:12" s="360" customFormat="1" ht="10.5" customHeight="1">
      <c r="A12" s="778" t="s">
        <v>500</v>
      </c>
      <c r="B12" s="714" t="s">
        <v>506</v>
      </c>
      <c r="C12" s="717">
        <v>19.996739999999999</v>
      </c>
      <c r="D12" s="717"/>
      <c r="E12" s="717"/>
      <c r="F12" s="779" t="str">
        <f t="shared" si="0"/>
        <v/>
      </c>
      <c r="G12" s="479"/>
      <c r="H12" s="591"/>
      <c r="I12" s="591"/>
      <c r="J12" s="479"/>
      <c r="K12" s="479"/>
      <c r="L12" s="484"/>
    </row>
    <row r="13" spans="1:12" s="360" customFormat="1" ht="10.5" customHeight="1">
      <c r="A13" s="780" t="s">
        <v>501</v>
      </c>
      <c r="B13" s="574"/>
      <c r="C13" s="576">
        <v>19.996739999999999</v>
      </c>
      <c r="D13" s="576"/>
      <c r="E13" s="576"/>
      <c r="F13" s="781" t="str">
        <f t="shared" si="0"/>
        <v/>
      </c>
      <c r="G13" s="479"/>
      <c r="H13" s="591"/>
      <c r="I13" s="591"/>
      <c r="J13" s="479"/>
      <c r="K13" s="479"/>
      <c r="L13" s="484"/>
    </row>
    <row r="14" spans="1:12" s="360" customFormat="1" ht="10.5" customHeight="1">
      <c r="A14" s="778" t="s">
        <v>95</v>
      </c>
      <c r="B14" s="714" t="s">
        <v>298</v>
      </c>
      <c r="C14" s="717">
        <v>167.84417999999999</v>
      </c>
      <c r="D14" s="717">
        <v>196.94517999999999</v>
      </c>
      <c r="E14" s="717">
        <v>197.18293</v>
      </c>
      <c r="F14" s="779">
        <f t="shared" si="0"/>
        <v>-0.14776193050269115</v>
      </c>
      <c r="G14" s="479"/>
      <c r="H14" s="591"/>
      <c r="I14" s="591"/>
      <c r="J14" s="479"/>
      <c r="K14" s="479"/>
      <c r="L14" s="484"/>
    </row>
    <row r="15" spans="1:12" s="360" customFormat="1" ht="10.5" customHeight="1">
      <c r="A15" s="780" t="s">
        <v>299</v>
      </c>
      <c r="B15" s="574"/>
      <c r="C15" s="576">
        <v>167.84417999999999</v>
      </c>
      <c r="D15" s="576">
        <v>196.94517999999999</v>
      </c>
      <c r="E15" s="576">
        <v>197.18293</v>
      </c>
      <c r="F15" s="781">
        <f t="shared" si="0"/>
        <v>-0.14776193050269115</v>
      </c>
      <c r="G15" s="479"/>
      <c r="H15" s="591"/>
      <c r="I15" s="591"/>
      <c r="J15" s="479"/>
      <c r="K15" s="479"/>
      <c r="L15" s="485"/>
    </row>
    <row r="16" spans="1:12" s="360" customFormat="1" ht="10.5" customHeight="1">
      <c r="A16" s="778" t="s">
        <v>248</v>
      </c>
      <c r="B16" s="714" t="s">
        <v>300</v>
      </c>
      <c r="C16" s="717"/>
      <c r="D16" s="717"/>
      <c r="E16" s="717">
        <v>92.333160000000007</v>
      </c>
      <c r="F16" s="779" t="str">
        <f t="shared" si="0"/>
        <v/>
      </c>
      <c r="G16" s="479"/>
      <c r="H16" s="591"/>
      <c r="I16" s="591"/>
      <c r="J16" s="479"/>
      <c r="K16" s="479"/>
      <c r="L16" s="485"/>
    </row>
    <row r="17" spans="1:16" s="360" customFormat="1" ht="10.5" customHeight="1">
      <c r="A17" s="780" t="s">
        <v>301</v>
      </c>
      <c r="B17" s="574"/>
      <c r="C17" s="576"/>
      <c r="D17" s="576"/>
      <c r="E17" s="576">
        <v>92.333160000000007</v>
      </c>
      <c r="F17" s="781" t="str">
        <f t="shared" si="0"/>
        <v/>
      </c>
      <c r="G17" s="479"/>
      <c r="H17" s="591"/>
      <c r="I17" s="591"/>
      <c r="J17" s="479"/>
      <c r="K17" s="479"/>
      <c r="L17" s="485"/>
    </row>
    <row r="18" spans="1:16" s="360" customFormat="1" ht="10.5" customHeight="1">
      <c r="A18" s="778" t="s">
        <v>94</v>
      </c>
      <c r="B18" s="714" t="s">
        <v>302</v>
      </c>
      <c r="C18" s="717">
        <v>0</v>
      </c>
      <c r="D18" s="717">
        <v>0</v>
      </c>
      <c r="E18" s="717">
        <v>0</v>
      </c>
      <c r="F18" s="779" t="str">
        <f t="shared" si="0"/>
        <v/>
      </c>
      <c r="G18" s="479"/>
      <c r="H18" s="591"/>
      <c r="I18" s="591"/>
      <c r="J18" s="479"/>
      <c r="K18" s="479"/>
      <c r="L18" s="479"/>
      <c r="M18" s="479"/>
      <c r="N18" s="479"/>
      <c r="O18" s="479"/>
      <c r="P18" s="479"/>
    </row>
    <row r="19" spans="1:16" s="360" customFormat="1" ht="10.5" customHeight="1">
      <c r="A19" s="778"/>
      <c r="B19" s="714" t="s">
        <v>303</v>
      </c>
      <c r="C19" s="717">
        <v>0</v>
      </c>
      <c r="D19" s="717">
        <v>0</v>
      </c>
      <c r="E19" s="717">
        <v>0</v>
      </c>
      <c r="F19" s="779" t="str">
        <f t="shared" si="0"/>
        <v/>
      </c>
      <c r="G19" s="479"/>
      <c r="H19" s="591"/>
      <c r="I19" s="591"/>
      <c r="J19" s="479"/>
      <c r="K19" s="479"/>
      <c r="L19" s="479"/>
      <c r="M19" s="479"/>
      <c r="N19" s="479"/>
      <c r="O19" s="479"/>
      <c r="P19" s="479"/>
    </row>
    <row r="20" spans="1:16" s="360" customFormat="1" ht="10.5" customHeight="1">
      <c r="A20" s="780" t="s">
        <v>304</v>
      </c>
      <c r="B20" s="574"/>
      <c r="C20" s="576">
        <v>105.97909</v>
      </c>
      <c r="D20" s="576">
        <v>124.90932000000001</v>
      </c>
      <c r="E20" s="576">
        <v>122.3028</v>
      </c>
      <c r="F20" s="781">
        <f t="shared" si="0"/>
        <v>-0.15155178172453432</v>
      </c>
      <c r="G20" s="479"/>
      <c r="H20" s="591"/>
      <c r="I20" s="591"/>
      <c r="J20" s="479"/>
      <c r="K20" s="479"/>
      <c r="L20" s="484"/>
    </row>
    <row r="21" spans="1:16" s="360" customFormat="1" ht="10.5" hidden="1" customHeight="1">
      <c r="A21" s="778" t="s">
        <v>92</v>
      </c>
      <c r="B21" s="714" t="s">
        <v>305</v>
      </c>
      <c r="C21" s="717">
        <v>16.648289999999999</v>
      </c>
      <c r="D21" s="717">
        <v>34.741689999999998</v>
      </c>
      <c r="E21" s="717">
        <v>20.109929999999999</v>
      </c>
      <c r="F21" s="779"/>
      <c r="G21" s="479"/>
      <c r="H21" s="591"/>
      <c r="I21" s="591"/>
      <c r="J21" s="479"/>
      <c r="K21" s="479"/>
      <c r="L21" s="484"/>
    </row>
    <row r="22" spans="1:16" s="360" customFormat="1" ht="10.5" hidden="1" customHeight="1">
      <c r="A22" s="780"/>
      <c r="B22" s="574" t="s">
        <v>306</v>
      </c>
      <c r="C22" s="576">
        <v>122.62738</v>
      </c>
      <c r="D22" s="576">
        <v>159.65101000000001</v>
      </c>
      <c r="E22" s="576">
        <v>142.41273000000001</v>
      </c>
      <c r="F22" s="781"/>
      <c r="G22" s="479"/>
      <c r="H22" s="591"/>
      <c r="I22" s="591"/>
      <c r="J22" s="479"/>
      <c r="K22" s="479"/>
      <c r="L22" s="484"/>
    </row>
    <row r="23" spans="1:16" s="360" customFormat="1" ht="10.5" customHeight="1">
      <c r="A23" s="778"/>
      <c r="B23" s="714" t="s">
        <v>307</v>
      </c>
      <c r="C23" s="717"/>
      <c r="D23" s="717"/>
      <c r="E23" s="717">
        <v>1.4499</v>
      </c>
      <c r="F23" s="779" t="str">
        <f t="shared" si="0"/>
        <v/>
      </c>
      <c r="G23" s="479"/>
      <c r="H23" s="591"/>
      <c r="I23" s="591"/>
      <c r="J23" s="479"/>
      <c r="K23" s="479"/>
      <c r="L23" s="484"/>
    </row>
    <row r="24" spans="1:16" s="360" customFormat="1" ht="10.5" customHeight="1">
      <c r="A24" s="778"/>
      <c r="B24" s="714" t="s">
        <v>308</v>
      </c>
      <c r="C24" s="717"/>
      <c r="D24" s="717"/>
      <c r="E24" s="717">
        <v>1.4499</v>
      </c>
      <c r="F24" s="779" t="str">
        <f t="shared" si="0"/>
        <v/>
      </c>
      <c r="G24" s="479"/>
      <c r="H24" s="591"/>
      <c r="I24" s="591"/>
      <c r="J24" s="479"/>
      <c r="K24" s="479"/>
      <c r="L24" s="484"/>
    </row>
    <row r="25" spans="1:16" s="360" customFormat="1" ht="10.5" customHeight="1">
      <c r="A25" s="778"/>
      <c r="B25" s="714" t="s">
        <v>309</v>
      </c>
      <c r="C25" s="717">
        <v>1.6803699999999999</v>
      </c>
      <c r="D25" s="717">
        <v>1.6860300000000001</v>
      </c>
      <c r="E25" s="717">
        <v>1.6935199999999999</v>
      </c>
      <c r="F25" s="779">
        <f t="shared" si="0"/>
        <v>-3.3569983926740044E-3</v>
      </c>
      <c r="G25" s="479"/>
      <c r="H25" s="591"/>
      <c r="I25" s="591"/>
      <c r="J25" s="479"/>
      <c r="K25" s="479"/>
      <c r="L25" s="486"/>
    </row>
    <row r="26" spans="1:16" s="360" customFormat="1" ht="10.5" customHeight="1">
      <c r="A26" s="778"/>
      <c r="B26" s="714" t="s">
        <v>310</v>
      </c>
      <c r="C26" s="717">
        <v>0.56848999999999994</v>
      </c>
      <c r="D26" s="717">
        <v>0.56292999999999993</v>
      </c>
      <c r="E26" s="717">
        <v>0.57996000000000003</v>
      </c>
      <c r="F26" s="779">
        <f t="shared" si="0"/>
        <v>9.876894107615497E-3</v>
      </c>
      <c r="G26" s="479"/>
      <c r="H26" s="591"/>
      <c r="I26" s="591"/>
      <c r="J26" s="479"/>
      <c r="K26" s="479"/>
      <c r="L26" s="484"/>
    </row>
    <row r="27" spans="1:16" s="360" customFormat="1" ht="10.5" customHeight="1">
      <c r="A27" s="778"/>
      <c r="B27" s="714" t="s">
        <v>311</v>
      </c>
      <c r="C27" s="717">
        <v>4.54054</v>
      </c>
      <c r="D27" s="717">
        <v>4.5377799999999997</v>
      </c>
      <c r="E27" s="717">
        <v>4.5414300000000001</v>
      </c>
      <c r="F27" s="779">
        <f t="shared" si="0"/>
        <v>6.0822693034934261E-4</v>
      </c>
      <c r="G27" s="479"/>
      <c r="H27" s="591"/>
      <c r="I27" s="591"/>
      <c r="J27" s="479"/>
      <c r="K27" s="479"/>
      <c r="L27" s="484"/>
    </row>
    <row r="28" spans="1:16" s="360" customFormat="1" ht="10.5" customHeight="1">
      <c r="A28" s="778"/>
      <c r="B28" s="714" t="s">
        <v>312</v>
      </c>
      <c r="C28" s="717">
        <v>10.358989999999999</v>
      </c>
      <c r="D28" s="717">
        <v>10.176349999999999</v>
      </c>
      <c r="E28" s="717">
        <v>14.57574</v>
      </c>
      <c r="F28" s="779">
        <f t="shared" si="0"/>
        <v>1.7947495909633515E-2</v>
      </c>
      <c r="G28" s="479"/>
      <c r="H28" s="591"/>
      <c r="I28" s="591"/>
      <c r="J28" s="479"/>
      <c r="K28" s="479"/>
      <c r="L28" s="484"/>
    </row>
    <row r="29" spans="1:16" s="360" customFormat="1" ht="10.5" customHeight="1">
      <c r="A29" s="778"/>
      <c r="B29" s="714" t="s">
        <v>313</v>
      </c>
      <c r="C29" s="717">
        <v>119.70899</v>
      </c>
      <c r="D29" s="717">
        <v>120.80642</v>
      </c>
      <c r="E29" s="717">
        <v>81.488379999999992</v>
      </c>
      <c r="F29" s="779">
        <f t="shared" si="0"/>
        <v>-9.0842026441972923E-3</v>
      </c>
      <c r="G29" s="479"/>
      <c r="H29" s="591"/>
      <c r="I29" s="591"/>
      <c r="J29" s="479"/>
      <c r="K29" s="479"/>
      <c r="L29" s="486"/>
    </row>
    <row r="30" spans="1:16" s="360" customFormat="1" ht="10.5" customHeight="1">
      <c r="A30" s="780" t="s">
        <v>314</v>
      </c>
      <c r="B30" s="574"/>
      <c r="C30" s="576">
        <v>6.3984100000000002</v>
      </c>
      <c r="D30" s="576">
        <v>6.3573899999999997</v>
      </c>
      <c r="E30" s="576">
        <v>8.4656800000000008</v>
      </c>
      <c r="F30" s="781">
        <f t="shared" si="0"/>
        <v>6.4523334261388232E-3</v>
      </c>
      <c r="G30" s="479"/>
      <c r="H30" s="591"/>
      <c r="I30" s="591"/>
      <c r="J30" s="479"/>
      <c r="K30" s="479"/>
      <c r="L30" s="484"/>
    </row>
    <row r="31" spans="1:16" s="360" customFormat="1" ht="10.5" customHeight="1">
      <c r="A31" s="778" t="s">
        <v>115</v>
      </c>
      <c r="B31" s="714" t="s">
        <v>71</v>
      </c>
      <c r="C31" s="717">
        <v>0</v>
      </c>
      <c r="D31" s="717">
        <v>0</v>
      </c>
      <c r="E31" s="717">
        <v>4.95871</v>
      </c>
      <c r="F31" s="779" t="str">
        <f t="shared" si="0"/>
        <v/>
      </c>
      <c r="G31" s="479"/>
      <c r="H31" s="591"/>
      <c r="I31" s="591"/>
      <c r="J31" s="479"/>
      <c r="K31" s="479"/>
      <c r="L31" s="484"/>
    </row>
    <row r="32" spans="1:16" s="360" customFormat="1" ht="10.5" customHeight="1">
      <c r="A32" s="780" t="s">
        <v>315</v>
      </c>
      <c r="B32" s="574"/>
      <c r="C32" s="576">
        <v>0</v>
      </c>
      <c r="D32" s="576">
        <v>0</v>
      </c>
      <c r="E32" s="576">
        <v>16.027560000000001</v>
      </c>
      <c r="F32" s="781" t="str">
        <f t="shared" si="0"/>
        <v/>
      </c>
      <c r="G32" s="479"/>
      <c r="H32" s="591"/>
      <c r="I32" s="591"/>
      <c r="J32" s="479"/>
      <c r="K32" s="479"/>
      <c r="L32" s="484"/>
    </row>
    <row r="33" spans="1:12" s="360" customFormat="1" ht="10.5" customHeight="1">
      <c r="A33" s="778" t="s">
        <v>93</v>
      </c>
      <c r="B33" s="714" t="s">
        <v>316</v>
      </c>
      <c r="C33" s="717">
        <v>0</v>
      </c>
      <c r="D33" s="717">
        <v>0</v>
      </c>
      <c r="E33" s="717">
        <v>69.218119999999999</v>
      </c>
      <c r="F33" s="779" t="str">
        <f t="shared" si="0"/>
        <v/>
      </c>
      <c r="G33" s="479"/>
      <c r="H33" s="591"/>
      <c r="I33" s="591"/>
      <c r="J33" s="479"/>
      <c r="K33" s="479"/>
      <c r="L33" s="484"/>
    </row>
    <row r="34" spans="1:12" s="360" customFormat="1" ht="10.5" customHeight="1">
      <c r="A34" s="780" t="s">
        <v>317</v>
      </c>
      <c r="B34" s="574"/>
      <c r="C34" s="576">
        <v>143.25579000000002</v>
      </c>
      <c r="D34" s="576">
        <v>144.12690000000001</v>
      </c>
      <c r="E34" s="576">
        <v>201.54910000000001</v>
      </c>
      <c r="F34" s="781">
        <f t="shared" si="0"/>
        <v>-6.0440486820988459E-3</v>
      </c>
      <c r="G34" s="479"/>
      <c r="H34" s="591"/>
      <c r="I34" s="591"/>
      <c r="J34" s="479"/>
      <c r="K34" s="479"/>
      <c r="L34" s="484"/>
    </row>
    <row r="35" spans="1:12" s="360" customFormat="1" ht="10.5" customHeight="1">
      <c r="A35" s="778" t="s">
        <v>102</v>
      </c>
      <c r="B35" s="714" t="s">
        <v>318</v>
      </c>
      <c r="C35" s="717">
        <v>0</v>
      </c>
      <c r="D35" s="717">
        <v>5.04</v>
      </c>
      <c r="E35" s="717">
        <v>2.52</v>
      </c>
      <c r="F35" s="779">
        <f t="shared" si="0"/>
        <v>-1</v>
      </c>
      <c r="G35" s="479"/>
      <c r="H35" s="591"/>
      <c r="I35" s="591"/>
      <c r="J35" s="479"/>
      <c r="K35" s="479"/>
      <c r="L35" s="484"/>
    </row>
    <row r="36" spans="1:12" s="360" customFormat="1" ht="10.5" customHeight="1">
      <c r="A36" s="778"/>
      <c r="B36" s="714" t="s">
        <v>319</v>
      </c>
      <c r="C36" s="717">
        <v>0</v>
      </c>
      <c r="D36" s="717">
        <v>5.04</v>
      </c>
      <c r="E36" s="717">
        <v>2.52</v>
      </c>
      <c r="F36" s="779">
        <f t="shared" si="0"/>
        <v>-1</v>
      </c>
      <c r="G36" s="479"/>
      <c r="H36" s="591"/>
      <c r="I36" s="591"/>
      <c r="J36" s="479"/>
      <c r="K36" s="479"/>
      <c r="L36" s="484"/>
    </row>
    <row r="37" spans="1:12" s="360" customFormat="1" ht="10.5" customHeight="1">
      <c r="A37" s="778"/>
      <c r="B37" s="714" t="s">
        <v>320</v>
      </c>
      <c r="C37" s="717">
        <v>136.76603</v>
      </c>
      <c r="D37" s="717">
        <v>162.91494999999998</v>
      </c>
      <c r="E37" s="717">
        <v>120.94345</v>
      </c>
      <c r="F37" s="779">
        <f t="shared" si="0"/>
        <v>-0.1605065710666822</v>
      </c>
      <c r="G37" s="479"/>
      <c r="H37" s="591"/>
      <c r="I37" s="591"/>
      <c r="J37" s="479"/>
      <c r="K37" s="479"/>
      <c r="L37" s="484"/>
    </row>
    <row r="38" spans="1:12" s="360" customFormat="1" ht="10.5" customHeight="1">
      <c r="A38" s="780" t="s">
        <v>321</v>
      </c>
      <c r="B38" s="574"/>
      <c r="C38" s="576">
        <v>136.76603</v>
      </c>
      <c r="D38" s="576">
        <v>162.91494999999998</v>
      </c>
      <c r="E38" s="576">
        <v>120.94345</v>
      </c>
      <c r="F38" s="781">
        <f t="shared" si="0"/>
        <v>-0.1605065710666822</v>
      </c>
      <c r="G38" s="479"/>
      <c r="H38" s="591"/>
      <c r="I38" s="591"/>
      <c r="J38" s="479"/>
      <c r="K38" s="479"/>
      <c r="L38" s="484"/>
    </row>
    <row r="39" spans="1:12" s="360" customFormat="1" ht="10.5" customHeight="1">
      <c r="A39" s="778" t="s">
        <v>120</v>
      </c>
      <c r="B39" s="714" t="s">
        <v>76</v>
      </c>
      <c r="C39" s="717">
        <v>0.23782</v>
      </c>
      <c r="D39" s="717">
        <v>0.88224000000000002</v>
      </c>
      <c r="E39" s="717">
        <v>0.84894999999999998</v>
      </c>
      <c r="F39" s="779">
        <f t="shared" si="0"/>
        <v>-0.73043616249546606</v>
      </c>
      <c r="G39" s="479"/>
      <c r="H39" s="591"/>
      <c r="I39" s="591"/>
      <c r="J39" s="479"/>
      <c r="K39" s="479"/>
      <c r="L39" s="484"/>
    </row>
    <row r="40" spans="1:12" s="360" customFormat="1" ht="10.5" customHeight="1">
      <c r="A40" s="780" t="s">
        <v>322</v>
      </c>
      <c r="B40" s="574"/>
      <c r="C40" s="576">
        <v>0.23782</v>
      </c>
      <c r="D40" s="576">
        <v>0.88224000000000002</v>
      </c>
      <c r="E40" s="576">
        <v>0.84894999999999998</v>
      </c>
      <c r="F40" s="781">
        <f t="shared" si="0"/>
        <v>-0.73043616249546606</v>
      </c>
      <c r="G40" s="479"/>
      <c r="H40" s="591"/>
      <c r="I40" s="591"/>
      <c r="J40" s="479"/>
      <c r="K40" s="479"/>
      <c r="L40" s="484"/>
    </row>
    <row r="41" spans="1:12" s="360" customFormat="1" ht="10.5" customHeight="1">
      <c r="A41" s="778" t="s">
        <v>116</v>
      </c>
      <c r="B41" s="714" t="s">
        <v>74</v>
      </c>
      <c r="C41" s="717">
        <v>2.7240599999999997</v>
      </c>
      <c r="D41" s="717">
        <v>3.4587300000000001</v>
      </c>
      <c r="E41" s="717">
        <v>3.68398</v>
      </c>
      <c r="F41" s="779">
        <f t="shared" si="0"/>
        <v>-0.21241033558560518</v>
      </c>
      <c r="G41" s="479"/>
      <c r="H41" s="591"/>
      <c r="I41" s="591"/>
      <c r="J41" s="479"/>
      <c r="K41" s="479"/>
      <c r="L41" s="484"/>
    </row>
    <row r="42" spans="1:12" s="360" customFormat="1" ht="10.5" customHeight="1">
      <c r="A42" s="780" t="s">
        <v>323</v>
      </c>
      <c r="B42" s="574"/>
      <c r="C42" s="576">
        <v>2.7240599999999997</v>
      </c>
      <c r="D42" s="576">
        <v>3.4587300000000001</v>
      </c>
      <c r="E42" s="576">
        <v>3.68398</v>
      </c>
      <c r="F42" s="781">
        <f t="shared" si="0"/>
        <v>-0.21241033558560518</v>
      </c>
      <c r="G42" s="479"/>
      <c r="H42" s="591"/>
      <c r="I42" s="591"/>
      <c r="J42" s="479"/>
      <c r="K42" s="479"/>
      <c r="L42" s="487"/>
    </row>
    <row r="43" spans="1:12" s="360" customFormat="1" ht="10.5" customHeight="1">
      <c r="A43" s="778" t="s">
        <v>507</v>
      </c>
      <c r="B43" s="714" t="s">
        <v>572</v>
      </c>
      <c r="C43" s="717">
        <v>10.28848</v>
      </c>
      <c r="D43" s="717"/>
      <c r="E43" s="717"/>
      <c r="F43" s="779" t="str">
        <f t="shared" si="0"/>
        <v/>
      </c>
      <c r="G43" s="479"/>
      <c r="H43" s="591"/>
      <c r="I43" s="591"/>
      <c r="J43" s="479"/>
      <c r="K43" s="479"/>
      <c r="L43" s="484"/>
    </row>
    <row r="44" spans="1:12" s="360" customFormat="1" ht="10.5" customHeight="1">
      <c r="A44" s="780" t="s">
        <v>508</v>
      </c>
      <c r="B44" s="574"/>
      <c r="C44" s="576">
        <v>10.28848</v>
      </c>
      <c r="D44" s="576"/>
      <c r="E44" s="576"/>
      <c r="F44" s="781" t="str">
        <f t="shared" si="0"/>
        <v/>
      </c>
      <c r="G44" s="479"/>
      <c r="H44" s="591"/>
      <c r="I44" s="591"/>
      <c r="J44" s="479"/>
      <c r="K44" s="479"/>
      <c r="L44" s="484"/>
    </row>
    <row r="45" spans="1:12" s="360" customFormat="1" ht="10.5" customHeight="1">
      <c r="A45" s="778" t="s">
        <v>90</v>
      </c>
      <c r="B45" s="714" t="s">
        <v>324</v>
      </c>
      <c r="C45" s="717">
        <v>644.95679999999993</v>
      </c>
      <c r="D45" s="717">
        <v>637.28400000000011</v>
      </c>
      <c r="E45" s="717">
        <v>653.73359999999991</v>
      </c>
      <c r="F45" s="779">
        <f t="shared" si="0"/>
        <v>1.2039844088349572E-2</v>
      </c>
      <c r="G45" s="479"/>
      <c r="H45" s="591"/>
      <c r="I45" s="591"/>
      <c r="J45" s="479"/>
      <c r="K45" s="479"/>
      <c r="L45" s="484"/>
    </row>
    <row r="46" spans="1:12" s="360" customFormat="1" ht="10.5" customHeight="1">
      <c r="A46" s="778"/>
      <c r="B46" s="714" t="s">
        <v>325</v>
      </c>
      <c r="C46" s="717">
        <v>212.32128</v>
      </c>
      <c r="D46" s="717">
        <v>202.16448</v>
      </c>
      <c r="E46" s="717">
        <v>211.79136</v>
      </c>
      <c r="F46" s="779">
        <f t="shared" si="0"/>
        <v>5.0240279598077864E-2</v>
      </c>
      <c r="G46" s="479"/>
      <c r="H46" s="591"/>
      <c r="I46" s="591"/>
      <c r="J46" s="479"/>
      <c r="K46" s="479"/>
      <c r="L46" s="484"/>
    </row>
    <row r="47" spans="1:12" s="360" customFormat="1" ht="10.5" customHeight="1">
      <c r="A47" s="778"/>
      <c r="B47" s="714" t="s">
        <v>326</v>
      </c>
      <c r="C47" s="717">
        <v>8.2876899999999996</v>
      </c>
      <c r="D47" s="717">
        <v>0</v>
      </c>
      <c r="E47" s="717">
        <v>0</v>
      </c>
      <c r="F47" s="779" t="str">
        <f t="shared" si="0"/>
        <v/>
      </c>
      <c r="G47" s="479"/>
      <c r="H47" s="591"/>
      <c r="I47" s="591"/>
      <c r="J47" s="479"/>
      <c r="K47" s="479"/>
      <c r="L47" s="484"/>
    </row>
    <row r="48" spans="1:12" s="360" customFormat="1" ht="10.5" customHeight="1">
      <c r="A48" s="780" t="s">
        <v>327</v>
      </c>
      <c r="B48" s="574"/>
      <c r="C48" s="576">
        <v>865.56576999999993</v>
      </c>
      <c r="D48" s="576">
        <v>839.44848000000013</v>
      </c>
      <c r="E48" s="576">
        <v>865.52495999999996</v>
      </c>
      <c r="F48" s="781">
        <f t="shared" si="0"/>
        <v>3.1112439443573559E-2</v>
      </c>
      <c r="G48" s="479"/>
      <c r="H48" s="591"/>
      <c r="I48" s="591"/>
      <c r="J48" s="479"/>
      <c r="K48" s="479"/>
      <c r="L48" s="484"/>
    </row>
    <row r="49" spans="1:12" s="360" customFormat="1" ht="10.5" customHeight="1">
      <c r="A49" s="778" t="s">
        <v>249</v>
      </c>
      <c r="B49" s="714" t="s">
        <v>328</v>
      </c>
      <c r="C49" s="717">
        <v>226.4025</v>
      </c>
      <c r="D49" s="717">
        <v>435.92086</v>
      </c>
      <c r="E49" s="717">
        <v>163.34505999999999</v>
      </c>
      <c r="F49" s="779">
        <f t="shared" si="0"/>
        <v>-0.48063393892184925</v>
      </c>
      <c r="G49" s="479"/>
      <c r="H49" s="591"/>
      <c r="I49" s="591"/>
      <c r="J49" s="479"/>
      <c r="K49" s="479"/>
      <c r="L49" s="484"/>
    </row>
    <row r="50" spans="1:12" s="360" customFormat="1" ht="10.5" customHeight="1">
      <c r="A50" s="778"/>
      <c r="B50" s="714" t="s">
        <v>329</v>
      </c>
      <c r="C50" s="717">
        <v>6.3468799999999996</v>
      </c>
      <c r="D50" s="717">
        <v>6.5619199999999998</v>
      </c>
      <c r="E50" s="717">
        <v>6.4528699999999999</v>
      </c>
      <c r="F50" s="779">
        <f t="shared" si="0"/>
        <v>-3.2770896323027432E-2</v>
      </c>
      <c r="G50" s="479"/>
      <c r="H50" s="591"/>
      <c r="I50" s="591"/>
      <c r="J50" s="479"/>
      <c r="K50" s="479"/>
      <c r="L50" s="484"/>
    </row>
    <row r="51" spans="1:12" s="360" customFormat="1" ht="10.5" customHeight="1">
      <c r="A51" s="780" t="s">
        <v>330</v>
      </c>
      <c r="B51" s="574"/>
      <c r="C51" s="576">
        <v>232.74938</v>
      </c>
      <c r="D51" s="576">
        <v>442.48277999999999</v>
      </c>
      <c r="E51" s="576">
        <v>169.79792999999998</v>
      </c>
      <c r="F51" s="781">
        <f t="shared" si="0"/>
        <v>-0.47399223083890407</v>
      </c>
      <c r="G51" s="479"/>
      <c r="H51" s="591"/>
      <c r="I51" s="591"/>
      <c r="J51" s="479"/>
      <c r="K51" s="479"/>
    </row>
    <row r="52" spans="1:12" s="360" customFormat="1" ht="10.5" customHeight="1">
      <c r="A52" s="778" t="s">
        <v>250</v>
      </c>
      <c r="B52" s="714" t="s">
        <v>331</v>
      </c>
      <c r="C52" s="717">
        <v>81.902439999999999</v>
      </c>
      <c r="D52" s="717">
        <v>70.294110000000003</v>
      </c>
      <c r="E52" s="717">
        <v>84.793520000000001</v>
      </c>
      <c r="F52" s="779">
        <f t="shared" si="0"/>
        <v>0.16513944055910224</v>
      </c>
      <c r="G52" s="479"/>
      <c r="H52" s="591"/>
      <c r="I52" s="591"/>
      <c r="J52" s="479"/>
      <c r="K52" s="479"/>
    </row>
    <row r="53" spans="1:12" s="360" customFormat="1" ht="10.5" customHeight="1">
      <c r="A53" s="780" t="s">
        <v>332</v>
      </c>
      <c r="B53" s="574"/>
      <c r="C53" s="576">
        <v>81.902439999999999</v>
      </c>
      <c r="D53" s="576">
        <v>70.294110000000003</v>
      </c>
      <c r="E53" s="576">
        <v>84.793520000000001</v>
      </c>
      <c r="F53" s="781">
        <f t="shared" si="0"/>
        <v>0.16513944055910224</v>
      </c>
      <c r="G53" s="479"/>
      <c r="H53" s="591"/>
      <c r="I53" s="591"/>
      <c r="J53" s="479"/>
      <c r="K53" s="479"/>
    </row>
    <row r="54" spans="1:12" s="360" customFormat="1" ht="10.5" customHeight="1">
      <c r="A54" s="778" t="s">
        <v>251</v>
      </c>
      <c r="B54" s="714" t="s">
        <v>61</v>
      </c>
      <c r="C54" s="717">
        <v>4.7589199999999998</v>
      </c>
      <c r="D54" s="717">
        <v>7.8978799999999998</v>
      </c>
      <c r="E54" s="717">
        <v>5.9727199999999998</v>
      </c>
      <c r="F54" s="779">
        <f t="shared" si="0"/>
        <v>-0.39744336454846108</v>
      </c>
      <c r="G54" s="479"/>
      <c r="H54" s="591"/>
      <c r="I54" s="591"/>
      <c r="J54" s="479"/>
      <c r="K54" s="479"/>
    </row>
    <row r="55" spans="1:12" s="360" customFormat="1" ht="10.5" customHeight="1">
      <c r="A55" s="778"/>
      <c r="B55" s="714" t="s">
        <v>58</v>
      </c>
      <c r="C55" s="717">
        <v>7.28864</v>
      </c>
      <c r="D55" s="717">
        <v>11.0998</v>
      </c>
      <c r="E55" s="717">
        <v>9.3289200000000001</v>
      </c>
      <c r="F55" s="779">
        <f t="shared" si="0"/>
        <v>-0.34335393430512262</v>
      </c>
      <c r="G55" s="479"/>
      <c r="H55" s="591"/>
      <c r="I55" s="591"/>
      <c r="J55" s="479"/>
      <c r="K55" s="479"/>
    </row>
    <row r="56" spans="1:12" s="360" customFormat="1" ht="10.5" customHeight="1">
      <c r="A56" s="780" t="s">
        <v>333</v>
      </c>
      <c r="B56" s="574"/>
      <c r="C56" s="576">
        <v>12.047560000000001</v>
      </c>
      <c r="D56" s="576">
        <v>18.997679999999999</v>
      </c>
      <c r="E56" s="576">
        <v>15.301639999999999</v>
      </c>
      <c r="F56" s="781">
        <f t="shared" si="0"/>
        <v>-0.36584046051938968</v>
      </c>
      <c r="G56" s="479"/>
      <c r="H56" s="591"/>
      <c r="I56" s="591"/>
      <c r="J56" s="479"/>
      <c r="K56" s="479"/>
    </row>
    <row r="57" spans="1:12" s="360" customFormat="1" ht="10.5" customHeight="1">
      <c r="A57" s="778" t="s">
        <v>89</v>
      </c>
      <c r="B57" s="714" t="s">
        <v>589</v>
      </c>
      <c r="C57" s="717">
        <v>65.680019999999999</v>
      </c>
      <c r="D57" s="717"/>
      <c r="E57" s="717"/>
      <c r="F57" s="779" t="str">
        <f t="shared" si="0"/>
        <v/>
      </c>
      <c r="G57" s="479"/>
      <c r="H57" s="591"/>
      <c r="I57" s="591"/>
      <c r="J57" s="479"/>
      <c r="K57" s="479"/>
    </row>
    <row r="58" spans="1:12" s="360" customFormat="1" ht="10.5" customHeight="1">
      <c r="A58" s="778"/>
      <c r="B58" s="714" t="s">
        <v>334</v>
      </c>
      <c r="C58" s="717">
        <v>28.44679</v>
      </c>
      <c r="D58" s="717">
        <v>0</v>
      </c>
      <c r="E58" s="717">
        <v>27.59685</v>
      </c>
      <c r="F58" s="779" t="str">
        <f t="shared" si="0"/>
        <v/>
      </c>
      <c r="G58" s="479"/>
      <c r="H58" s="590"/>
      <c r="I58" s="591"/>
      <c r="J58" s="479"/>
      <c r="K58" s="479"/>
    </row>
    <row r="59" spans="1:12" s="360" customFormat="1" ht="10.5" customHeight="1">
      <c r="A59" s="778"/>
      <c r="B59" s="714" t="s">
        <v>335</v>
      </c>
      <c r="C59" s="717">
        <v>228.94097000000002</v>
      </c>
      <c r="D59" s="717">
        <v>179.38944999999998</v>
      </c>
      <c r="E59" s="717">
        <v>151.08485999999999</v>
      </c>
      <c r="F59" s="779">
        <f t="shared" si="0"/>
        <v>0.27622315582103663</v>
      </c>
      <c r="G59" s="479"/>
      <c r="H59" s="590"/>
      <c r="I59" s="591"/>
      <c r="J59" s="479"/>
      <c r="K59" s="479"/>
    </row>
    <row r="60" spans="1:12" s="360" customFormat="1" ht="10.5" customHeight="1">
      <c r="A60" s="778"/>
      <c r="B60" s="714" t="s">
        <v>336</v>
      </c>
      <c r="C60" s="717">
        <v>80.445030000000003</v>
      </c>
      <c r="D60" s="717">
        <v>79.402479999999997</v>
      </c>
      <c r="E60" s="717">
        <v>116.61458999999999</v>
      </c>
      <c r="F60" s="779">
        <f t="shared" si="0"/>
        <v>1.3129942540837547E-2</v>
      </c>
      <c r="G60" s="488"/>
      <c r="H60" s="590"/>
      <c r="I60" s="591"/>
      <c r="J60" s="479"/>
      <c r="K60" s="479"/>
    </row>
    <row r="61" spans="1:12" s="360" customFormat="1" ht="10.5" customHeight="1">
      <c r="A61" s="778"/>
      <c r="B61" s="714" t="s">
        <v>337</v>
      </c>
      <c r="C61" s="717">
        <v>44.73603</v>
      </c>
      <c r="D61" s="717">
        <v>51.299859999999995</v>
      </c>
      <c r="E61" s="717">
        <v>41.425269999999998</v>
      </c>
      <c r="F61" s="779">
        <f t="shared" si="0"/>
        <v>-0.12795025171608654</v>
      </c>
      <c r="G61" s="488"/>
      <c r="H61" s="590"/>
      <c r="I61" s="591"/>
      <c r="J61" s="479"/>
      <c r="K61" s="479"/>
    </row>
    <row r="62" spans="1:12" s="360" customFormat="1" ht="10.5" customHeight="1">
      <c r="A62" s="778"/>
      <c r="B62" s="714" t="s">
        <v>338</v>
      </c>
      <c r="C62" s="717">
        <v>0</v>
      </c>
      <c r="D62" s="717">
        <v>0</v>
      </c>
      <c r="E62" s="717">
        <v>98.568170000000009</v>
      </c>
      <c r="F62" s="779" t="str">
        <f t="shared" si="0"/>
        <v/>
      </c>
      <c r="G62" s="488"/>
      <c r="H62" s="590"/>
      <c r="I62" s="591"/>
      <c r="J62" s="479"/>
      <c r="K62" s="479"/>
    </row>
    <row r="63" spans="1:12" s="360" customFormat="1" ht="10.5" customHeight="1">
      <c r="A63" s="778"/>
      <c r="B63" s="714" t="s">
        <v>339</v>
      </c>
      <c r="C63" s="717">
        <v>0</v>
      </c>
      <c r="D63" s="717">
        <v>0</v>
      </c>
      <c r="E63" s="717">
        <v>0</v>
      </c>
      <c r="F63" s="779" t="str">
        <f t="shared" si="0"/>
        <v/>
      </c>
      <c r="G63" s="488"/>
      <c r="H63" s="591"/>
      <c r="I63" s="591"/>
      <c r="J63" s="479"/>
      <c r="K63" s="479"/>
    </row>
    <row r="64" spans="1:12" s="360" customFormat="1" ht="10.5" customHeight="1">
      <c r="A64" s="778"/>
      <c r="B64" s="714" t="s">
        <v>340</v>
      </c>
      <c r="C64" s="717">
        <v>427.12313</v>
      </c>
      <c r="D64" s="717">
        <v>439.04652999999996</v>
      </c>
      <c r="E64" s="717">
        <v>435.02719000000002</v>
      </c>
      <c r="F64" s="779">
        <f t="shared" si="0"/>
        <v>-2.7157486018623E-2</v>
      </c>
      <c r="G64" s="488"/>
      <c r="H64" s="591"/>
      <c r="I64" s="591"/>
      <c r="J64" s="479"/>
      <c r="K64" s="479"/>
    </row>
    <row r="65" spans="1:11" s="360" customFormat="1" ht="10.5" customHeight="1">
      <c r="A65" s="778"/>
      <c r="B65" s="714" t="s">
        <v>494</v>
      </c>
      <c r="C65" s="717">
        <v>0.67954999999999999</v>
      </c>
      <c r="D65" s="717">
        <v>0</v>
      </c>
      <c r="E65" s="717"/>
      <c r="F65" s="779" t="str">
        <f t="shared" si="0"/>
        <v/>
      </c>
      <c r="G65" s="479"/>
      <c r="H65" s="591"/>
      <c r="I65" s="591"/>
      <c r="J65" s="479"/>
      <c r="K65" s="479"/>
    </row>
    <row r="66" spans="1:11" s="360" customFormat="1" ht="10.5" customHeight="1">
      <c r="A66" s="780" t="s">
        <v>341</v>
      </c>
      <c r="B66" s="574"/>
      <c r="C66" s="576">
        <v>876.0515200000001</v>
      </c>
      <c r="D66" s="576">
        <v>749.13831999999991</v>
      </c>
      <c r="E66" s="576">
        <v>870.31692999999996</v>
      </c>
      <c r="F66" s="781">
        <f t="shared" si="0"/>
        <v>0.16941223885063073</v>
      </c>
      <c r="G66" s="479"/>
      <c r="H66" s="591"/>
      <c r="I66" s="591"/>
      <c r="J66" s="479"/>
      <c r="K66" s="479"/>
    </row>
    <row r="67" spans="1:11" s="360" customFormat="1" ht="10.5" customHeight="1">
      <c r="A67" s="778" t="s">
        <v>97</v>
      </c>
      <c r="B67" s="714" t="s">
        <v>342</v>
      </c>
      <c r="C67" s="717">
        <v>0</v>
      </c>
      <c r="D67" s="717">
        <v>0</v>
      </c>
      <c r="E67" s="717">
        <v>0</v>
      </c>
      <c r="F67" s="779" t="str">
        <f t="shared" si="0"/>
        <v/>
      </c>
      <c r="G67" s="479"/>
      <c r="H67" s="591"/>
      <c r="I67" s="591"/>
      <c r="J67" s="479"/>
      <c r="K67" s="479"/>
    </row>
    <row r="68" spans="1:11" s="360" customFormat="1" ht="10.5" customHeight="1">
      <c r="A68" s="778"/>
      <c r="B68" s="714" t="s">
        <v>343</v>
      </c>
      <c r="C68" s="717">
        <v>0</v>
      </c>
      <c r="D68" s="717">
        <v>0</v>
      </c>
      <c r="E68" s="717">
        <v>0</v>
      </c>
      <c r="F68" s="779" t="str">
        <f t="shared" si="0"/>
        <v/>
      </c>
      <c r="G68" s="489"/>
      <c r="H68" s="591"/>
      <c r="I68" s="591"/>
      <c r="J68" s="479"/>
      <c r="K68" s="479"/>
    </row>
    <row r="69" spans="1:11" s="360" customFormat="1" ht="10.5" customHeight="1">
      <c r="A69" s="778"/>
      <c r="B69" s="714" t="s">
        <v>344</v>
      </c>
      <c r="C69" s="717">
        <v>85.119879999999995</v>
      </c>
      <c r="D69" s="717">
        <v>0</v>
      </c>
      <c r="E69" s="717">
        <v>130.42132000000001</v>
      </c>
      <c r="F69" s="779" t="str">
        <f t="shared" si="0"/>
        <v/>
      </c>
      <c r="G69" s="489"/>
      <c r="H69" s="583"/>
      <c r="I69" s="591"/>
      <c r="J69" s="479"/>
      <c r="K69" s="479"/>
    </row>
    <row r="70" spans="1:11" s="360" customFormat="1" ht="10.5" customHeight="1">
      <c r="A70" s="780" t="s">
        <v>345</v>
      </c>
      <c r="B70" s="574"/>
      <c r="C70" s="576">
        <v>85.119879999999995</v>
      </c>
      <c r="D70" s="576">
        <v>0</v>
      </c>
      <c r="E70" s="576">
        <v>130.42132000000001</v>
      </c>
      <c r="F70" s="781" t="str">
        <f t="shared" si="0"/>
        <v/>
      </c>
      <c r="G70" s="489"/>
      <c r="H70" s="583"/>
      <c r="I70" s="591"/>
      <c r="J70" s="479"/>
      <c r="K70" s="479"/>
    </row>
    <row r="71" spans="1:11" s="360" customFormat="1" ht="10.5" customHeight="1">
      <c r="A71" s="787" t="s">
        <v>99</v>
      </c>
      <c r="B71" s="728" t="s">
        <v>532</v>
      </c>
      <c r="C71" s="742">
        <v>0</v>
      </c>
      <c r="D71" s="742">
        <v>0</v>
      </c>
      <c r="E71" s="742"/>
      <c r="F71" s="807" t="str">
        <f t="shared" si="0"/>
        <v/>
      </c>
      <c r="H71" s="583"/>
      <c r="I71" s="591"/>
      <c r="J71" s="479"/>
      <c r="K71" s="479"/>
    </row>
    <row r="72" spans="1:11" s="360" customFormat="1" ht="10.5" customHeight="1">
      <c r="A72" s="778"/>
      <c r="B72" s="714" t="s">
        <v>531</v>
      </c>
      <c r="C72" s="717">
        <v>106.94519</v>
      </c>
      <c r="D72" s="717">
        <v>114.7818</v>
      </c>
      <c r="E72" s="717"/>
      <c r="F72" s="779">
        <f t="shared" ref="F72:F73" si="1">+IF(D72=0,"",C72/D72-1)</f>
        <v>-6.8273977233324512E-2</v>
      </c>
      <c r="J72" s="479"/>
      <c r="K72" s="479"/>
    </row>
    <row r="73" spans="1:11" s="360" customFormat="1" ht="10.5" customHeight="1">
      <c r="A73" s="780" t="s">
        <v>346</v>
      </c>
      <c r="B73" s="574"/>
      <c r="C73" s="576">
        <v>106.94519</v>
      </c>
      <c r="D73" s="576">
        <v>114.7818</v>
      </c>
      <c r="E73" s="576"/>
      <c r="F73" s="781">
        <f t="shared" si="1"/>
        <v>-6.8273977233324512E-2</v>
      </c>
      <c r="J73" s="479"/>
      <c r="K73" s="479"/>
    </row>
    <row r="74" spans="1:11" s="360" customFormat="1" ht="10.5" customHeight="1">
      <c r="I74" s="479"/>
      <c r="J74" s="479"/>
      <c r="K74" s="479"/>
    </row>
    <row r="75" spans="1:11" s="360" customFormat="1" ht="10.5" customHeight="1"/>
    <row r="76" spans="1:11" s="360" customFormat="1" ht="10.5" customHeight="1"/>
    <row r="77" spans="1:11" s="360" customFormat="1" ht="10.5" customHeight="1"/>
    <row r="78" spans="1:11" s="360" customFormat="1" ht="10.5" customHeight="1"/>
    <row r="79" spans="1:11" s="360" customFormat="1" ht="10.5" customHeight="1"/>
    <row r="80" spans="1:11" s="360" customFormat="1" ht="10.5" customHeight="1"/>
    <row r="81" s="360" customFormat="1" ht="10.5" customHeight="1"/>
    <row r="82" s="360" customFormat="1" ht="10.5" customHeight="1"/>
    <row r="83" s="360" customFormat="1" ht="10.5" customHeight="1"/>
    <row r="84" s="360" customFormat="1" ht="10.5" customHeight="1"/>
    <row r="85" s="360" customFormat="1" ht="10.5" customHeight="1"/>
    <row r="86" s="360" customFormat="1" ht="10.5" customHeight="1"/>
    <row r="87" s="360" customFormat="1" ht="10.5" customHeight="1"/>
    <row r="88" s="360" customFormat="1" ht="10.5" customHeight="1"/>
    <row r="89" s="360" customFormat="1" ht="10.5" customHeight="1"/>
    <row r="90" s="360" customFormat="1" ht="10.5" customHeight="1"/>
    <row r="91" s="360" customFormat="1" ht="10.5" customHeight="1"/>
    <row r="92" s="360" customFormat="1" ht="10.5" customHeight="1"/>
    <row r="93" s="360" customFormat="1" ht="10.5" customHeight="1"/>
    <row r="94" s="360" customFormat="1" ht="10.5" customHeight="1"/>
    <row r="95" s="360" customFormat="1" ht="10.5" customHeight="1"/>
    <row r="96" s="360" customFormat="1" ht="10.5" customHeight="1"/>
    <row r="97" s="360" customFormat="1" ht="10.5" customHeight="1"/>
    <row r="98" s="360" customFormat="1" ht="10.5" customHeight="1"/>
    <row r="99" s="360" customFormat="1" ht="10.5" customHeight="1"/>
    <row r="100" s="360" customFormat="1" ht="10.5" customHeight="1"/>
    <row r="101" s="360" customFormat="1" ht="10.5" customHeight="1"/>
    <row r="102" s="360" customFormat="1" ht="10.5" customHeight="1"/>
    <row r="103" s="360" customFormat="1" ht="10.5" customHeight="1"/>
    <row r="104" s="360" customFormat="1" ht="10.5" customHeight="1"/>
    <row r="105" s="360" customFormat="1" ht="10.5" customHeight="1"/>
    <row r="106" s="360" customFormat="1" ht="10.5" customHeight="1"/>
    <row r="107" s="360" customFormat="1" ht="10.5" customHeight="1"/>
    <row r="108" s="360" customFormat="1" ht="10.5" customHeight="1"/>
    <row r="109" s="360" customFormat="1" ht="10.5" customHeight="1"/>
    <row r="110" s="360" customFormat="1" ht="10.5" customHeight="1"/>
    <row r="111" s="360" customFormat="1" ht="10.5" customHeight="1"/>
    <row r="112" s="360" customFormat="1" ht="10.5" customHeight="1"/>
    <row r="113" s="360" customFormat="1" ht="10.5" customHeight="1"/>
    <row r="114" s="360" customFormat="1" ht="10.5" customHeight="1"/>
    <row r="115" s="360" customFormat="1" ht="10.5" customHeight="1"/>
    <row r="116" s="360" customFormat="1" ht="10.5" customHeight="1"/>
    <row r="117" s="360" customFormat="1" ht="10.5" customHeight="1"/>
    <row r="118" s="360" customFormat="1" ht="10.5" customHeight="1"/>
    <row r="119" s="360" customFormat="1" ht="10.5" customHeight="1"/>
    <row r="120" s="360" customFormat="1" ht="10.5" customHeight="1"/>
    <row r="121" s="360" customFormat="1" ht="10.5" customHeight="1"/>
    <row r="122" s="360" customFormat="1" ht="10.5" customHeight="1"/>
    <row r="123" s="360" customFormat="1" ht="10.5" customHeight="1"/>
    <row r="124" s="360" customFormat="1" ht="10.5" customHeight="1"/>
    <row r="125" s="360" customFormat="1" ht="10.5" customHeight="1"/>
    <row r="126" s="360" customFormat="1" ht="10.5" customHeight="1"/>
    <row r="127" s="360" customFormat="1" ht="10.5" customHeight="1"/>
    <row r="128" s="360" customFormat="1" ht="10.5" customHeight="1"/>
    <row r="129" s="360" customFormat="1" ht="10.5" customHeight="1"/>
    <row r="130" s="360" customFormat="1" ht="10.5" customHeight="1"/>
    <row r="131" s="360" customFormat="1" ht="10.5" customHeight="1"/>
    <row r="132" s="360" customFormat="1" ht="10.5" customHeight="1"/>
    <row r="133" s="360" customFormat="1" ht="10.5" customHeight="1"/>
    <row r="134" s="360" customFormat="1" ht="10.5" customHeight="1"/>
    <row r="135" s="360" customFormat="1" ht="10.5" customHeight="1"/>
    <row r="136" s="360" customFormat="1" ht="10.5" customHeight="1"/>
    <row r="137" s="360" customFormat="1" ht="10.5" customHeight="1"/>
    <row r="138" s="360" customFormat="1" ht="10.5" customHeight="1"/>
    <row r="139" s="360" customFormat="1" ht="10.5" customHeight="1"/>
    <row r="140" s="360" customFormat="1" ht="10.5" customHeight="1"/>
    <row r="141" s="360" customFormat="1" ht="10.5" customHeight="1"/>
    <row r="142" s="360" customFormat="1" ht="10.5" customHeight="1"/>
    <row r="143" s="360" customFormat="1" ht="10.5" customHeight="1"/>
    <row r="144" s="360" customFormat="1" ht="10.5" customHeight="1"/>
    <row r="145" s="360" customFormat="1" ht="10.5" customHeight="1"/>
    <row r="146" s="360" customFormat="1" ht="10.5" customHeight="1"/>
    <row r="147" s="360" customFormat="1" ht="10.5" customHeight="1"/>
    <row r="148" s="360" customFormat="1" ht="10.5" customHeight="1"/>
    <row r="149" s="360" customFormat="1" ht="10.5" customHeight="1"/>
    <row r="150" s="360" customFormat="1" ht="10.5" customHeight="1"/>
    <row r="151" s="360" customFormat="1" ht="10.5" customHeight="1"/>
    <row r="152" s="360" customFormat="1" ht="10.5" customHeight="1"/>
    <row r="153" s="360" customFormat="1" ht="10.5" customHeight="1"/>
    <row r="154" s="360" customFormat="1" ht="10.5" customHeight="1"/>
    <row r="155" s="360" customFormat="1" ht="10.5" customHeight="1"/>
    <row r="156" s="360" customFormat="1" ht="10.5" customHeight="1"/>
    <row r="157" s="360" customFormat="1" ht="10.5" customHeight="1"/>
    <row r="158" s="360" customFormat="1" ht="10.5" customHeight="1"/>
    <row r="159" s="360" customFormat="1" ht="10.5" customHeight="1"/>
    <row r="160" s="360" customFormat="1" ht="10.5" customHeight="1"/>
    <row r="161" s="360" customFormat="1" ht="10.5" customHeight="1"/>
    <row r="162" s="360" customFormat="1" ht="10.5" customHeight="1"/>
    <row r="163" s="360" customFormat="1" ht="10.5" customHeight="1"/>
    <row r="164" s="360" customFormat="1" ht="8.25"/>
    <row r="165" s="360" customFormat="1" ht="8.25"/>
    <row r="166" s="360" customFormat="1" ht="8.25"/>
    <row r="167" s="360" customFormat="1" ht="8.25"/>
    <row r="168" s="360" customFormat="1" ht="8.25"/>
    <row r="169" s="360" customFormat="1" ht="8.25"/>
    <row r="170" s="360" customFormat="1" ht="8.25"/>
    <row r="171" s="360" customFormat="1" ht="8.25"/>
    <row r="172" s="360" customFormat="1" ht="8.25"/>
    <row r="173" s="360" customFormat="1" ht="8.25"/>
    <row r="174" s="360" customFormat="1" ht="8.25"/>
    <row r="175" s="360" customFormat="1" ht="8.25"/>
    <row r="176" s="360" customFormat="1" ht="8.25"/>
    <row r="177" s="360" customFormat="1" ht="8.25"/>
    <row r="178" s="360" customFormat="1" ht="8.25"/>
    <row r="179" s="360" customFormat="1" ht="8.25"/>
    <row r="180" s="360" customFormat="1" ht="8.25"/>
    <row r="181" s="360" customFormat="1" ht="8.25"/>
    <row r="182" s="360" customFormat="1" ht="8.25"/>
    <row r="183" s="360" customFormat="1" ht="8.25"/>
    <row r="184" s="360" customFormat="1" ht="8.25"/>
  </sheetData>
  <mergeCells count="3">
    <mergeCell ref="A2:A5"/>
    <mergeCell ref="B2:B5"/>
    <mergeCell ref="C2:F2"/>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77A5"/>
  </sheetPr>
  <dimension ref="A1:K115"/>
  <sheetViews>
    <sheetView showGridLines="0" view="pageBreakPreview" zoomScale="120" zoomScaleNormal="100" zoomScaleSheetLayoutView="120" zoomScalePageLayoutView="160" workbookViewId="0">
      <selection activeCell="C12" sqref="C12"/>
    </sheetView>
  </sheetViews>
  <sheetFormatPr defaultColWidth="9.33203125" defaultRowHeight="9"/>
  <cols>
    <col min="1" max="1" width="28.6640625" style="281" customWidth="1"/>
    <col min="2" max="2" width="22.1640625" style="281" customWidth="1"/>
    <col min="3" max="4" width="17.6640625" style="281" customWidth="1"/>
    <col min="5" max="5" width="15.1640625" style="281" customWidth="1"/>
    <col min="6" max="6" width="13.33203125" style="281" customWidth="1"/>
    <col min="7" max="7" width="6.33203125" style="281" customWidth="1"/>
    <col min="8" max="16384" width="9.33203125" style="281"/>
  </cols>
  <sheetData>
    <row r="1" spans="1:11" s="360" customFormat="1" ht="11.25" customHeight="1">
      <c r="A1" s="996" t="s">
        <v>264</v>
      </c>
      <c r="B1" s="998" t="s">
        <v>55</v>
      </c>
      <c r="C1" s="998" t="s">
        <v>417</v>
      </c>
      <c r="D1" s="998"/>
      <c r="E1" s="998"/>
      <c r="F1" s="1000"/>
      <c r="G1" s="477"/>
    </row>
    <row r="2" spans="1:11" s="360" customFormat="1" ht="11.25" customHeight="1">
      <c r="A2" s="990"/>
      <c r="B2" s="993"/>
      <c r="C2" s="557" t="str">
        <f>+'21. ANEXOII-1'!C3</f>
        <v>JUNIO 2019</v>
      </c>
      <c r="D2" s="558" t="str">
        <f>+'21. ANEXOII-1'!D3</f>
        <v>JUNIO 2018</v>
      </c>
      <c r="E2" s="559" t="s">
        <v>700</v>
      </c>
      <c r="F2" s="734" t="s">
        <v>546</v>
      </c>
      <c r="G2" s="478"/>
      <c r="H2" s="477"/>
    </row>
    <row r="3" spans="1:11" s="360" customFormat="1" ht="11.25" customHeight="1">
      <c r="A3" s="990"/>
      <c r="B3" s="993"/>
      <c r="C3" s="560">
        <f>+'8. Max Potencia'!D8</f>
        <v>43635.75</v>
      </c>
      <c r="D3" s="560">
        <f>+'8. Max Potencia'!E8</f>
        <v>43256.78125</v>
      </c>
      <c r="E3" s="560">
        <f>+'21. ANEXOII-1'!E4</f>
        <v>43256.78125</v>
      </c>
      <c r="F3" s="735" t="s">
        <v>414</v>
      </c>
      <c r="G3" s="479"/>
      <c r="H3" s="477"/>
    </row>
    <row r="4" spans="1:11" s="360" customFormat="1" ht="11.25" customHeight="1">
      <c r="A4" s="997"/>
      <c r="B4" s="999"/>
      <c r="C4" s="561">
        <f>+'8. Max Potencia'!D9</f>
        <v>43635.75</v>
      </c>
      <c r="D4" s="561">
        <f>+'8. Max Potencia'!E9</f>
        <v>43256.78125</v>
      </c>
      <c r="E4" s="561">
        <f>+'21. ANEXOII-1'!E5</f>
        <v>43256.78125</v>
      </c>
      <c r="F4" s="736" t="s">
        <v>415</v>
      </c>
      <c r="G4" s="479"/>
      <c r="H4" s="481"/>
    </row>
    <row r="5" spans="1:11" s="360" customFormat="1" ht="10.5" customHeight="1">
      <c r="A5" s="778" t="s">
        <v>98</v>
      </c>
      <c r="B5" s="714" t="s">
        <v>78</v>
      </c>
      <c r="C5" s="717">
        <v>34.53237</v>
      </c>
      <c r="D5" s="717">
        <v>58.4925</v>
      </c>
      <c r="E5" s="717">
        <v>36.796799999999998</v>
      </c>
      <c r="F5" s="779">
        <f t="shared" ref="F5:F37" si="0">+IF(D5=0,"",C5/D5-1)</f>
        <v>-0.40962738812668287</v>
      </c>
      <c r="J5" s="603"/>
      <c r="K5" s="603"/>
    </row>
    <row r="6" spans="1:11" s="360" customFormat="1" ht="10.5" customHeight="1">
      <c r="A6" s="778"/>
      <c r="B6" s="714" t="s">
        <v>80</v>
      </c>
      <c r="C6" s="717">
        <v>26.919750000000001</v>
      </c>
      <c r="D6" s="717">
        <v>26.951029999999999</v>
      </c>
      <c r="E6" s="717">
        <v>9.1788699999999999</v>
      </c>
      <c r="F6" s="779">
        <f t="shared" si="0"/>
        <v>-1.1606235457419789E-3</v>
      </c>
      <c r="J6" s="603"/>
      <c r="K6" s="603"/>
    </row>
    <row r="7" spans="1:11" s="360" customFormat="1" ht="10.5" customHeight="1">
      <c r="A7" s="780" t="s">
        <v>347</v>
      </c>
      <c r="B7" s="574"/>
      <c r="C7" s="576">
        <v>61.452120000000001</v>
      </c>
      <c r="D7" s="576">
        <v>85.443529999999996</v>
      </c>
      <c r="E7" s="576">
        <v>45.975669999999994</v>
      </c>
      <c r="F7" s="781">
        <f t="shared" si="0"/>
        <v>-0.28078673715844837</v>
      </c>
      <c r="J7" s="603"/>
      <c r="K7" s="603"/>
    </row>
    <row r="8" spans="1:11" s="360" customFormat="1" ht="10.5" customHeight="1">
      <c r="A8" s="778" t="s">
        <v>88</v>
      </c>
      <c r="B8" s="714" t="s">
        <v>348</v>
      </c>
      <c r="C8" s="717">
        <v>84.790220000000005</v>
      </c>
      <c r="D8" s="717">
        <v>108.39988</v>
      </c>
      <c r="E8" s="717">
        <v>70.114190000000008</v>
      </c>
      <c r="F8" s="779">
        <f t="shared" si="0"/>
        <v>-0.21780153262162272</v>
      </c>
    </row>
    <row r="9" spans="1:11" s="360" customFormat="1" ht="10.5" customHeight="1">
      <c r="A9" s="778"/>
      <c r="B9" s="714" t="s">
        <v>349</v>
      </c>
      <c r="C9" s="717">
        <v>92.695610000000002</v>
      </c>
      <c r="D9" s="717">
        <v>100.65993</v>
      </c>
      <c r="E9" s="717">
        <v>92.968320000000006</v>
      </c>
      <c r="F9" s="779">
        <f t="shared" si="0"/>
        <v>-7.9121056412417512E-2</v>
      </c>
    </row>
    <row r="10" spans="1:11" s="360" customFormat="1" ht="10.5" customHeight="1">
      <c r="A10" s="778"/>
      <c r="B10" s="714" t="s">
        <v>350</v>
      </c>
      <c r="C10" s="717">
        <v>505.03524000000004</v>
      </c>
      <c r="D10" s="717">
        <v>256.21127000000001</v>
      </c>
      <c r="E10" s="717">
        <v>788.52366000000006</v>
      </c>
      <c r="F10" s="779">
        <f t="shared" si="0"/>
        <v>0.97116715435663714</v>
      </c>
    </row>
    <row r="11" spans="1:11" s="360" customFormat="1" ht="10.5" customHeight="1">
      <c r="A11" s="778"/>
      <c r="B11" s="714" t="s">
        <v>351</v>
      </c>
      <c r="C11" s="717">
        <v>102.18021999999999</v>
      </c>
      <c r="D11" s="717">
        <v>0</v>
      </c>
      <c r="E11" s="717">
        <v>71.098330000000004</v>
      </c>
      <c r="F11" s="779" t="str">
        <f t="shared" si="0"/>
        <v/>
      </c>
      <c r="J11" s="603"/>
      <c r="K11" s="603"/>
    </row>
    <row r="12" spans="1:11" s="360" customFormat="1" ht="10.5" customHeight="1">
      <c r="A12" s="778"/>
      <c r="B12" s="714" t="s">
        <v>701</v>
      </c>
      <c r="C12" s="717"/>
      <c r="D12" s="717"/>
      <c r="E12" s="717">
        <v>33.732959999999999</v>
      </c>
      <c r="F12" s="779" t="str">
        <f t="shared" si="0"/>
        <v/>
      </c>
      <c r="J12" s="603"/>
      <c r="K12" s="603"/>
    </row>
    <row r="13" spans="1:11" s="360" customFormat="1" ht="10.5" customHeight="1">
      <c r="A13" s="778"/>
      <c r="B13" s="714" t="s">
        <v>352</v>
      </c>
      <c r="C13" s="717">
        <v>0</v>
      </c>
      <c r="D13" s="717">
        <v>0</v>
      </c>
      <c r="E13" s="717">
        <v>130.63314</v>
      </c>
      <c r="F13" s="779" t="str">
        <f t="shared" si="0"/>
        <v/>
      </c>
      <c r="J13" s="603"/>
      <c r="K13" s="603"/>
    </row>
    <row r="14" spans="1:11" s="360" customFormat="1" ht="10.5" customHeight="1">
      <c r="A14" s="778"/>
      <c r="B14" s="714" t="s">
        <v>353</v>
      </c>
      <c r="C14" s="717">
        <v>0</v>
      </c>
      <c r="D14" s="717">
        <v>0</v>
      </c>
      <c r="E14" s="717">
        <v>0</v>
      </c>
      <c r="F14" s="779" t="str">
        <f t="shared" si="0"/>
        <v/>
      </c>
      <c r="J14" s="603"/>
      <c r="K14" s="603"/>
    </row>
    <row r="15" spans="1:11" s="360" customFormat="1" ht="10.5" customHeight="1">
      <c r="A15" s="778"/>
      <c r="B15" s="714" t="s">
        <v>354</v>
      </c>
      <c r="C15" s="717">
        <v>0</v>
      </c>
      <c r="D15" s="717">
        <v>0</v>
      </c>
      <c r="E15" s="717">
        <v>0</v>
      </c>
      <c r="F15" s="779" t="str">
        <f t="shared" si="0"/>
        <v/>
      </c>
      <c r="J15" s="603"/>
      <c r="K15" s="603"/>
    </row>
    <row r="16" spans="1:11" s="360" customFormat="1" ht="10.5" customHeight="1">
      <c r="A16" s="778"/>
      <c r="B16" s="714" t="s">
        <v>533</v>
      </c>
      <c r="C16" s="717">
        <v>0</v>
      </c>
      <c r="D16" s="717">
        <v>0</v>
      </c>
      <c r="E16" s="717"/>
      <c r="F16" s="779" t="str">
        <f t="shared" si="0"/>
        <v/>
      </c>
      <c r="J16" s="603"/>
      <c r="K16" s="603"/>
    </row>
    <row r="17" spans="1:11" s="360" customFormat="1" ht="10.5" customHeight="1">
      <c r="A17" s="780" t="s">
        <v>355</v>
      </c>
      <c r="B17" s="574"/>
      <c r="C17" s="576">
        <v>784.70128999999997</v>
      </c>
      <c r="D17" s="576">
        <v>465.27107999999998</v>
      </c>
      <c r="E17" s="576">
        <v>1187.0706</v>
      </c>
      <c r="F17" s="781">
        <f t="shared" si="0"/>
        <v>0.68654645373617451</v>
      </c>
      <c r="J17" s="603"/>
      <c r="K17" s="603"/>
    </row>
    <row r="18" spans="1:11" s="360" customFormat="1" ht="10.5" customHeight="1">
      <c r="A18" s="778" t="s">
        <v>252</v>
      </c>
      <c r="B18" s="714" t="s">
        <v>356</v>
      </c>
      <c r="C18" s="717">
        <v>543.88617999999997</v>
      </c>
      <c r="D18" s="717">
        <v>550.50249999999994</v>
      </c>
      <c r="E18" s="717">
        <v>552.06059000000005</v>
      </c>
      <c r="F18" s="779">
        <f t="shared" si="0"/>
        <v>-1.2018692013206045E-2</v>
      </c>
      <c r="J18" s="603"/>
      <c r="K18" s="603"/>
    </row>
    <row r="19" spans="1:11" s="360" customFormat="1" ht="10.5" customHeight="1">
      <c r="A19" s="780" t="s">
        <v>357</v>
      </c>
      <c r="B19" s="574"/>
      <c r="C19" s="576">
        <v>543.88617999999997</v>
      </c>
      <c r="D19" s="576">
        <v>550.50249999999994</v>
      </c>
      <c r="E19" s="576">
        <v>552.06059000000005</v>
      </c>
      <c r="F19" s="781">
        <f t="shared" si="0"/>
        <v>-1.2018692013206045E-2</v>
      </c>
      <c r="J19" s="603"/>
      <c r="K19" s="603"/>
    </row>
    <row r="20" spans="1:11" s="360" customFormat="1" ht="10.5" customHeight="1">
      <c r="A20" s="778" t="s">
        <v>109</v>
      </c>
      <c r="B20" s="714" t="s">
        <v>67</v>
      </c>
      <c r="C20" s="717">
        <v>8.0090399999999988</v>
      </c>
      <c r="D20" s="717">
        <v>6.4319299999999995</v>
      </c>
      <c r="E20" s="717">
        <v>6.67042</v>
      </c>
      <c r="F20" s="779">
        <f t="shared" si="0"/>
        <v>0.24520011878238712</v>
      </c>
      <c r="J20" s="603"/>
      <c r="K20" s="603"/>
    </row>
    <row r="21" spans="1:11" s="360" customFormat="1" ht="10.5" customHeight="1">
      <c r="A21" s="778"/>
      <c r="B21" s="714" t="s">
        <v>493</v>
      </c>
      <c r="C21" s="717">
        <v>5.7743000000000002</v>
      </c>
      <c r="D21" s="717"/>
      <c r="E21" s="717"/>
      <c r="F21" s="779" t="str">
        <f t="shared" si="0"/>
        <v/>
      </c>
      <c r="J21" s="603"/>
      <c r="K21" s="603"/>
    </row>
    <row r="22" spans="1:11" s="360" customFormat="1" ht="10.5" customHeight="1">
      <c r="A22" s="778"/>
      <c r="B22" s="714" t="s">
        <v>491</v>
      </c>
      <c r="C22" s="717">
        <v>8.2145699999999984</v>
      </c>
      <c r="D22" s="717"/>
      <c r="E22" s="717"/>
      <c r="F22" s="779" t="str">
        <f t="shared" si="0"/>
        <v/>
      </c>
      <c r="J22" s="603"/>
      <c r="K22" s="603"/>
    </row>
    <row r="23" spans="1:11" s="360" customFormat="1" ht="10.5" customHeight="1">
      <c r="A23" s="778"/>
      <c r="B23" s="714" t="s">
        <v>492</v>
      </c>
      <c r="C23" s="717">
        <v>8.2927900000000001</v>
      </c>
      <c r="D23" s="717"/>
      <c r="E23" s="717"/>
      <c r="F23" s="779" t="str">
        <f t="shared" si="0"/>
        <v/>
      </c>
      <c r="J23" s="603"/>
      <c r="K23" s="603"/>
    </row>
    <row r="24" spans="1:11" s="360" customFormat="1" ht="10.5" customHeight="1">
      <c r="A24" s="780" t="s">
        <v>358</v>
      </c>
      <c r="B24" s="574"/>
      <c r="C24" s="576">
        <v>30.290699999999998</v>
      </c>
      <c r="D24" s="576">
        <v>6.4319299999999995</v>
      </c>
      <c r="E24" s="576">
        <v>6.67042</v>
      </c>
      <c r="F24" s="781">
        <f t="shared" si="0"/>
        <v>3.7094262530842217</v>
      </c>
      <c r="J24" s="603"/>
      <c r="K24" s="603"/>
    </row>
    <row r="25" spans="1:11" s="360" customFormat="1" ht="10.5" customHeight="1">
      <c r="A25" s="778" t="s">
        <v>112</v>
      </c>
      <c r="B25" s="714" t="s">
        <v>245</v>
      </c>
      <c r="C25" s="717">
        <v>0</v>
      </c>
      <c r="D25" s="717">
        <v>0</v>
      </c>
      <c r="E25" s="717">
        <v>0</v>
      </c>
      <c r="F25" s="779" t="str">
        <f t="shared" si="0"/>
        <v/>
      </c>
      <c r="J25" s="603"/>
      <c r="K25" s="603"/>
    </row>
    <row r="26" spans="1:11" s="360" customFormat="1" ht="10.5" customHeight="1">
      <c r="A26" s="780" t="s">
        <v>359</v>
      </c>
      <c r="B26" s="574"/>
      <c r="C26" s="576">
        <v>0</v>
      </c>
      <c r="D26" s="576">
        <v>0</v>
      </c>
      <c r="E26" s="576">
        <v>0</v>
      </c>
      <c r="F26" s="781" t="str">
        <f t="shared" si="0"/>
        <v/>
      </c>
      <c r="J26" s="603"/>
      <c r="K26" s="603"/>
    </row>
    <row r="27" spans="1:11" s="360" customFormat="1" ht="10.5" customHeight="1">
      <c r="A27" s="778" t="s">
        <v>113</v>
      </c>
      <c r="B27" s="714" t="s">
        <v>83</v>
      </c>
      <c r="C27" s="717">
        <v>0</v>
      </c>
      <c r="D27" s="717">
        <v>0</v>
      </c>
      <c r="E27" s="717">
        <v>0</v>
      </c>
      <c r="F27" s="779" t="str">
        <f t="shared" si="0"/>
        <v/>
      </c>
      <c r="J27" s="603"/>
      <c r="K27" s="603"/>
    </row>
    <row r="28" spans="1:11" s="360" customFormat="1" ht="10.5" customHeight="1">
      <c r="A28" s="780" t="s">
        <v>360</v>
      </c>
      <c r="B28" s="574"/>
      <c r="C28" s="576">
        <v>0</v>
      </c>
      <c r="D28" s="576">
        <v>0</v>
      </c>
      <c r="E28" s="576">
        <v>0</v>
      </c>
      <c r="F28" s="781" t="str">
        <f t="shared" si="0"/>
        <v/>
      </c>
      <c r="J28" s="603"/>
      <c r="K28" s="603"/>
    </row>
    <row r="29" spans="1:11" s="360" customFormat="1" ht="10.5" customHeight="1">
      <c r="A29" s="778" t="s">
        <v>117</v>
      </c>
      <c r="B29" s="714" t="s">
        <v>75</v>
      </c>
      <c r="C29" s="717">
        <v>3.6</v>
      </c>
      <c r="D29" s="717">
        <v>3.6</v>
      </c>
      <c r="E29" s="717">
        <v>3.2</v>
      </c>
      <c r="F29" s="779">
        <f t="shared" si="0"/>
        <v>0</v>
      </c>
      <c r="J29" s="603"/>
      <c r="K29" s="603"/>
    </row>
    <row r="30" spans="1:11" s="360" customFormat="1" ht="10.5" customHeight="1">
      <c r="A30" s="780" t="s">
        <v>361</v>
      </c>
      <c r="B30" s="574"/>
      <c r="C30" s="576">
        <v>3.6</v>
      </c>
      <c r="D30" s="576">
        <v>3.6</v>
      </c>
      <c r="E30" s="576">
        <v>3.2</v>
      </c>
      <c r="F30" s="781">
        <f t="shared" si="0"/>
        <v>0</v>
      </c>
      <c r="J30" s="603"/>
      <c r="K30" s="603"/>
    </row>
    <row r="31" spans="1:11" s="360" customFormat="1" ht="10.5" customHeight="1">
      <c r="A31" s="778" t="s">
        <v>104</v>
      </c>
      <c r="B31" s="714" t="s">
        <v>362</v>
      </c>
      <c r="C31" s="717">
        <v>16.555999999999997</v>
      </c>
      <c r="D31" s="717">
        <v>18.835999999999999</v>
      </c>
      <c r="E31" s="717">
        <v>19.103999999999999</v>
      </c>
      <c r="F31" s="779">
        <f t="shared" si="0"/>
        <v>-0.12104480781482274</v>
      </c>
      <c r="J31" s="603"/>
      <c r="K31" s="603"/>
    </row>
    <row r="32" spans="1:11" s="360" customFormat="1" ht="10.5" customHeight="1">
      <c r="A32" s="780" t="s">
        <v>363</v>
      </c>
      <c r="B32" s="574"/>
      <c r="C32" s="576">
        <v>16.555999999999997</v>
      </c>
      <c r="D32" s="576">
        <v>18.835999999999999</v>
      </c>
      <c r="E32" s="576">
        <v>19.103999999999999</v>
      </c>
      <c r="F32" s="781">
        <f t="shared" si="0"/>
        <v>-0.12104480781482274</v>
      </c>
      <c r="J32" s="603"/>
      <c r="K32" s="603"/>
    </row>
    <row r="33" spans="1:11" s="360" customFormat="1" ht="21" customHeight="1">
      <c r="A33" s="782" t="s">
        <v>514</v>
      </c>
      <c r="B33" s="740" t="s">
        <v>364</v>
      </c>
      <c r="C33" s="741">
        <v>18.66602</v>
      </c>
      <c r="D33" s="741">
        <v>19.49907</v>
      </c>
      <c r="E33" s="741">
        <v>19.391210000000001</v>
      </c>
      <c r="F33" s="783">
        <f t="shared" si="0"/>
        <v>-4.272255035752992E-2</v>
      </c>
      <c r="J33" s="603"/>
      <c r="K33" s="603"/>
    </row>
    <row r="34" spans="1:11" s="360" customFormat="1" ht="10.5" customHeight="1">
      <c r="A34" s="780" t="s">
        <v>509</v>
      </c>
      <c r="B34" s="574"/>
      <c r="C34" s="576">
        <v>18.66602</v>
      </c>
      <c r="D34" s="576">
        <v>19.49907</v>
      </c>
      <c r="E34" s="576">
        <v>19.391210000000001</v>
      </c>
      <c r="F34" s="781">
        <f t="shared" si="0"/>
        <v>-4.272255035752992E-2</v>
      </c>
      <c r="J34" s="603"/>
      <c r="K34" s="603"/>
    </row>
    <row r="35" spans="1:11" s="360" customFormat="1" ht="10.5" customHeight="1">
      <c r="A35" s="778" t="s">
        <v>253</v>
      </c>
      <c r="B35" s="714" t="s">
        <v>60</v>
      </c>
      <c r="C35" s="717">
        <v>17.051090000000002</v>
      </c>
      <c r="D35" s="717">
        <v>18.352620000000002</v>
      </c>
      <c r="E35" s="717"/>
      <c r="F35" s="779">
        <f t="shared" si="0"/>
        <v>-7.0917939781894868E-2</v>
      </c>
      <c r="J35" s="603"/>
      <c r="K35" s="603"/>
    </row>
    <row r="36" spans="1:11" s="360" customFormat="1" ht="10.5" customHeight="1">
      <c r="A36" s="780" t="s">
        <v>365</v>
      </c>
      <c r="B36" s="574"/>
      <c r="C36" s="576">
        <v>17.051090000000002</v>
      </c>
      <c r="D36" s="576">
        <v>18.352620000000002</v>
      </c>
      <c r="E36" s="576"/>
      <c r="F36" s="781">
        <f t="shared" si="0"/>
        <v>-7.0917939781894868E-2</v>
      </c>
      <c r="J36" s="603"/>
      <c r="K36" s="603"/>
    </row>
    <row r="37" spans="1:11" s="360" customFormat="1" ht="12.75" customHeight="1">
      <c r="A37" s="778" t="s">
        <v>490</v>
      </c>
      <c r="B37" s="714" t="s">
        <v>573</v>
      </c>
      <c r="C37" s="717">
        <v>0</v>
      </c>
      <c r="D37" s="717"/>
      <c r="E37" s="717"/>
      <c r="F37" s="779" t="str">
        <f t="shared" si="0"/>
        <v/>
      </c>
      <c r="J37" s="603"/>
      <c r="K37" s="603"/>
    </row>
    <row r="38" spans="1:11" s="360" customFormat="1" ht="10.5" customHeight="1">
      <c r="A38" s="780" t="s">
        <v>495</v>
      </c>
      <c r="B38" s="574"/>
      <c r="C38" s="576">
        <v>0</v>
      </c>
      <c r="D38" s="576"/>
      <c r="E38" s="576"/>
      <c r="F38" s="781" t="str">
        <f t="shared" ref="F38:F71" si="1">+IF(D38=0,"",C38/D38-1)</f>
        <v/>
      </c>
      <c r="J38" s="603"/>
      <c r="K38" s="603"/>
    </row>
    <row r="39" spans="1:11" s="360" customFormat="1" ht="10.5" customHeight="1">
      <c r="A39" s="778" t="s">
        <v>535</v>
      </c>
      <c r="B39" s="714" t="s">
        <v>542</v>
      </c>
      <c r="C39" s="717">
        <v>71.596620000000001</v>
      </c>
      <c r="D39" s="717">
        <v>89.023700000000005</v>
      </c>
      <c r="E39" s="717">
        <v>61.922440000000002</v>
      </c>
      <c r="F39" s="779">
        <f t="shared" si="1"/>
        <v>-0.1957577588889251</v>
      </c>
      <c r="J39" s="603"/>
      <c r="K39" s="603"/>
    </row>
    <row r="40" spans="1:11" s="360" customFormat="1" ht="10.5" customHeight="1">
      <c r="A40" s="780" t="s">
        <v>543</v>
      </c>
      <c r="B40" s="574"/>
      <c r="C40" s="576">
        <v>71.596620000000001</v>
      </c>
      <c r="D40" s="576">
        <v>89.023700000000005</v>
      </c>
      <c r="E40" s="576">
        <v>61.922440000000002</v>
      </c>
      <c r="F40" s="781">
        <f t="shared" si="1"/>
        <v>-0.1957577588889251</v>
      </c>
      <c r="J40" s="603"/>
      <c r="K40" s="603"/>
    </row>
    <row r="41" spans="1:11" s="360" customFormat="1" ht="10.5" customHeight="1">
      <c r="A41" s="778" t="s">
        <v>119</v>
      </c>
      <c r="B41" s="714" t="s">
        <v>366</v>
      </c>
      <c r="C41" s="717">
        <v>0</v>
      </c>
      <c r="D41" s="717">
        <v>0</v>
      </c>
      <c r="E41" s="717">
        <v>0</v>
      </c>
      <c r="F41" s="779" t="str">
        <f t="shared" si="1"/>
        <v/>
      </c>
      <c r="J41" s="603"/>
      <c r="K41" s="603"/>
    </row>
    <row r="42" spans="1:11" s="360" customFormat="1" ht="10.5" customHeight="1">
      <c r="A42" s="778"/>
      <c r="B42" s="714" t="s">
        <v>367</v>
      </c>
      <c r="C42" s="717">
        <v>0</v>
      </c>
      <c r="D42" s="717">
        <v>0</v>
      </c>
      <c r="E42" s="717">
        <v>0</v>
      </c>
      <c r="F42" s="779" t="str">
        <f t="shared" si="1"/>
        <v/>
      </c>
      <c r="J42" s="603"/>
      <c r="K42" s="603"/>
    </row>
    <row r="43" spans="1:11" s="360" customFormat="1" ht="10.5" customHeight="1">
      <c r="A43" s="780" t="s">
        <v>368</v>
      </c>
      <c r="B43" s="574"/>
      <c r="C43" s="576">
        <v>0</v>
      </c>
      <c r="D43" s="576">
        <v>0</v>
      </c>
      <c r="E43" s="576">
        <v>0</v>
      </c>
      <c r="F43" s="781" t="str">
        <f t="shared" si="1"/>
        <v/>
      </c>
      <c r="J43" s="603"/>
      <c r="K43" s="603"/>
    </row>
    <row r="44" spans="1:11" s="360" customFormat="1" ht="10.5" customHeight="1">
      <c r="A44" s="778" t="s">
        <v>486</v>
      </c>
      <c r="B44" s="714" t="s">
        <v>369</v>
      </c>
      <c r="C44" s="717">
        <v>784.19304999999997</v>
      </c>
      <c r="D44" s="717">
        <v>645.87952999999993</v>
      </c>
      <c r="E44" s="717">
        <v>426.67420000000004</v>
      </c>
      <c r="F44" s="779">
        <f t="shared" si="1"/>
        <v>0.21414755163397126</v>
      </c>
      <c r="J44" s="603"/>
      <c r="K44" s="603"/>
    </row>
    <row r="45" spans="1:11" s="360" customFormat="1" ht="10.5" customHeight="1">
      <c r="A45" s="778"/>
      <c r="B45" s="714" t="s">
        <v>370</v>
      </c>
      <c r="C45" s="717">
        <v>0</v>
      </c>
      <c r="D45" s="717">
        <v>0</v>
      </c>
      <c r="E45" s="717">
        <v>146.26472999999999</v>
      </c>
      <c r="F45" s="779" t="str">
        <f t="shared" si="1"/>
        <v/>
      </c>
      <c r="J45" s="603"/>
      <c r="K45" s="603"/>
    </row>
    <row r="46" spans="1:11" s="360" customFormat="1" ht="10.5" customHeight="1">
      <c r="A46" s="778"/>
      <c r="B46" s="714" t="s">
        <v>540</v>
      </c>
      <c r="C46" s="717">
        <v>510.45877999999999</v>
      </c>
      <c r="D46" s="717">
        <v>517.5922599999999</v>
      </c>
      <c r="E46" s="717"/>
      <c r="F46" s="779">
        <f t="shared" si="1"/>
        <v>-1.3782045349750582E-2</v>
      </c>
      <c r="J46" s="603"/>
      <c r="K46" s="603"/>
    </row>
    <row r="47" spans="1:11" s="360" customFormat="1" ht="10.5" customHeight="1">
      <c r="A47" s="778"/>
      <c r="B47" s="714" t="s">
        <v>371</v>
      </c>
      <c r="C47" s="717">
        <v>4.5761099999999999</v>
      </c>
      <c r="D47" s="717">
        <v>4.8499400000000001</v>
      </c>
      <c r="E47" s="717"/>
      <c r="F47" s="779">
        <f t="shared" si="1"/>
        <v>-5.6460492294750031E-2</v>
      </c>
      <c r="J47" s="603"/>
      <c r="K47" s="603"/>
    </row>
    <row r="48" spans="1:11" s="360" customFormat="1" ht="10.5" customHeight="1">
      <c r="A48" s="780" t="s">
        <v>372</v>
      </c>
      <c r="B48" s="574"/>
      <c r="C48" s="576">
        <v>1299.22794</v>
      </c>
      <c r="D48" s="576">
        <v>1168.3217299999999</v>
      </c>
      <c r="E48" s="576">
        <v>572.93893000000003</v>
      </c>
      <c r="F48" s="781">
        <f t="shared" si="1"/>
        <v>0.11204637099405845</v>
      </c>
      <c r="J48" s="603"/>
      <c r="K48" s="603"/>
    </row>
    <row r="49" spans="1:11" s="360" customFormat="1" ht="10.5" customHeight="1">
      <c r="A49" s="778" t="s">
        <v>118</v>
      </c>
      <c r="B49" s="714" t="s">
        <v>73</v>
      </c>
      <c r="C49" s="717">
        <v>1.6800600000000001</v>
      </c>
      <c r="D49" s="717">
        <v>3.512</v>
      </c>
      <c r="E49" s="717">
        <v>3.371</v>
      </c>
      <c r="F49" s="779">
        <f t="shared" si="1"/>
        <v>-0.52162300683371288</v>
      </c>
      <c r="J49" s="603"/>
      <c r="K49" s="603"/>
    </row>
    <row r="50" spans="1:11" s="360" customFormat="1" ht="10.5" customHeight="1">
      <c r="A50" s="780" t="s">
        <v>373</v>
      </c>
      <c r="B50" s="574"/>
      <c r="C50" s="576">
        <v>1.6800600000000001</v>
      </c>
      <c r="D50" s="576">
        <v>3.512</v>
      </c>
      <c r="E50" s="576">
        <v>3.371</v>
      </c>
      <c r="F50" s="781">
        <f t="shared" si="1"/>
        <v>-0.52162300683371288</v>
      </c>
      <c r="J50" s="603"/>
      <c r="K50" s="603"/>
    </row>
    <row r="51" spans="1:11" s="360" customFormat="1" ht="10.5" customHeight="1">
      <c r="A51" s="778" t="s">
        <v>111</v>
      </c>
      <c r="B51" s="714" t="s">
        <v>82</v>
      </c>
      <c r="C51" s="717">
        <v>0</v>
      </c>
      <c r="D51" s="717">
        <v>0</v>
      </c>
      <c r="E51" s="717">
        <v>0</v>
      </c>
      <c r="F51" s="779" t="str">
        <f t="shared" si="1"/>
        <v/>
      </c>
      <c r="J51" s="603"/>
      <c r="K51" s="603"/>
    </row>
    <row r="52" spans="1:11" s="360" customFormat="1" ht="10.5" customHeight="1">
      <c r="A52" s="780" t="s">
        <v>374</v>
      </c>
      <c r="B52" s="574"/>
      <c r="C52" s="576">
        <v>0</v>
      </c>
      <c r="D52" s="576">
        <v>0</v>
      </c>
      <c r="E52" s="576">
        <v>0</v>
      </c>
      <c r="F52" s="781" t="str">
        <f t="shared" si="1"/>
        <v/>
      </c>
      <c r="J52" s="603"/>
      <c r="K52" s="603"/>
    </row>
    <row r="53" spans="1:11" s="360" customFormat="1" ht="10.5" customHeight="1">
      <c r="A53" s="778" t="s">
        <v>254</v>
      </c>
      <c r="B53" s="714" t="s">
        <v>72</v>
      </c>
      <c r="C53" s="717">
        <v>5.4197300000000004</v>
      </c>
      <c r="D53" s="717">
        <v>4.9025999999999996</v>
      </c>
      <c r="E53" s="717">
        <v>5.3929</v>
      </c>
      <c r="F53" s="779">
        <f t="shared" si="1"/>
        <v>0.10548076530820394</v>
      </c>
      <c r="J53" s="603"/>
      <c r="K53" s="603"/>
    </row>
    <row r="54" spans="1:11" s="360" customFormat="1" ht="10.5" customHeight="1">
      <c r="A54" s="778"/>
      <c r="B54" s="714" t="s">
        <v>375</v>
      </c>
      <c r="C54" s="717">
        <v>122.69465</v>
      </c>
      <c r="D54" s="717">
        <v>169.03919999999999</v>
      </c>
      <c r="E54" s="717">
        <v>144.66965999999999</v>
      </c>
      <c r="F54" s="779">
        <f t="shared" si="1"/>
        <v>-0.27416451331998737</v>
      </c>
      <c r="J54" s="603"/>
      <c r="K54" s="603"/>
    </row>
    <row r="55" spans="1:11" s="360" customFormat="1" ht="10.5" customHeight="1">
      <c r="A55" s="778"/>
      <c r="B55" s="714" t="s">
        <v>376</v>
      </c>
      <c r="C55" s="717">
        <v>79.524430000000009</v>
      </c>
      <c r="D55" s="717">
        <v>59.801320000000004</v>
      </c>
      <c r="E55" s="717">
        <v>91.223910000000004</v>
      </c>
      <c r="F55" s="779">
        <f t="shared" si="1"/>
        <v>0.3298106128761038</v>
      </c>
      <c r="J55" s="603"/>
      <c r="K55" s="603"/>
    </row>
    <row r="56" spans="1:11" s="360" customFormat="1" ht="10.5" customHeight="1">
      <c r="A56" s="778"/>
      <c r="B56" s="714" t="s">
        <v>63</v>
      </c>
      <c r="C56" s="717">
        <v>8.4721100000000007</v>
      </c>
      <c r="D56" s="717">
        <v>9.9101499999999998</v>
      </c>
      <c r="E56" s="717">
        <v>10.00128</v>
      </c>
      <c r="F56" s="779">
        <f t="shared" si="1"/>
        <v>-0.14510779352482039</v>
      </c>
      <c r="J56" s="603"/>
      <c r="K56" s="603"/>
    </row>
    <row r="57" spans="1:11" s="360" customFormat="1" ht="10.5" customHeight="1">
      <c r="A57" s="780" t="s">
        <v>377</v>
      </c>
      <c r="B57" s="574"/>
      <c r="C57" s="576">
        <v>216.11091999999996</v>
      </c>
      <c r="D57" s="576">
        <v>243.65326999999999</v>
      </c>
      <c r="E57" s="576">
        <v>251.28775000000002</v>
      </c>
      <c r="F57" s="781">
        <f t="shared" si="1"/>
        <v>-0.11303911496857821</v>
      </c>
      <c r="J57" s="603"/>
      <c r="K57" s="603"/>
    </row>
    <row r="58" spans="1:11" s="360" customFormat="1" ht="10.5" customHeight="1">
      <c r="A58" s="778" t="s">
        <v>255</v>
      </c>
      <c r="B58" s="714" t="s">
        <v>79</v>
      </c>
      <c r="C58" s="717">
        <v>0</v>
      </c>
      <c r="D58" s="717">
        <v>9.4545200000000005</v>
      </c>
      <c r="E58" s="717">
        <v>22.759620000000002</v>
      </c>
      <c r="F58" s="779">
        <f t="shared" si="1"/>
        <v>-1</v>
      </c>
      <c r="J58" s="603"/>
      <c r="K58" s="603"/>
    </row>
    <row r="59" spans="1:11" s="360" customFormat="1" ht="10.5" customHeight="1">
      <c r="A59" s="780" t="s">
        <v>378</v>
      </c>
      <c r="B59" s="574"/>
      <c r="C59" s="576">
        <v>0</v>
      </c>
      <c r="D59" s="576">
        <v>9.4545200000000005</v>
      </c>
      <c r="E59" s="576">
        <v>22.759620000000002</v>
      </c>
      <c r="F59" s="781">
        <f t="shared" si="1"/>
        <v>-1</v>
      </c>
      <c r="J59" s="603"/>
      <c r="K59" s="603"/>
    </row>
    <row r="60" spans="1:11" s="360" customFormat="1" ht="10.5" customHeight="1">
      <c r="A60" s="778" t="s">
        <v>100</v>
      </c>
      <c r="B60" s="714" t="s">
        <v>77</v>
      </c>
      <c r="C60" s="717">
        <v>0</v>
      </c>
      <c r="D60" s="717">
        <v>24.39481</v>
      </c>
      <c r="E60" s="717">
        <v>72.490799999999993</v>
      </c>
      <c r="F60" s="779">
        <f t="shared" si="1"/>
        <v>-1</v>
      </c>
      <c r="J60" s="603"/>
      <c r="K60" s="603"/>
    </row>
    <row r="61" spans="1:11" s="360" customFormat="1" ht="10.5" customHeight="1">
      <c r="A61" s="780" t="s">
        <v>379</v>
      </c>
      <c r="B61" s="574"/>
      <c r="C61" s="576">
        <v>0</v>
      </c>
      <c r="D61" s="576">
        <v>24.39481</v>
      </c>
      <c r="E61" s="576">
        <v>72.490799999999993</v>
      </c>
      <c r="F61" s="781">
        <f t="shared" si="1"/>
        <v>-1</v>
      </c>
      <c r="J61" s="603"/>
      <c r="K61" s="603"/>
    </row>
    <row r="62" spans="1:11" s="360" customFormat="1" ht="10.5" customHeight="1">
      <c r="A62" s="778" t="s">
        <v>108</v>
      </c>
      <c r="B62" s="714" t="s">
        <v>244</v>
      </c>
      <c r="C62" s="717">
        <v>0</v>
      </c>
      <c r="D62" s="717">
        <v>0</v>
      </c>
      <c r="E62" s="717">
        <v>0</v>
      </c>
      <c r="F62" s="779" t="str">
        <f t="shared" si="1"/>
        <v/>
      </c>
      <c r="J62" s="603"/>
      <c r="K62" s="603"/>
    </row>
    <row r="63" spans="1:11" s="360" customFormat="1" ht="10.5" customHeight="1">
      <c r="A63" s="780" t="s">
        <v>380</v>
      </c>
      <c r="B63" s="574"/>
      <c r="C63" s="576">
        <v>0</v>
      </c>
      <c r="D63" s="576">
        <v>0</v>
      </c>
      <c r="E63" s="576">
        <v>0</v>
      </c>
      <c r="F63" s="781" t="str">
        <f t="shared" si="1"/>
        <v/>
      </c>
      <c r="J63" s="603"/>
      <c r="K63" s="603"/>
    </row>
    <row r="64" spans="1:11" s="360" customFormat="1" ht="10.5" customHeight="1">
      <c r="A64" s="778" t="s">
        <v>487</v>
      </c>
      <c r="B64" s="714" t="s">
        <v>86</v>
      </c>
      <c r="C64" s="717">
        <v>0</v>
      </c>
      <c r="D64" s="717">
        <v>0</v>
      </c>
      <c r="E64" s="717"/>
      <c r="F64" s="779" t="str">
        <f t="shared" si="1"/>
        <v/>
      </c>
      <c r="J64" s="603"/>
      <c r="K64" s="603"/>
    </row>
    <row r="65" spans="1:11" s="360" customFormat="1" ht="10.5" customHeight="1">
      <c r="A65" s="778"/>
      <c r="B65" s="714" t="s">
        <v>85</v>
      </c>
      <c r="C65" s="717">
        <v>2.7343799999999998</v>
      </c>
      <c r="D65" s="717">
        <v>4.2178000000000004</v>
      </c>
      <c r="E65" s="717">
        <v>2.7587999999999999</v>
      </c>
      <c r="F65" s="779">
        <f t="shared" si="1"/>
        <v>-0.35170468016501499</v>
      </c>
      <c r="J65" s="603"/>
      <c r="K65" s="603"/>
    </row>
    <row r="66" spans="1:11" s="360" customFormat="1" ht="10.5" customHeight="1">
      <c r="A66" s="778"/>
      <c r="B66" s="714" t="s">
        <v>534</v>
      </c>
      <c r="C66" s="717">
        <v>1.03722</v>
      </c>
      <c r="D66" s="717"/>
      <c r="E66" s="717"/>
      <c r="F66" s="779" t="str">
        <f t="shared" si="1"/>
        <v/>
      </c>
      <c r="J66" s="603"/>
      <c r="K66" s="603"/>
    </row>
    <row r="67" spans="1:11" s="360" customFormat="1" ht="10.5" customHeight="1">
      <c r="A67" s="780" t="s">
        <v>381</v>
      </c>
      <c r="B67" s="574"/>
      <c r="C67" s="576">
        <v>3.7715999999999998</v>
      </c>
      <c r="D67" s="576">
        <v>4.2178000000000004</v>
      </c>
      <c r="E67" s="576">
        <v>2.7587999999999999</v>
      </c>
      <c r="F67" s="781">
        <f t="shared" si="1"/>
        <v>-0.10578974820996745</v>
      </c>
      <c r="J67" s="603"/>
      <c r="K67" s="603"/>
    </row>
    <row r="68" spans="1:11" s="360" customFormat="1" ht="10.5" customHeight="1">
      <c r="A68" s="778" t="s">
        <v>256</v>
      </c>
      <c r="B68" s="714" t="s">
        <v>382</v>
      </c>
      <c r="C68" s="717">
        <v>0</v>
      </c>
      <c r="D68" s="717">
        <v>0</v>
      </c>
      <c r="E68" s="717">
        <v>0</v>
      </c>
      <c r="F68" s="779" t="str">
        <f t="shared" si="1"/>
        <v/>
      </c>
      <c r="J68" s="603"/>
      <c r="K68" s="603"/>
    </row>
    <row r="69" spans="1:11" s="360" customFormat="1" ht="9" customHeight="1">
      <c r="A69" s="780" t="s">
        <v>383</v>
      </c>
      <c r="B69" s="574"/>
      <c r="C69" s="576">
        <v>0</v>
      </c>
      <c r="D69" s="576">
        <v>0</v>
      </c>
      <c r="E69" s="576">
        <v>0</v>
      </c>
      <c r="F69" s="781" t="str">
        <f t="shared" si="1"/>
        <v/>
      </c>
      <c r="J69" s="603"/>
      <c r="K69" s="603"/>
    </row>
    <row r="70" spans="1:11" s="360" customFormat="1" ht="10.5" customHeight="1">
      <c r="A70" s="778" t="s">
        <v>585</v>
      </c>
      <c r="B70" s="714" t="s">
        <v>587</v>
      </c>
      <c r="C70" s="717">
        <v>10.07152</v>
      </c>
      <c r="D70" s="717"/>
      <c r="E70" s="717">
        <v>0</v>
      </c>
      <c r="F70" s="779" t="str">
        <f t="shared" si="1"/>
        <v/>
      </c>
      <c r="J70" s="603"/>
      <c r="K70" s="603"/>
    </row>
    <row r="71" spans="1:11" s="360" customFormat="1" ht="10.5" customHeight="1">
      <c r="A71" s="780" t="s">
        <v>586</v>
      </c>
      <c r="B71" s="574"/>
      <c r="C71" s="576">
        <v>10.07152</v>
      </c>
      <c r="D71" s="576"/>
      <c r="E71" s="576">
        <v>0</v>
      </c>
      <c r="F71" s="781" t="str">
        <f t="shared" si="1"/>
        <v/>
      </c>
      <c r="J71" s="603"/>
      <c r="K71" s="603"/>
    </row>
    <row r="72" spans="1:11" s="360" customFormat="1" ht="10.5" customHeight="1">
      <c r="A72" s="716"/>
      <c r="B72" s="714"/>
      <c r="C72" s="717"/>
      <c r="D72" s="717"/>
      <c r="E72" s="717"/>
      <c r="F72" s="737"/>
    </row>
    <row r="73" spans="1:11" s="360" customFormat="1" ht="10.5" customHeight="1"/>
    <row r="74" spans="1:11" s="360" customFormat="1" ht="10.5" customHeight="1"/>
    <row r="75" spans="1:11" s="360" customFormat="1" ht="10.5" customHeight="1"/>
    <row r="76" spans="1:11" s="360" customFormat="1" ht="10.5" customHeight="1"/>
    <row r="77" spans="1:11" s="360" customFormat="1" ht="10.5" customHeight="1"/>
    <row r="78" spans="1:11" s="360" customFormat="1" ht="10.5" customHeight="1"/>
    <row r="79" spans="1:11" s="360" customFormat="1" ht="10.5" customHeight="1"/>
    <row r="80" spans="1:11" s="360" customFormat="1" ht="10.5" customHeight="1"/>
    <row r="81" s="360" customFormat="1" ht="10.5" customHeight="1"/>
    <row r="82" s="360" customFormat="1" ht="10.5" customHeight="1"/>
    <row r="83" s="360" customFormat="1" ht="8.25"/>
    <row r="84" s="360" customFormat="1" ht="8.25"/>
    <row r="85" s="360" customFormat="1" ht="8.25"/>
    <row r="86" s="360" customFormat="1" ht="8.25"/>
    <row r="87" s="360" customFormat="1" ht="8.25"/>
    <row r="88" s="360" customFormat="1" ht="8.25"/>
    <row r="89" s="360" customFormat="1" ht="8.25"/>
    <row r="90" s="360" customFormat="1" ht="8.25"/>
    <row r="91" s="360" customFormat="1" ht="8.25"/>
    <row r="92" s="360" customFormat="1" ht="8.25"/>
    <row r="93" s="360" customFormat="1" ht="8.25"/>
    <row r="94" s="360" customFormat="1" ht="8.25"/>
    <row r="95" s="360" customFormat="1" ht="8.25"/>
    <row r="96" s="360" customFormat="1" ht="8.25"/>
    <row r="97" s="360" customFormat="1" ht="8.25"/>
    <row r="98" s="360" customFormat="1" ht="8.25"/>
    <row r="99" s="360" customFormat="1" ht="8.25"/>
    <row r="100" s="360" customFormat="1" ht="8.25"/>
    <row r="101" s="360" customFormat="1" ht="8.25"/>
    <row r="102" s="360" customFormat="1" ht="8.25"/>
    <row r="103" s="360" customFormat="1" ht="8.25"/>
    <row r="104" s="360" customFormat="1" ht="8.25"/>
    <row r="105" s="360" customFormat="1" ht="8.25"/>
    <row r="106" s="360" customFormat="1" ht="8.25"/>
    <row r="107" s="360" customFormat="1" ht="8.25"/>
    <row r="108" s="360" customFormat="1" ht="8.25"/>
    <row r="109" s="360" customFormat="1" ht="8.25"/>
    <row r="110" s="360" customFormat="1" ht="8.25"/>
    <row r="111" s="360" customFormat="1" ht="8.25"/>
    <row r="112" s="360" customFormat="1" ht="8.25"/>
    <row r="113" s="360" customFormat="1" ht="8.25"/>
    <row r="114" s="360" customFormat="1" ht="8.25"/>
    <row r="115" s="360" customFormat="1" ht="8.25"/>
  </sheetData>
  <mergeCells count="3">
    <mergeCell ref="A1:A4"/>
    <mergeCell ref="B1:B4"/>
    <mergeCell ref="C1:F1"/>
  </mergeCells>
  <pageMargins left="0.70866141732283472" right="0.70866141732283472" top="1.4311417322834645" bottom="0.62992125984251968" header="0.31496062992125984" footer="0.31496062992125984"/>
  <pageSetup paperSize="9" scale="94" orientation="portrait" r:id="rId1"/>
  <headerFooter>
    <oddHeader>&amp;R&amp;7Informe de la Operación Mensual - Junio 2019
INFSGI-MES-06-2019
10/07/2019
Versión: 01</oddHeader>
    <oddFooter>&amp;L&amp;7COES, 2019&amp;C22&amp;R&amp;7Dirección Ejecutiva
Sub Dirección de Gestión de Información</oddFooter>
  </headerFooter>
  <rowBreaks count="1" manualBreakCount="1">
    <brk id="72"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77A5"/>
  </sheetPr>
  <dimension ref="A1:G65"/>
  <sheetViews>
    <sheetView showGridLines="0" view="pageBreakPreview" zoomScale="130" zoomScaleNormal="100" zoomScaleSheetLayoutView="130" zoomScalePageLayoutView="130" workbookViewId="0">
      <selection activeCell="C12" sqref="C12"/>
    </sheetView>
  </sheetViews>
  <sheetFormatPr defaultColWidth="9.33203125" defaultRowHeight="9"/>
  <cols>
    <col min="1" max="1" width="27" style="281" customWidth="1"/>
    <col min="2" max="2" width="19.5" style="281" customWidth="1"/>
    <col min="3" max="3" width="16.5" style="281" customWidth="1"/>
    <col min="4" max="4" width="17.6640625" style="281" customWidth="1"/>
    <col min="5" max="5" width="15.1640625" style="281" customWidth="1"/>
    <col min="6" max="6" width="12.83203125" style="281" customWidth="1"/>
    <col min="7" max="16384" width="9.33203125" style="281"/>
  </cols>
  <sheetData>
    <row r="1" spans="1:6" s="360" customFormat="1" ht="11.25" customHeight="1">
      <c r="A1" s="996" t="s">
        <v>264</v>
      </c>
      <c r="B1" s="998" t="s">
        <v>55</v>
      </c>
      <c r="C1" s="998" t="s">
        <v>417</v>
      </c>
      <c r="D1" s="998"/>
      <c r="E1" s="998"/>
      <c r="F1" s="1000"/>
    </row>
    <row r="2" spans="1:6" s="360" customFormat="1" ht="11.25" customHeight="1">
      <c r="A2" s="990"/>
      <c r="B2" s="993"/>
      <c r="C2" s="557" t="str">
        <f>+'22. ANEXOII-2'!C2</f>
        <v>JUNIO 2019</v>
      </c>
      <c r="D2" s="558" t="str">
        <f>+'22. ANEXOII-2'!D2</f>
        <v>JUNIO 2018</v>
      </c>
      <c r="E2" s="559" t="s">
        <v>700</v>
      </c>
      <c r="F2" s="734" t="s">
        <v>546</v>
      </c>
    </row>
    <row r="3" spans="1:6" s="360" customFormat="1" ht="11.25" customHeight="1">
      <c r="A3" s="990"/>
      <c r="B3" s="993"/>
      <c r="C3" s="560">
        <f>+'8. Max Potencia'!D8</f>
        <v>43635.75</v>
      </c>
      <c r="D3" s="560">
        <f>+'8. Max Potencia'!E8</f>
        <v>43256.78125</v>
      </c>
      <c r="E3" s="560">
        <f>+'22. ANEXOII-2'!E3</f>
        <v>43256.78125</v>
      </c>
      <c r="F3" s="735" t="s">
        <v>414</v>
      </c>
    </row>
    <row r="4" spans="1:6" s="360" customFormat="1" ht="11.25" customHeight="1">
      <c r="A4" s="997"/>
      <c r="B4" s="999"/>
      <c r="C4" s="561">
        <f>+'8. Max Potencia'!D9</f>
        <v>43635.75</v>
      </c>
      <c r="D4" s="561">
        <f>+'8. Max Potencia'!E9</f>
        <v>43256.78125</v>
      </c>
      <c r="E4" s="561">
        <f>+'22. ANEXOII-2'!E4</f>
        <v>43256.78125</v>
      </c>
      <c r="F4" s="736" t="s">
        <v>415</v>
      </c>
    </row>
    <row r="5" spans="1:6" s="360" customFormat="1" ht="10.5" customHeight="1">
      <c r="A5" s="778" t="s">
        <v>105</v>
      </c>
      <c r="B5" s="714" t="s">
        <v>62</v>
      </c>
      <c r="C5" s="717">
        <v>8.13354</v>
      </c>
      <c r="D5" s="717">
        <v>18.366520000000001</v>
      </c>
      <c r="E5" s="717">
        <v>14.27637</v>
      </c>
      <c r="F5" s="779">
        <f t="shared" ref="F5:F47" si="0">+IF(D5=0,"",C5/D5-1)</f>
        <v>-0.55715399542210498</v>
      </c>
    </row>
    <row r="6" spans="1:6" s="360" customFormat="1" ht="10.5" customHeight="1">
      <c r="A6" s="780" t="s">
        <v>384</v>
      </c>
      <c r="B6" s="574"/>
      <c r="C6" s="576">
        <v>8.13354</v>
      </c>
      <c r="D6" s="576">
        <v>18.366520000000001</v>
      </c>
      <c r="E6" s="576">
        <v>14.27637</v>
      </c>
      <c r="F6" s="781">
        <f t="shared" si="0"/>
        <v>-0.55715399542210498</v>
      </c>
    </row>
    <row r="7" spans="1:6" s="360" customFormat="1" ht="10.5" customHeight="1">
      <c r="A7" s="778" t="s">
        <v>257</v>
      </c>
      <c r="B7" s="714" t="s">
        <v>385</v>
      </c>
      <c r="C7" s="717">
        <v>0</v>
      </c>
      <c r="D7" s="717">
        <v>0</v>
      </c>
      <c r="E7" s="717">
        <v>150.16015999999999</v>
      </c>
      <c r="F7" s="779" t="str">
        <f t="shared" si="0"/>
        <v/>
      </c>
    </row>
    <row r="8" spans="1:6" s="360" customFormat="1" ht="10.5" customHeight="1">
      <c r="A8" s="780" t="s">
        <v>386</v>
      </c>
      <c r="B8" s="574"/>
      <c r="C8" s="576">
        <v>0</v>
      </c>
      <c r="D8" s="576">
        <v>0</v>
      </c>
      <c r="E8" s="576">
        <v>150.16015999999999</v>
      </c>
      <c r="F8" s="781" t="str">
        <f t="shared" si="0"/>
        <v/>
      </c>
    </row>
    <row r="9" spans="1:6" s="360" customFormat="1" ht="10.5" customHeight="1">
      <c r="A9" s="787" t="s">
        <v>96</v>
      </c>
      <c r="B9" s="728" t="s">
        <v>387</v>
      </c>
      <c r="C9" s="742">
        <v>106.34021999999999</v>
      </c>
      <c r="D9" s="742">
        <v>110.12584000000001</v>
      </c>
      <c r="E9" s="742">
        <v>56.116979999999998</v>
      </c>
      <c r="F9" s="807">
        <f t="shared" si="0"/>
        <v>-3.4375401813053319E-2</v>
      </c>
    </row>
    <row r="10" spans="1:6" s="360" customFormat="1" ht="10.5" customHeight="1">
      <c r="A10" s="780" t="s">
        <v>388</v>
      </c>
      <c r="B10" s="574"/>
      <c r="C10" s="576">
        <v>106.34021999999999</v>
      </c>
      <c r="D10" s="576">
        <v>110.12584000000001</v>
      </c>
      <c r="E10" s="576">
        <v>56.116979999999998</v>
      </c>
      <c r="F10" s="781">
        <f t="shared" si="0"/>
        <v>-3.4375401813053319E-2</v>
      </c>
    </row>
    <row r="11" spans="1:6" s="360" customFormat="1" ht="10.5" customHeight="1">
      <c r="A11" s="787" t="s">
        <v>536</v>
      </c>
      <c r="B11" s="728" t="s">
        <v>571</v>
      </c>
      <c r="C11" s="742">
        <v>4.6315499999999998</v>
      </c>
      <c r="D11" s="742"/>
      <c r="E11" s="742"/>
      <c r="F11" s="807" t="str">
        <f t="shared" si="0"/>
        <v/>
      </c>
    </row>
    <row r="12" spans="1:6" s="360" customFormat="1" ht="10.5" customHeight="1">
      <c r="A12" s="780" t="s">
        <v>544</v>
      </c>
      <c r="B12" s="574"/>
      <c r="C12" s="576">
        <v>4.6315499999999998</v>
      </c>
      <c r="D12" s="576"/>
      <c r="E12" s="576"/>
      <c r="F12" s="781" t="str">
        <f t="shared" si="0"/>
        <v/>
      </c>
    </row>
    <row r="13" spans="1:6" s="360" customFormat="1" ht="10.5" customHeight="1">
      <c r="A13" s="787" t="s">
        <v>470</v>
      </c>
      <c r="B13" s="728" t="s">
        <v>477</v>
      </c>
      <c r="C13" s="742">
        <v>19.914870000000001</v>
      </c>
      <c r="D13" s="742">
        <v>20.011279999999999</v>
      </c>
      <c r="E13" s="742"/>
      <c r="F13" s="807">
        <f t="shared" si="0"/>
        <v>-4.8177827705173648E-3</v>
      </c>
    </row>
    <row r="14" spans="1:6" s="360" customFormat="1" ht="10.5" customHeight="1">
      <c r="A14" s="780" t="s">
        <v>472</v>
      </c>
      <c r="B14" s="574"/>
      <c r="C14" s="576">
        <v>19.914870000000001</v>
      </c>
      <c r="D14" s="576">
        <v>20.011279999999999</v>
      </c>
      <c r="E14" s="576"/>
      <c r="F14" s="781">
        <f t="shared" si="0"/>
        <v>-4.8177827705173648E-3</v>
      </c>
    </row>
    <row r="15" spans="1:6" s="360" customFormat="1" ht="10.5" customHeight="1">
      <c r="A15" s="787" t="s">
        <v>258</v>
      </c>
      <c r="B15" s="728" t="s">
        <v>66</v>
      </c>
      <c r="C15" s="742">
        <v>2.9266200000000002</v>
      </c>
      <c r="D15" s="742">
        <v>7.1911800000000001</v>
      </c>
      <c r="E15" s="742">
        <v>3.0182799999999999</v>
      </c>
      <c r="F15" s="807">
        <f t="shared" si="0"/>
        <v>-0.59302645741032767</v>
      </c>
    </row>
    <row r="16" spans="1:6" s="360" customFormat="1" ht="10.5" customHeight="1">
      <c r="A16" s="787"/>
      <c r="B16" s="728" t="s">
        <v>65</v>
      </c>
      <c r="C16" s="742">
        <v>3.1834799999999999</v>
      </c>
      <c r="D16" s="742">
        <v>7.6492399999999998</v>
      </c>
      <c r="E16" s="742">
        <v>3.4796999999999998</v>
      </c>
      <c r="F16" s="807">
        <f t="shared" si="0"/>
        <v>-0.58381747729186162</v>
      </c>
    </row>
    <row r="17" spans="1:6" s="360" customFormat="1" ht="10.5" customHeight="1">
      <c r="A17" s="787"/>
      <c r="B17" s="728" t="s">
        <v>69</v>
      </c>
      <c r="C17" s="742">
        <v>1.7680100000000001</v>
      </c>
      <c r="D17" s="742">
        <v>2.28498</v>
      </c>
      <c r="E17" s="742">
        <v>2.36558</v>
      </c>
      <c r="F17" s="807">
        <f t="shared" si="0"/>
        <v>-0.22624705686701851</v>
      </c>
    </row>
    <row r="18" spans="1:6" s="360" customFormat="1" ht="10.5" customHeight="1">
      <c r="A18" s="787"/>
      <c r="B18" s="728" t="s">
        <v>68</v>
      </c>
      <c r="C18" s="742">
        <v>2.1034700000000002</v>
      </c>
      <c r="D18" s="742">
        <v>2.6919200000000001</v>
      </c>
      <c r="E18" s="742">
        <v>2.5881400000000001</v>
      </c>
      <c r="F18" s="807">
        <f t="shared" si="0"/>
        <v>-0.2185986210585753</v>
      </c>
    </row>
    <row r="19" spans="1:6" s="360" customFormat="1" ht="10.5" customHeight="1">
      <c r="A19" s="780" t="s">
        <v>389</v>
      </c>
      <c r="B19" s="574"/>
      <c r="C19" s="576">
        <v>9.981580000000001</v>
      </c>
      <c r="D19" s="576">
        <v>19.817319999999999</v>
      </c>
      <c r="E19" s="576">
        <v>11.451699999999999</v>
      </c>
      <c r="F19" s="781">
        <f t="shared" si="0"/>
        <v>-0.4963203904463368</v>
      </c>
    </row>
    <row r="20" spans="1:6" s="360" customFormat="1" ht="10.5" customHeight="1">
      <c r="A20" s="787" t="s">
        <v>103</v>
      </c>
      <c r="B20" s="728" t="s">
        <v>390</v>
      </c>
      <c r="C20" s="742">
        <v>28.782550000000001</v>
      </c>
      <c r="D20" s="742">
        <v>28.139520000000001</v>
      </c>
      <c r="E20" s="742">
        <v>28.189550000000001</v>
      </c>
      <c r="F20" s="807">
        <f t="shared" si="0"/>
        <v>2.2851491425582182E-2</v>
      </c>
    </row>
    <row r="21" spans="1:6" s="360" customFormat="1" ht="10.5" customHeight="1">
      <c r="A21" s="780" t="s">
        <v>391</v>
      </c>
      <c r="B21" s="574"/>
      <c r="C21" s="576">
        <v>28.782550000000001</v>
      </c>
      <c r="D21" s="576">
        <v>28.139520000000001</v>
      </c>
      <c r="E21" s="576">
        <v>28.189550000000001</v>
      </c>
      <c r="F21" s="781">
        <f t="shared" si="0"/>
        <v>2.2851491425582182E-2</v>
      </c>
    </row>
    <row r="22" spans="1:6" s="360" customFormat="1" ht="10.5" customHeight="1">
      <c r="A22" s="787" t="s">
        <v>121</v>
      </c>
      <c r="B22" s="728" t="s">
        <v>392</v>
      </c>
      <c r="C22" s="742">
        <v>0</v>
      </c>
      <c r="D22" s="742">
        <v>0</v>
      </c>
      <c r="E22" s="742">
        <v>0</v>
      </c>
      <c r="F22" s="807" t="str">
        <f t="shared" si="0"/>
        <v/>
      </c>
    </row>
    <row r="23" spans="1:6" s="360" customFormat="1" ht="10.5" customHeight="1">
      <c r="A23" s="780" t="s">
        <v>393</v>
      </c>
      <c r="B23" s="574"/>
      <c r="C23" s="576">
        <v>0</v>
      </c>
      <c r="D23" s="576">
        <v>0</v>
      </c>
      <c r="E23" s="576">
        <v>0</v>
      </c>
      <c r="F23" s="781" t="str">
        <f t="shared" si="0"/>
        <v/>
      </c>
    </row>
    <row r="24" spans="1:6" s="360" customFormat="1" ht="10.5" customHeight="1">
      <c r="A24" s="787" t="s">
        <v>114</v>
      </c>
      <c r="B24" s="728" t="s">
        <v>588</v>
      </c>
      <c r="C24" s="742">
        <v>16.940710000000003</v>
      </c>
      <c r="D24" s="742"/>
      <c r="E24" s="742">
        <v>0</v>
      </c>
      <c r="F24" s="807" t="str">
        <f t="shared" si="0"/>
        <v/>
      </c>
    </row>
    <row r="25" spans="1:6" s="360" customFormat="1" ht="10.5" customHeight="1">
      <c r="A25" s="787"/>
      <c r="B25" s="728" t="s">
        <v>70</v>
      </c>
      <c r="C25" s="742">
        <v>7.5687800000000003</v>
      </c>
      <c r="D25" s="742">
        <v>6.6779099999999998</v>
      </c>
      <c r="E25" s="742">
        <v>9.4724699999999995</v>
      </c>
      <c r="F25" s="807">
        <f t="shared" si="0"/>
        <v>0.13340551160467884</v>
      </c>
    </row>
    <row r="26" spans="1:6" s="360" customFormat="1" ht="10.5" customHeight="1">
      <c r="A26" s="780" t="s">
        <v>394</v>
      </c>
      <c r="B26" s="574"/>
      <c r="C26" s="576">
        <v>24.509490000000003</v>
      </c>
      <c r="D26" s="576">
        <v>6.6779099999999998</v>
      </c>
      <c r="E26" s="576">
        <v>9.4724699999999995</v>
      </c>
      <c r="F26" s="781">
        <f t="shared" si="0"/>
        <v>2.6702336509476772</v>
      </c>
    </row>
    <row r="27" spans="1:6" s="360" customFormat="1" ht="10.5" customHeight="1">
      <c r="A27" s="787" t="s">
        <v>91</v>
      </c>
      <c r="B27" s="728" t="s">
        <v>395</v>
      </c>
      <c r="C27" s="742">
        <v>29.908360000000002</v>
      </c>
      <c r="D27" s="742">
        <v>42.575890000000001</v>
      </c>
      <c r="E27" s="742">
        <v>40.030410000000003</v>
      </c>
      <c r="F27" s="807">
        <f t="shared" si="0"/>
        <v>-0.29752824896907615</v>
      </c>
    </row>
    <row r="28" spans="1:6" s="360" customFormat="1" ht="10.5" customHeight="1">
      <c r="A28" s="787"/>
      <c r="B28" s="728" t="s">
        <v>396</v>
      </c>
      <c r="C28" s="742">
        <v>103.59575000000001</v>
      </c>
      <c r="D28" s="742">
        <v>141.89283999999998</v>
      </c>
      <c r="E28" s="742">
        <v>119.92075</v>
      </c>
      <c r="F28" s="807">
        <f t="shared" si="0"/>
        <v>-0.26990149749627945</v>
      </c>
    </row>
    <row r="29" spans="1:6" s="360" customFormat="1" ht="10.5" customHeight="1">
      <c r="A29" s="787"/>
      <c r="B29" s="728" t="s">
        <v>397</v>
      </c>
      <c r="C29" s="742">
        <v>11.37388</v>
      </c>
      <c r="D29" s="742">
        <v>34.246580000000002</v>
      </c>
      <c r="E29" s="742">
        <v>12.660600000000001</v>
      </c>
      <c r="F29" s="807">
        <f t="shared" si="0"/>
        <v>-0.66788274916794621</v>
      </c>
    </row>
    <row r="30" spans="1:6" s="360" customFormat="1" ht="10.5" customHeight="1">
      <c r="A30" s="787"/>
      <c r="B30" s="728" t="s">
        <v>398</v>
      </c>
      <c r="C30" s="742">
        <v>0.20083000000000001</v>
      </c>
      <c r="D30" s="742">
        <v>0</v>
      </c>
      <c r="E30" s="742">
        <v>0</v>
      </c>
      <c r="F30" s="807" t="str">
        <f t="shared" si="0"/>
        <v/>
      </c>
    </row>
    <row r="31" spans="1:6" s="360" customFormat="1" ht="10.5" customHeight="1">
      <c r="A31" s="787"/>
      <c r="B31" s="728" t="s">
        <v>399</v>
      </c>
      <c r="C31" s="742">
        <v>22.751529999999999</v>
      </c>
      <c r="D31" s="742">
        <v>21.960819999999998</v>
      </c>
      <c r="E31" s="742">
        <v>45.812190000000001</v>
      </c>
      <c r="F31" s="807">
        <f t="shared" si="0"/>
        <v>3.6005486133942277E-2</v>
      </c>
    </row>
    <row r="32" spans="1:6" s="360" customFormat="1" ht="10.5" customHeight="1">
      <c r="A32" s="787"/>
      <c r="B32" s="728" t="s">
        <v>400</v>
      </c>
      <c r="C32" s="742">
        <v>3.0224299999999999</v>
      </c>
      <c r="D32" s="742">
        <v>1.87632</v>
      </c>
      <c r="E32" s="742">
        <v>3.0628799999999998</v>
      </c>
      <c r="F32" s="807">
        <f t="shared" si="0"/>
        <v>0.61082864330178221</v>
      </c>
    </row>
    <row r="33" spans="1:6" s="360" customFormat="1" ht="10.5" customHeight="1">
      <c r="A33" s="787"/>
      <c r="B33" s="728" t="s">
        <v>401</v>
      </c>
      <c r="C33" s="742">
        <v>7.3994399999999994</v>
      </c>
      <c r="D33" s="742">
        <v>8.0204400000000007</v>
      </c>
      <c r="E33" s="742">
        <v>5.2938000000000001</v>
      </c>
      <c r="F33" s="807">
        <f t="shared" si="0"/>
        <v>-7.7427173571524954E-2</v>
      </c>
    </row>
    <row r="34" spans="1:6" s="360" customFormat="1" ht="10.5" customHeight="1">
      <c r="A34" s="787"/>
      <c r="B34" s="728" t="s">
        <v>402</v>
      </c>
      <c r="C34" s="742">
        <v>3.98563</v>
      </c>
      <c r="D34" s="742">
        <v>4.0341199999999997</v>
      </c>
      <c r="E34" s="742">
        <v>5.26715</v>
      </c>
      <c r="F34" s="807">
        <f t="shared" si="0"/>
        <v>-1.2019969658810248E-2</v>
      </c>
    </row>
    <row r="35" spans="1:6" s="360" customFormat="1" ht="10.5" customHeight="1">
      <c r="A35" s="787"/>
      <c r="B35" s="728" t="s">
        <v>403</v>
      </c>
      <c r="C35" s="742">
        <v>1.7236100000000001</v>
      </c>
      <c r="D35" s="742">
        <v>2.7661600000000002</v>
      </c>
      <c r="E35" s="742">
        <v>2.3994399999999998</v>
      </c>
      <c r="F35" s="807">
        <f t="shared" si="0"/>
        <v>-0.37689432281574453</v>
      </c>
    </row>
    <row r="36" spans="1:6" s="360" customFormat="1" ht="10.5" customHeight="1">
      <c r="A36" s="787"/>
      <c r="B36" s="728" t="s">
        <v>404</v>
      </c>
      <c r="C36" s="742">
        <v>0.44070999999999999</v>
      </c>
      <c r="D36" s="742">
        <v>0</v>
      </c>
      <c r="E36" s="742">
        <v>0.38178000000000001</v>
      </c>
      <c r="F36" s="807"/>
    </row>
    <row r="37" spans="1:6" s="360" customFormat="1" ht="10.5" customHeight="1">
      <c r="A37" s="787"/>
      <c r="B37" s="728" t="s">
        <v>405</v>
      </c>
      <c r="C37" s="742">
        <v>0.33840999999999999</v>
      </c>
      <c r="D37" s="742">
        <v>0.26884000000000002</v>
      </c>
      <c r="E37" s="742">
        <v>0.27089000000000002</v>
      </c>
      <c r="F37" s="807"/>
    </row>
    <row r="38" spans="1:6" s="360" customFormat="1" ht="10.5" customHeight="1">
      <c r="A38" s="787"/>
      <c r="B38" s="728" t="s">
        <v>406</v>
      </c>
      <c r="C38" s="742">
        <v>103.16712</v>
      </c>
      <c r="D38" s="742">
        <v>106.46462</v>
      </c>
      <c r="E38" s="742">
        <v>96.498750000000001</v>
      </c>
      <c r="F38" s="807">
        <f t="shared" si="0"/>
        <v>-3.0972730659255654E-2</v>
      </c>
    </row>
    <row r="39" spans="1:6" s="360" customFormat="1" ht="10.5" customHeight="1">
      <c r="A39" s="780" t="s">
        <v>407</v>
      </c>
      <c r="B39" s="574"/>
      <c r="C39" s="576">
        <v>287.90769999999998</v>
      </c>
      <c r="D39" s="576">
        <v>364.10663</v>
      </c>
      <c r="E39" s="576">
        <v>331.59863999999999</v>
      </c>
      <c r="F39" s="781">
        <f t="shared" si="0"/>
        <v>-0.20927641443936362</v>
      </c>
    </row>
    <row r="40" spans="1:6" s="360" customFormat="1" ht="10.5" customHeight="1">
      <c r="A40" s="787" t="s">
        <v>110</v>
      </c>
      <c r="B40" s="728" t="s">
        <v>243</v>
      </c>
      <c r="C40" s="742">
        <v>0</v>
      </c>
      <c r="D40" s="742">
        <v>0</v>
      </c>
      <c r="E40" s="742">
        <v>0</v>
      </c>
      <c r="F40" s="807" t="str">
        <f t="shared" si="0"/>
        <v/>
      </c>
    </row>
    <row r="41" spans="1:6" s="360" customFormat="1" ht="10.5" customHeight="1">
      <c r="A41" s="780" t="s">
        <v>408</v>
      </c>
      <c r="B41" s="574"/>
      <c r="C41" s="576">
        <v>0</v>
      </c>
      <c r="D41" s="576">
        <v>0</v>
      </c>
      <c r="E41" s="576">
        <v>0</v>
      </c>
      <c r="F41" s="781" t="str">
        <f t="shared" si="0"/>
        <v/>
      </c>
    </row>
    <row r="42" spans="1:6" s="360" customFormat="1" ht="10.5" customHeight="1">
      <c r="A42" s="787" t="s">
        <v>101</v>
      </c>
      <c r="B42" s="728" t="s">
        <v>541</v>
      </c>
      <c r="C42" s="742">
        <v>287.08664999999996</v>
      </c>
      <c r="D42" s="742">
        <v>290.56951000000004</v>
      </c>
      <c r="E42" s="742">
        <v>0</v>
      </c>
      <c r="F42" s="807">
        <f t="shared" si="0"/>
        <v>-1.19863229972067E-2</v>
      </c>
    </row>
    <row r="43" spans="1:6" s="360" customFormat="1" ht="10.5" customHeight="1">
      <c r="A43" s="780" t="s">
        <v>409</v>
      </c>
      <c r="B43" s="574"/>
      <c r="C43" s="576">
        <v>287.08664999999996</v>
      </c>
      <c r="D43" s="576">
        <v>290.56951000000004</v>
      </c>
      <c r="E43" s="576">
        <v>0</v>
      </c>
      <c r="F43" s="781">
        <f t="shared" si="0"/>
        <v>-1.19863229972067E-2</v>
      </c>
    </row>
    <row r="44" spans="1:6" s="360" customFormat="1" ht="10.5" customHeight="1">
      <c r="A44" s="787" t="s">
        <v>106</v>
      </c>
      <c r="B44" s="728" t="s">
        <v>410</v>
      </c>
      <c r="C44" s="742">
        <v>0</v>
      </c>
      <c r="D44" s="742">
        <v>0</v>
      </c>
      <c r="E44" s="742">
        <v>0</v>
      </c>
      <c r="F44" s="807" t="str">
        <f t="shared" si="0"/>
        <v/>
      </c>
    </row>
    <row r="45" spans="1:6" s="360" customFormat="1" ht="10.5" customHeight="1">
      <c r="A45" s="780" t="s">
        <v>411</v>
      </c>
      <c r="B45" s="574"/>
      <c r="C45" s="576">
        <v>0</v>
      </c>
      <c r="D45" s="576">
        <v>0</v>
      </c>
      <c r="E45" s="576">
        <v>0</v>
      </c>
      <c r="F45" s="781" t="str">
        <f t="shared" si="0"/>
        <v/>
      </c>
    </row>
    <row r="46" spans="1:6" s="360" customFormat="1" ht="10.5" hidden="1" customHeight="1">
      <c r="A46" s="787"/>
      <c r="B46" s="728"/>
      <c r="C46" s="742"/>
      <c r="D46" s="742"/>
      <c r="E46" s="742"/>
      <c r="F46" s="807" t="str">
        <f t="shared" si="0"/>
        <v/>
      </c>
    </row>
    <row r="47" spans="1:6" ht="6.75" customHeight="1">
      <c r="A47" s="787"/>
      <c r="B47" s="728"/>
      <c r="C47" s="742"/>
      <c r="D47" s="742"/>
      <c r="E47" s="742"/>
      <c r="F47" s="807" t="str">
        <f t="shared" si="0"/>
        <v/>
      </c>
    </row>
    <row r="48" spans="1:6" s="449" customFormat="1" ht="12" customHeight="1">
      <c r="A48" s="554" t="s">
        <v>473</v>
      </c>
      <c r="B48" s="568"/>
      <c r="C48" s="705">
        <v>6793.7682599999998</v>
      </c>
      <c r="D48" s="553">
        <v>6542.2351099999996</v>
      </c>
      <c r="E48" s="553">
        <v>6400.7671099999989</v>
      </c>
      <c r="F48" s="743">
        <f>+IF(D48=0,"",C48/D48-1)</f>
        <v>3.8447586454898985E-2</v>
      </c>
    </row>
    <row r="49" spans="1:7" s="449" customFormat="1" ht="12" customHeight="1">
      <c r="A49" s="568" t="s">
        <v>412</v>
      </c>
      <c r="B49" s="554"/>
      <c r="C49" s="553">
        <v>0</v>
      </c>
      <c r="D49" s="553">
        <v>0</v>
      </c>
      <c r="E49" s="556">
        <v>0</v>
      </c>
      <c r="F49" s="744">
        <v>0</v>
      </c>
    </row>
    <row r="50" spans="1:7" s="449" customFormat="1" ht="12" customHeight="1">
      <c r="A50" s="745" t="s">
        <v>413</v>
      </c>
      <c r="B50" s="745"/>
      <c r="C50" s="553">
        <v>0</v>
      </c>
      <c r="D50" s="553">
        <v>0</v>
      </c>
      <c r="E50" s="556">
        <v>0</v>
      </c>
      <c r="F50" s="744">
        <v>0</v>
      </c>
    </row>
    <row r="51" spans="1:7" ht="12" customHeight="1">
      <c r="A51" s="714"/>
      <c r="B51" s="718"/>
      <c r="C51" s="718"/>
      <c r="D51" s="718"/>
      <c r="E51" s="718"/>
      <c r="F51" s="718"/>
    </row>
    <row r="52" spans="1:7" ht="27.75" customHeight="1">
      <c r="A52" s="988" t="s">
        <v>559</v>
      </c>
      <c r="B52" s="988"/>
      <c r="C52" s="988"/>
      <c r="D52" s="988"/>
      <c r="E52" s="988"/>
      <c r="F52" s="988"/>
      <c r="G52" s="718"/>
    </row>
    <row r="53" spans="1:7" ht="15" customHeight="1">
      <c r="A53" s="823" t="s">
        <v>600</v>
      </c>
    </row>
    <row r="54" spans="1:7" ht="15" customHeight="1">
      <c r="A54" s="823" t="s">
        <v>601</v>
      </c>
    </row>
    <row r="55" spans="1:7" ht="15" customHeight="1">
      <c r="A55" s="823" t="s">
        <v>602</v>
      </c>
    </row>
    <row r="56" spans="1:7" ht="15" customHeight="1">
      <c r="A56" s="823" t="s">
        <v>603</v>
      </c>
    </row>
    <row r="57" spans="1:7" ht="15" customHeight="1">
      <c r="A57" s="823" t="s">
        <v>717</v>
      </c>
    </row>
    <row r="58" spans="1:7" ht="15" customHeight="1">
      <c r="A58" s="823" t="s">
        <v>716</v>
      </c>
    </row>
    <row r="59" spans="1:7" ht="12" customHeight="1">
      <c r="A59" s="360"/>
    </row>
    <row r="60" spans="1:7" ht="12" customHeight="1">
      <c r="A60" s="360"/>
    </row>
    <row r="61" spans="1:7" ht="12" customHeight="1">
      <c r="A61" s="360"/>
    </row>
    <row r="62" spans="1:7" ht="12" customHeight="1">
      <c r="A62" s="360"/>
    </row>
    <row r="63" spans="1:7" ht="12" customHeight="1">
      <c r="A63" s="360"/>
    </row>
    <row r="64" spans="1:7" ht="12" customHeight="1">
      <c r="A64" s="360"/>
    </row>
    <row r="65" spans="1:1" ht="12" customHeight="1">
      <c r="A65" s="360"/>
    </row>
  </sheetData>
  <mergeCells count="4">
    <mergeCell ref="A1:A4"/>
    <mergeCell ref="B1:B4"/>
    <mergeCell ref="C1:F1"/>
    <mergeCell ref="A52:F52"/>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77A5"/>
  </sheetPr>
  <dimension ref="A1:M64"/>
  <sheetViews>
    <sheetView showGridLines="0" view="pageBreakPreview" zoomScale="145" zoomScaleNormal="100" zoomScaleSheetLayoutView="145" zoomScalePageLayoutView="145" workbookViewId="0">
      <selection activeCell="C12" sqref="C12"/>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90" t="s">
        <v>425</v>
      </c>
      <c r="B3" s="288"/>
    </row>
    <row r="4" spans="1:13" ht="11.25" customHeight="1">
      <c r="B4" s="288"/>
    </row>
    <row r="5" spans="1:13" ht="11.25" customHeight="1">
      <c r="A5" s="289" t="s">
        <v>485</v>
      </c>
      <c r="C5" s="707">
        <f>+H30</f>
        <v>6793.7682599999998</v>
      </c>
    </row>
    <row r="6" spans="1:13" ht="11.25" customHeight="1">
      <c r="A6" s="289" t="s">
        <v>426</v>
      </c>
      <c r="C6" s="605" t="str">
        <f>+A30</f>
        <v>19/06/2019</v>
      </c>
    </row>
    <row r="7" spans="1:13" ht="11.25" customHeight="1">
      <c r="A7" s="289" t="s">
        <v>427</v>
      </c>
      <c r="C7" s="606" t="str">
        <f>+G30</f>
        <v>18:00</v>
      </c>
    </row>
    <row r="8" spans="1:13" ht="11.25" customHeight="1"/>
    <row r="9" spans="1:13" ht="14.25" customHeight="1">
      <c r="A9" s="1001" t="s">
        <v>418</v>
      </c>
      <c r="B9" s="1002" t="s">
        <v>419</v>
      </c>
      <c r="C9" s="1002"/>
      <c r="D9" s="1002"/>
      <c r="E9" s="1002"/>
      <c r="F9" s="1002"/>
      <c r="G9" s="1002" t="s">
        <v>420</v>
      </c>
      <c r="H9" s="1002"/>
      <c r="I9" s="1002"/>
      <c r="J9" s="1002"/>
      <c r="K9" s="1002"/>
    </row>
    <row r="10" spans="1:13" ht="26.25" customHeight="1">
      <c r="A10" s="1001"/>
      <c r="B10" s="562" t="s">
        <v>421</v>
      </c>
      <c r="C10" s="562" t="s">
        <v>202</v>
      </c>
      <c r="D10" s="562" t="s">
        <v>412</v>
      </c>
      <c r="E10" s="562" t="s">
        <v>413</v>
      </c>
      <c r="F10" s="563" t="s">
        <v>424</v>
      </c>
      <c r="G10" s="562" t="s">
        <v>421</v>
      </c>
      <c r="H10" s="562" t="s">
        <v>202</v>
      </c>
      <c r="I10" s="562" t="s">
        <v>412</v>
      </c>
      <c r="J10" s="562" t="s">
        <v>413</v>
      </c>
      <c r="K10" s="563" t="s">
        <v>424</v>
      </c>
      <c r="L10" s="36"/>
      <c r="M10" s="46"/>
    </row>
    <row r="11" spans="1:13" ht="11.25" customHeight="1">
      <c r="A11" s="1001"/>
      <c r="B11" s="562" t="s">
        <v>422</v>
      </c>
      <c r="C11" s="562" t="s">
        <v>423</v>
      </c>
      <c r="D11" s="562" t="s">
        <v>423</v>
      </c>
      <c r="E11" s="562" t="s">
        <v>423</v>
      </c>
      <c r="F11" s="562" t="s">
        <v>423</v>
      </c>
      <c r="G11" s="562" t="s">
        <v>422</v>
      </c>
      <c r="H11" s="562" t="s">
        <v>423</v>
      </c>
      <c r="I11" s="562" t="s">
        <v>423</v>
      </c>
      <c r="J11" s="562" t="s">
        <v>423</v>
      </c>
      <c r="K11" s="562" t="s">
        <v>423</v>
      </c>
      <c r="L11" s="36"/>
      <c r="M11" s="46"/>
    </row>
    <row r="12" spans="1:13" ht="11.25" customHeight="1">
      <c r="A12" s="369" t="s">
        <v>655</v>
      </c>
      <c r="B12" s="610" t="s">
        <v>475</v>
      </c>
      <c r="C12" s="285">
        <v>6407.5941300000004</v>
      </c>
      <c r="D12" s="285">
        <v>36.595559999999999</v>
      </c>
      <c r="E12" s="285">
        <v>0</v>
      </c>
      <c r="F12" s="285">
        <v>6444.1896900000002</v>
      </c>
      <c r="G12" s="610" t="s">
        <v>529</v>
      </c>
      <c r="H12" s="285">
        <v>6520.67281</v>
      </c>
      <c r="I12" s="285">
        <v>41.519399999999997</v>
      </c>
      <c r="J12" s="285">
        <v>0</v>
      </c>
      <c r="K12" s="285">
        <v>6562.1922100000002</v>
      </c>
      <c r="L12" s="206"/>
      <c r="M12" s="46"/>
    </row>
    <row r="13" spans="1:13" ht="11.25" customHeight="1">
      <c r="A13" s="369" t="s">
        <v>656</v>
      </c>
      <c r="B13" s="611" t="s">
        <v>519</v>
      </c>
      <c r="C13" s="286">
        <v>5726.6898300000003</v>
      </c>
      <c r="D13" s="286">
        <v>0</v>
      </c>
      <c r="E13" s="286">
        <v>0</v>
      </c>
      <c r="F13" s="286">
        <v>5726.6898300000003</v>
      </c>
      <c r="G13" s="611" t="s">
        <v>503</v>
      </c>
      <c r="H13" s="286">
        <v>6441.59663</v>
      </c>
      <c r="I13" s="286">
        <v>0</v>
      </c>
      <c r="J13" s="286">
        <v>0</v>
      </c>
      <c r="K13" s="286">
        <v>6441.59663</v>
      </c>
      <c r="L13" s="5"/>
    </row>
    <row r="14" spans="1:13" ht="11.25" customHeight="1">
      <c r="A14" s="369" t="s">
        <v>657</v>
      </c>
      <c r="B14" s="611" t="s">
        <v>578</v>
      </c>
      <c r="C14" s="286">
        <v>6359.2444500000001</v>
      </c>
      <c r="D14" s="286">
        <v>43.088000000000001</v>
      </c>
      <c r="E14" s="286">
        <v>0</v>
      </c>
      <c r="F14" s="286">
        <v>6402.3324499999999</v>
      </c>
      <c r="G14" s="611" t="s">
        <v>529</v>
      </c>
      <c r="H14" s="286">
        <v>6587.2689899999996</v>
      </c>
      <c r="I14" s="286">
        <v>48.52</v>
      </c>
      <c r="J14" s="286">
        <v>0</v>
      </c>
      <c r="K14" s="286">
        <v>6635.78899</v>
      </c>
      <c r="L14" s="15"/>
    </row>
    <row r="15" spans="1:13" ht="11.25" customHeight="1">
      <c r="A15" s="369" t="s">
        <v>658</v>
      </c>
      <c r="B15" s="611" t="s">
        <v>475</v>
      </c>
      <c r="C15" s="286">
        <v>6422.45129</v>
      </c>
      <c r="D15" s="286">
        <v>36.137920000000001</v>
      </c>
      <c r="E15" s="286">
        <v>0</v>
      </c>
      <c r="F15" s="286">
        <v>6458.5892100000001</v>
      </c>
      <c r="G15" s="611" t="s">
        <v>529</v>
      </c>
      <c r="H15" s="286">
        <v>6624.6178600000003</v>
      </c>
      <c r="I15" s="286">
        <v>49.932679999999998</v>
      </c>
      <c r="J15" s="286">
        <v>0</v>
      </c>
      <c r="K15" s="286">
        <v>6674.5505400000002</v>
      </c>
      <c r="L15" s="12"/>
    </row>
    <row r="16" spans="1:13" ht="11.25" customHeight="1">
      <c r="A16" s="369" t="s">
        <v>659</v>
      </c>
      <c r="B16" s="611" t="s">
        <v>488</v>
      </c>
      <c r="C16" s="286">
        <v>6503.7202600000001</v>
      </c>
      <c r="D16" s="286">
        <v>37.748080000000002</v>
      </c>
      <c r="E16" s="286">
        <v>0</v>
      </c>
      <c r="F16" s="286">
        <v>6541.4683400000004</v>
      </c>
      <c r="G16" s="611" t="s">
        <v>554</v>
      </c>
      <c r="H16" s="286">
        <v>6648.3759899999995</v>
      </c>
      <c r="I16" s="286">
        <v>48.802239999999998</v>
      </c>
      <c r="J16" s="286">
        <v>0</v>
      </c>
      <c r="K16" s="286">
        <v>6697.1782300000004</v>
      </c>
      <c r="L16" s="22"/>
    </row>
    <row r="17" spans="1:12" ht="11.25" customHeight="1">
      <c r="A17" s="369" t="s">
        <v>660</v>
      </c>
      <c r="B17" s="611" t="s">
        <v>661</v>
      </c>
      <c r="C17" s="286">
        <v>6371.0567899999996</v>
      </c>
      <c r="D17" s="286">
        <v>38.790799999999997</v>
      </c>
      <c r="E17" s="286">
        <v>0</v>
      </c>
      <c r="F17" s="286">
        <v>6409.8475900000003</v>
      </c>
      <c r="G17" s="611" t="s">
        <v>662</v>
      </c>
      <c r="H17" s="286">
        <v>6544.4489000000003</v>
      </c>
      <c r="I17" s="286">
        <v>49.336359999999999</v>
      </c>
      <c r="J17" s="286">
        <v>0</v>
      </c>
      <c r="K17" s="286">
        <v>6593.7852599999997</v>
      </c>
      <c r="L17" s="22"/>
    </row>
    <row r="18" spans="1:12" ht="11.25" customHeight="1">
      <c r="A18" s="369" t="s">
        <v>663</v>
      </c>
      <c r="B18" s="611" t="s">
        <v>607</v>
      </c>
      <c r="C18" s="286">
        <v>6424.3415000000005</v>
      </c>
      <c r="D18" s="286">
        <v>34.727879999999999</v>
      </c>
      <c r="E18" s="286">
        <v>0</v>
      </c>
      <c r="F18" s="286">
        <v>6459.0693799999999</v>
      </c>
      <c r="G18" s="611" t="s">
        <v>554</v>
      </c>
      <c r="H18" s="286">
        <v>6585.4785000000002</v>
      </c>
      <c r="I18" s="286">
        <v>47.06176</v>
      </c>
      <c r="J18" s="286">
        <v>0</v>
      </c>
      <c r="K18" s="286">
        <v>6632.5402599999998</v>
      </c>
      <c r="L18" s="22"/>
    </row>
    <row r="19" spans="1:12" ht="11.25" customHeight="1">
      <c r="A19" s="369" t="s">
        <v>664</v>
      </c>
      <c r="B19" s="611" t="s">
        <v>476</v>
      </c>
      <c r="C19" s="286">
        <v>6298.1382800000001</v>
      </c>
      <c r="D19" s="286">
        <v>39.959359999999997</v>
      </c>
      <c r="E19" s="286">
        <v>0</v>
      </c>
      <c r="F19" s="286">
        <v>6338.09764</v>
      </c>
      <c r="G19" s="611" t="s">
        <v>590</v>
      </c>
      <c r="H19" s="286">
        <v>6508.0640899999999</v>
      </c>
      <c r="I19" s="286">
        <v>48.546840000000003</v>
      </c>
      <c r="J19" s="286">
        <v>0</v>
      </c>
      <c r="K19" s="286">
        <v>6556.6109299999998</v>
      </c>
      <c r="L19" s="22"/>
    </row>
    <row r="20" spans="1:12" ht="11.25" customHeight="1">
      <c r="A20" s="369" t="s">
        <v>665</v>
      </c>
      <c r="B20" s="611" t="s">
        <v>519</v>
      </c>
      <c r="C20" s="286">
        <v>5790.2623299999996</v>
      </c>
      <c r="D20" s="286">
        <v>0</v>
      </c>
      <c r="E20" s="286">
        <v>0</v>
      </c>
      <c r="F20" s="286">
        <v>5790.2623299999996</v>
      </c>
      <c r="G20" s="611" t="s">
        <v>554</v>
      </c>
      <c r="H20" s="286">
        <v>6536.1429099999996</v>
      </c>
      <c r="I20" s="286">
        <v>0</v>
      </c>
      <c r="J20" s="286">
        <v>0</v>
      </c>
      <c r="K20" s="286">
        <v>6536.1429099999996</v>
      </c>
      <c r="L20" s="24"/>
    </row>
    <row r="21" spans="1:12" ht="11.25" customHeight="1">
      <c r="A21" s="369" t="s">
        <v>666</v>
      </c>
      <c r="B21" s="611" t="s">
        <v>475</v>
      </c>
      <c r="C21" s="286">
        <v>6439.2972799999998</v>
      </c>
      <c r="D21" s="286">
        <v>43.497280000000003</v>
      </c>
      <c r="E21" s="286">
        <v>0</v>
      </c>
      <c r="F21" s="286">
        <v>6482.7945600000003</v>
      </c>
      <c r="G21" s="611" t="s">
        <v>667</v>
      </c>
      <c r="H21" s="286">
        <v>6556.2193699999998</v>
      </c>
      <c r="I21" s="286">
        <v>35.211919999999999</v>
      </c>
      <c r="J21" s="286">
        <v>0</v>
      </c>
      <c r="K21" s="286">
        <v>6591.4312900000004</v>
      </c>
      <c r="L21" s="22"/>
    </row>
    <row r="22" spans="1:12" ht="11.25" customHeight="1">
      <c r="A22" s="369" t="s">
        <v>668</v>
      </c>
      <c r="B22" s="611" t="s">
        <v>669</v>
      </c>
      <c r="C22" s="286">
        <v>6455.7323500000002</v>
      </c>
      <c r="D22" s="286">
        <v>43.075040000000001</v>
      </c>
      <c r="E22" s="286">
        <v>0</v>
      </c>
      <c r="F22" s="286">
        <v>6498.8073899999999</v>
      </c>
      <c r="G22" s="611" t="s">
        <v>529</v>
      </c>
      <c r="H22" s="286">
        <v>6598.6962100000001</v>
      </c>
      <c r="I22" s="286">
        <v>43.343879999999999</v>
      </c>
      <c r="J22" s="286">
        <v>0</v>
      </c>
      <c r="K22" s="286">
        <v>6642.0400900000004</v>
      </c>
      <c r="L22" s="22"/>
    </row>
    <row r="23" spans="1:12" ht="11.25" customHeight="1">
      <c r="A23" s="369" t="s">
        <v>670</v>
      </c>
      <c r="B23" s="775" t="s">
        <v>475</v>
      </c>
      <c r="C23" s="776">
        <v>6567.0805399999999</v>
      </c>
      <c r="D23" s="776">
        <v>45.087440000000001</v>
      </c>
      <c r="E23" s="776">
        <v>0</v>
      </c>
      <c r="F23" s="776">
        <v>6612.1679800000002</v>
      </c>
      <c r="G23" s="611" t="s">
        <v>529</v>
      </c>
      <c r="H23" s="286">
        <v>6624.6787199999999</v>
      </c>
      <c r="I23" s="286">
        <v>42.759120000000003</v>
      </c>
      <c r="J23" s="286">
        <v>0</v>
      </c>
      <c r="K23" s="286">
        <v>6667.4378399999996</v>
      </c>
      <c r="L23" s="22"/>
    </row>
    <row r="24" spans="1:12" ht="11.25" customHeight="1">
      <c r="A24" s="369" t="s">
        <v>671</v>
      </c>
      <c r="B24" s="611" t="s">
        <v>475</v>
      </c>
      <c r="C24" s="286">
        <v>6473.7710900000002</v>
      </c>
      <c r="D24" s="286">
        <v>41.066879999999998</v>
      </c>
      <c r="E24" s="286">
        <v>0</v>
      </c>
      <c r="F24" s="286">
        <v>6514.8379699999996</v>
      </c>
      <c r="G24" s="611" t="s">
        <v>591</v>
      </c>
      <c r="H24" s="286">
        <v>6627.4888799999999</v>
      </c>
      <c r="I24" s="286">
        <v>37.814120000000003</v>
      </c>
      <c r="J24" s="286">
        <v>0</v>
      </c>
      <c r="K24" s="286">
        <v>6665.3029999999999</v>
      </c>
      <c r="L24" s="22"/>
    </row>
    <row r="25" spans="1:12" ht="11.25" customHeight="1">
      <c r="A25" s="369" t="s">
        <v>672</v>
      </c>
      <c r="B25" s="611" t="s">
        <v>476</v>
      </c>
      <c r="C25" s="286">
        <v>6327.2835299999997</v>
      </c>
      <c r="D25" s="286">
        <v>37.323999999999998</v>
      </c>
      <c r="E25" s="286">
        <v>0</v>
      </c>
      <c r="F25" s="286">
        <v>6364.6075300000002</v>
      </c>
      <c r="G25" s="611" t="s">
        <v>554</v>
      </c>
      <c r="H25" s="286">
        <v>6691.7183400000004</v>
      </c>
      <c r="I25" s="286">
        <v>42.36</v>
      </c>
      <c r="J25" s="286">
        <v>0</v>
      </c>
      <c r="K25" s="286">
        <v>6734.07834</v>
      </c>
      <c r="L25" s="22"/>
    </row>
    <row r="26" spans="1:12" ht="11.25" customHeight="1">
      <c r="A26" s="369" t="s">
        <v>673</v>
      </c>
      <c r="B26" s="611" t="s">
        <v>669</v>
      </c>
      <c r="C26" s="286">
        <v>6408.50839</v>
      </c>
      <c r="D26" s="286">
        <v>34.734000000000002</v>
      </c>
      <c r="E26" s="286">
        <v>0</v>
      </c>
      <c r="F26" s="286">
        <v>6443.2423900000003</v>
      </c>
      <c r="G26" s="611" t="s">
        <v>529</v>
      </c>
      <c r="H26" s="286">
        <v>6534.5325000000003</v>
      </c>
      <c r="I26" s="286">
        <v>42.947600000000001</v>
      </c>
      <c r="J26" s="286">
        <v>0</v>
      </c>
      <c r="K26" s="286">
        <v>6577.4800999999998</v>
      </c>
      <c r="L26" s="22"/>
    </row>
    <row r="27" spans="1:12" ht="11.25" customHeight="1">
      <c r="A27" s="369" t="s">
        <v>674</v>
      </c>
      <c r="B27" s="611" t="s">
        <v>519</v>
      </c>
      <c r="C27" s="286">
        <v>5823.80512</v>
      </c>
      <c r="D27" s="286">
        <v>0</v>
      </c>
      <c r="E27" s="286">
        <v>0</v>
      </c>
      <c r="F27" s="286">
        <v>5823.80512</v>
      </c>
      <c r="G27" s="611" t="s">
        <v>590</v>
      </c>
      <c r="H27" s="286">
        <v>6333.2286700000004</v>
      </c>
      <c r="I27" s="286">
        <v>0</v>
      </c>
      <c r="J27" s="286">
        <v>0</v>
      </c>
      <c r="K27" s="286">
        <v>6333.2286700000004</v>
      </c>
      <c r="L27" s="22"/>
    </row>
    <row r="28" spans="1:12" ht="11.25" customHeight="1">
      <c r="A28" s="369" t="s">
        <v>675</v>
      </c>
      <c r="B28" s="611" t="s">
        <v>488</v>
      </c>
      <c r="C28" s="286">
        <v>6525.0061699999997</v>
      </c>
      <c r="D28" s="286">
        <v>0</v>
      </c>
      <c r="E28" s="286">
        <v>0</v>
      </c>
      <c r="F28" s="286">
        <v>6525.0061699999997</v>
      </c>
      <c r="G28" s="611" t="s">
        <v>529</v>
      </c>
      <c r="H28" s="286">
        <v>6745.2317199999998</v>
      </c>
      <c r="I28" s="286">
        <v>0</v>
      </c>
      <c r="J28" s="286">
        <v>0</v>
      </c>
      <c r="K28" s="286">
        <v>6745.2317199999998</v>
      </c>
      <c r="L28" s="30"/>
    </row>
    <row r="29" spans="1:12" ht="11.25" customHeight="1">
      <c r="A29" s="369" t="s">
        <v>676</v>
      </c>
      <c r="B29" s="611" t="s">
        <v>488</v>
      </c>
      <c r="C29" s="286">
        <v>6587.0387499999997</v>
      </c>
      <c r="D29" s="286">
        <v>36.207999999999998</v>
      </c>
      <c r="E29" s="286">
        <v>0</v>
      </c>
      <c r="F29" s="286">
        <v>6623.2467500000002</v>
      </c>
      <c r="G29" s="611" t="s">
        <v>667</v>
      </c>
      <c r="H29" s="286">
        <v>6712.2736500000001</v>
      </c>
      <c r="I29" s="286">
        <v>43.712000000000003</v>
      </c>
      <c r="J29" s="286">
        <v>0</v>
      </c>
      <c r="K29" s="286">
        <v>6755.9856499999996</v>
      </c>
      <c r="L29" s="22"/>
    </row>
    <row r="30" spans="1:12" ht="11.25" customHeight="1">
      <c r="A30" s="369" t="s">
        <v>677</v>
      </c>
      <c r="B30" s="611" t="s">
        <v>488</v>
      </c>
      <c r="C30" s="286">
        <v>6563.51775</v>
      </c>
      <c r="D30" s="286">
        <v>0</v>
      </c>
      <c r="E30" s="286">
        <v>0</v>
      </c>
      <c r="F30" s="286">
        <v>6563.51775</v>
      </c>
      <c r="G30" s="612" t="s">
        <v>667</v>
      </c>
      <c r="H30" s="287">
        <v>6793.7682599999998</v>
      </c>
      <c r="I30" s="287">
        <v>0</v>
      </c>
      <c r="J30" s="287">
        <v>0</v>
      </c>
      <c r="K30" s="706">
        <v>6793.7682599999998</v>
      </c>
      <c r="L30" s="22"/>
    </row>
    <row r="31" spans="1:12" ht="11.25" customHeight="1">
      <c r="A31" s="773" t="s">
        <v>678</v>
      </c>
      <c r="B31" s="774" t="s">
        <v>476</v>
      </c>
      <c r="C31" s="287">
        <v>6677.5154499999999</v>
      </c>
      <c r="D31" s="287">
        <v>37.429040000000001</v>
      </c>
      <c r="E31" s="287">
        <v>0</v>
      </c>
      <c r="F31" s="287">
        <v>6714.9444899999999</v>
      </c>
      <c r="G31" s="611" t="s">
        <v>554</v>
      </c>
      <c r="H31" s="286">
        <v>6721.9297200000001</v>
      </c>
      <c r="I31" s="286">
        <v>46.834760000000003</v>
      </c>
      <c r="J31" s="286">
        <v>0</v>
      </c>
      <c r="K31" s="286">
        <v>6768.7644799999998</v>
      </c>
      <c r="L31" s="15"/>
    </row>
    <row r="32" spans="1:12" ht="11.25" customHeight="1">
      <c r="A32" s="369" t="s">
        <v>679</v>
      </c>
      <c r="B32" s="611" t="s">
        <v>475</v>
      </c>
      <c r="C32" s="286">
        <v>6607.9660999999996</v>
      </c>
      <c r="D32" s="286">
        <v>0</v>
      </c>
      <c r="E32" s="286">
        <v>0</v>
      </c>
      <c r="F32" s="286">
        <v>6607.9660999999996</v>
      </c>
      <c r="G32" s="611" t="s">
        <v>554</v>
      </c>
      <c r="H32" s="286">
        <v>6684.5132400000002</v>
      </c>
      <c r="I32" s="286">
        <v>0</v>
      </c>
      <c r="J32" s="286">
        <v>0</v>
      </c>
      <c r="K32" s="286">
        <v>6684.5132400000002</v>
      </c>
      <c r="L32" s="16"/>
    </row>
    <row r="33" spans="1:12" ht="11.25" customHeight="1">
      <c r="A33" s="369" t="s">
        <v>680</v>
      </c>
      <c r="B33" s="611" t="s">
        <v>475</v>
      </c>
      <c r="C33" s="286">
        <v>6554.72109</v>
      </c>
      <c r="D33" s="286">
        <v>35.413600000000002</v>
      </c>
      <c r="E33" s="286">
        <v>0</v>
      </c>
      <c r="F33" s="286">
        <v>6590.1346899999999</v>
      </c>
      <c r="G33" s="611" t="s">
        <v>529</v>
      </c>
      <c r="H33" s="286">
        <v>6659.9242599999998</v>
      </c>
      <c r="I33" s="286">
        <v>45.567160000000001</v>
      </c>
      <c r="J33" s="286">
        <v>0</v>
      </c>
      <c r="K33" s="286">
        <v>6705.4914200000003</v>
      </c>
      <c r="L33" s="15"/>
    </row>
    <row r="34" spans="1:12" ht="11.25" customHeight="1">
      <c r="A34" s="824" t="s">
        <v>681</v>
      </c>
      <c r="B34" s="825" t="s">
        <v>519</v>
      </c>
      <c r="C34" s="776">
        <v>5774.1886599999998</v>
      </c>
      <c r="D34" s="776">
        <v>13.0892</v>
      </c>
      <c r="E34" s="776">
        <v>0</v>
      </c>
      <c r="F34" s="776">
        <v>5787.2778600000001</v>
      </c>
      <c r="G34" s="775" t="s">
        <v>662</v>
      </c>
      <c r="H34" s="776">
        <v>6560.5598200000004</v>
      </c>
      <c r="I34" s="776">
        <v>0</v>
      </c>
      <c r="J34" s="776">
        <v>0</v>
      </c>
      <c r="K34" s="777">
        <v>6560.5598200000004</v>
      </c>
      <c r="L34" s="15"/>
    </row>
    <row r="35" spans="1:12" ht="11.25" customHeight="1">
      <c r="A35" s="369" t="s">
        <v>682</v>
      </c>
      <c r="B35" s="611" t="s">
        <v>475</v>
      </c>
      <c r="C35" s="286">
        <v>6404.37806</v>
      </c>
      <c r="D35" s="286">
        <v>40.714640000000003</v>
      </c>
      <c r="E35" s="286">
        <v>0</v>
      </c>
      <c r="F35" s="286">
        <v>6445.0927000000001</v>
      </c>
      <c r="G35" s="611" t="s">
        <v>529</v>
      </c>
      <c r="H35" s="286">
        <v>6600.7476800000004</v>
      </c>
      <c r="I35" s="286">
        <v>42.090319999999998</v>
      </c>
      <c r="J35" s="286">
        <v>0</v>
      </c>
      <c r="K35" s="286">
        <v>6642.8379999999997</v>
      </c>
      <c r="L35" s="22"/>
    </row>
    <row r="36" spans="1:12" ht="11.25" customHeight="1">
      <c r="A36" s="369" t="s">
        <v>683</v>
      </c>
      <c r="B36" s="611" t="s">
        <v>475</v>
      </c>
      <c r="C36" s="286">
        <v>6476.5559700000003</v>
      </c>
      <c r="D36" s="286">
        <v>42.284280000000003</v>
      </c>
      <c r="E36" s="286">
        <v>0</v>
      </c>
      <c r="F36" s="286">
        <v>6518.8402500000002</v>
      </c>
      <c r="G36" s="775" t="s">
        <v>684</v>
      </c>
      <c r="H36" s="776">
        <v>6531.5229300000001</v>
      </c>
      <c r="I36" s="776">
        <v>42.049639999999997</v>
      </c>
      <c r="J36" s="776">
        <v>0</v>
      </c>
      <c r="K36" s="777">
        <v>6573.5725700000003</v>
      </c>
      <c r="L36" s="22"/>
    </row>
    <row r="37" spans="1:12" ht="11.25" customHeight="1">
      <c r="A37" s="369" t="s">
        <v>685</v>
      </c>
      <c r="B37" s="611" t="s">
        <v>669</v>
      </c>
      <c r="C37" s="286">
        <v>6340.47523</v>
      </c>
      <c r="D37" s="286">
        <v>42.352559999999997</v>
      </c>
      <c r="E37" s="286">
        <v>0</v>
      </c>
      <c r="F37" s="286">
        <v>6382.8277900000003</v>
      </c>
      <c r="G37" s="611" t="s">
        <v>662</v>
      </c>
      <c r="H37" s="286">
        <v>6550.4769200000001</v>
      </c>
      <c r="I37" s="286">
        <v>41.866399999999999</v>
      </c>
      <c r="J37" s="286">
        <v>0</v>
      </c>
      <c r="K37" s="286">
        <v>6592.3433199999999</v>
      </c>
      <c r="L37" s="22"/>
    </row>
    <row r="38" spans="1:12" ht="11.25" customHeight="1">
      <c r="A38" s="369" t="s">
        <v>686</v>
      </c>
      <c r="B38" s="611" t="s">
        <v>476</v>
      </c>
      <c r="C38" s="286">
        <v>6483.0702700000002</v>
      </c>
      <c r="D38" s="286">
        <v>43.663719999999998</v>
      </c>
      <c r="E38" s="286">
        <v>0</v>
      </c>
      <c r="F38" s="286">
        <v>6526.7339899999997</v>
      </c>
      <c r="G38" s="611" t="s">
        <v>529</v>
      </c>
      <c r="H38" s="286">
        <v>6693.4551199999996</v>
      </c>
      <c r="I38" s="286">
        <v>42.42492</v>
      </c>
      <c r="J38" s="286">
        <v>0</v>
      </c>
      <c r="K38" s="286">
        <v>6735.88004</v>
      </c>
      <c r="L38" s="22"/>
    </row>
    <row r="39" spans="1:12" ht="11.25" customHeight="1">
      <c r="A39" s="369" t="s">
        <v>687</v>
      </c>
      <c r="B39" s="611" t="s">
        <v>669</v>
      </c>
      <c r="C39" s="286">
        <v>6443.5633200000002</v>
      </c>
      <c r="D39" s="286">
        <v>41.044240000000002</v>
      </c>
      <c r="E39" s="286">
        <v>0</v>
      </c>
      <c r="F39" s="286">
        <v>6484.6075600000004</v>
      </c>
      <c r="G39" s="611" t="s">
        <v>529</v>
      </c>
      <c r="H39" s="286">
        <v>6527.05134</v>
      </c>
      <c r="I39" s="286">
        <v>41.915640000000003</v>
      </c>
      <c r="J39" s="286">
        <v>0</v>
      </c>
      <c r="K39" s="286">
        <v>6568.9669800000001</v>
      </c>
      <c r="L39" s="22"/>
    </row>
    <row r="40" spans="1:12" ht="11.25" customHeight="1">
      <c r="A40" s="369" t="s">
        <v>688</v>
      </c>
      <c r="B40" s="611" t="s">
        <v>689</v>
      </c>
      <c r="C40" s="286">
        <v>5921.2790299999997</v>
      </c>
      <c r="D40" s="286">
        <v>39.696559999999998</v>
      </c>
      <c r="E40" s="286">
        <v>0</v>
      </c>
      <c r="F40" s="286">
        <v>5960.97559</v>
      </c>
      <c r="G40" s="611" t="s">
        <v>684</v>
      </c>
      <c r="H40" s="286">
        <v>6407.1089700000002</v>
      </c>
      <c r="I40" s="286">
        <v>39.767200000000003</v>
      </c>
      <c r="J40" s="286">
        <v>0</v>
      </c>
      <c r="K40" s="286">
        <v>6446.8761699999995</v>
      </c>
      <c r="L40" s="22"/>
    </row>
    <row r="41" spans="1:12" ht="11.25" customHeight="1">
      <c r="A41" s="369" t="s">
        <v>690</v>
      </c>
      <c r="B41" s="611" t="s">
        <v>606</v>
      </c>
      <c r="C41" s="286">
        <v>5558.9255000000003</v>
      </c>
      <c r="D41" s="286">
        <v>32.065480000000001</v>
      </c>
      <c r="E41" s="286">
        <v>0</v>
      </c>
      <c r="F41" s="286">
        <v>5590.9909799999996</v>
      </c>
      <c r="G41" s="611" t="s">
        <v>590</v>
      </c>
      <c r="H41" s="286">
        <v>6349.5107900000003</v>
      </c>
      <c r="I41" s="286">
        <v>38.235520000000001</v>
      </c>
      <c r="J41" s="286">
        <v>0</v>
      </c>
      <c r="K41" s="286">
        <v>6387.7463100000004</v>
      </c>
      <c r="L41" s="22"/>
    </row>
    <row r="42" spans="1:12" ht="11.25" customHeight="1">
      <c r="A42" s="975"/>
      <c r="B42" s="975"/>
      <c r="C42" s="975"/>
      <c r="D42" s="975"/>
      <c r="E42" s="975"/>
      <c r="F42" s="975"/>
      <c r="G42" s="975"/>
      <c r="H42" s="975"/>
      <c r="I42" s="975"/>
      <c r="J42" s="975"/>
      <c r="K42" s="975"/>
      <c r="L42" s="22"/>
    </row>
    <row r="43" spans="1:12" ht="11.25" customHeight="1">
      <c r="A43" s="197"/>
      <c r="B43" s="197"/>
      <c r="C43" s="197"/>
      <c r="D43" s="197"/>
      <c r="E43" s="197"/>
      <c r="F43" s="197"/>
      <c r="G43" s="197"/>
      <c r="H43" s="197"/>
      <c r="I43" s="197"/>
      <c r="J43" s="197"/>
      <c r="K43" s="199"/>
      <c r="L43" s="22"/>
    </row>
    <row r="44" spans="1:12" ht="11.25" customHeight="1">
      <c r="A44" s="197"/>
      <c r="B44" s="197"/>
      <c r="C44" s="197"/>
      <c r="D44" s="197"/>
      <c r="E44" s="197"/>
      <c r="F44" s="197"/>
      <c r="G44" s="197"/>
      <c r="H44" s="197"/>
      <c r="I44" s="197"/>
      <c r="J44" s="197"/>
      <c r="K44" s="200"/>
      <c r="L44" s="11"/>
    </row>
    <row r="45" spans="1:12" ht="11.25" customHeight="1">
      <c r="A45" s="197"/>
      <c r="B45" s="197"/>
      <c r="C45" s="197"/>
      <c r="D45" s="197"/>
      <c r="E45" s="197"/>
      <c r="F45" s="197"/>
      <c r="G45" s="197"/>
      <c r="H45" s="197"/>
      <c r="I45" s="197"/>
      <c r="J45" s="197"/>
      <c r="K45" s="200"/>
      <c r="L45" s="11"/>
    </row>
    <row r="46" spans="1:12" ht="11.25" customHeight="1">
      <c r="A46" s="197"/>
      <c r="B46" s="197"/>
      <c r="C46" s="197"/>
      <c r="D46" s="197"/>
      <c r="E46" s="197"/>
      <c r="F46" s="197"/>
      <c r="G46" s="197"/>
      <c r="H46" s="197"/>
      <c r="I46" s="197"/>
      <c r="J46" s="197"/>
      <c r="K46" s="200"/>
      <c r="L46" s="11"/>
    </row>
    <row r="47" spans="1:12" ht="11.25" customHeight="1">
      <c r="A47" s="197"/>
      <c r="B47" s="197"/>
      <c r="C47" s="197"/>
      <c r="D47" s="197"/>
      <c r="E47" s="197"/>
      <c r="F47" s="197"/>
      <c r="G47" s="197"/>
      <c r="H47" s="197"/>
      <c r="I47" s="197"/>
      <c r="J47" s="197"/>
      <c r="K47" s="199"/>
    </row>
    <row r="48" spans="1:12" ht="11.25" customHeight="1">
      <c r="A48" s="197"/>
      <c r="B48" s="197"/>
      <c r="C48" s="197"/>
      <c r="D48" s="197"/>
      <c r="E48" s="197"/>
      <c r="F48" s="197"/>
      <c r="G48" s="197"/>
      <c r="H48" s="197"/>
      <c r="I48" s="197"/>
      <c r="J48" s="197"/>
      <c r="K48" s="199"/>
    </row>
    <row r="49" spans="1:11" ht="12.75">
      <c r="A49" s="197"/>
      <c r="B49" s="197"/>
      <c r="C49" s="197"/>
      <c r="D49" s="197"/>
      <c r="E49" s="197"/>
      <c r="F49" s="197"/>
      <c r="G49" s="197"/>
      <c r="H49" s="197"/>
      <c r="I49" s="197"/>
      <c r="J49" s="197"/>
      <c r="K49" s="199"/>
    </row>
    <row r="50" spans="1:11" ht="12.75">
      <c r="A50" s="197"/>
      <c r="B50" s="197"/>
      <c r="C50" s="197"/>
      <c r="D50" s="197"/>
      <c r="E50" s="197"/>
      <c r="F50" s="197"/>
      <c r="G50" s="197"/>
      <c r="H50" s="197"/>
      <c r="I50" s="197"/>
      <c r="J50" s="197"/>
      <c r="K50" s="199"/>
    </row>
    <row r="51" spans="1:11" ht="12.75">
      <c r="A51" s="197"/>
      <c r="B51" s="197"/>
      <c r="C51" s="197"/>
      <c r="D51" s="197"/>
      <c r="E51" s="197"/>
      <c r="F51" s="197"/>
      <c r="G51" s="197"/>
      <c r="H51" s="197"/>
      <c r="I51" s="197"/>
      <c r="J51" s="197"/>
      <c r="K51" s="199"/>
    </row>
    <row r="52" spans="1:11" ht="12.75">
      <c r="A52" s="197"/>
      <c r="B52" s="197"/>
      <c r="C52" s="197"/>
      <c r="D52" s="197"/>
      <c r="E52" s="197"/>
      <c r="F52" s="197"/>
      <c r="G52" s="197"/>
      <c r="H52" s="197"/>
      <c r="I52" s="197"/>
      <c r="J52" s="197"/>
      <c r="K52" s="199"/>
    </row>
    <row r="53" spans="1:11" ht="12.75">
      <c r="A53" s="197"/>
      <c r="B53" s="197"/>
      <c r="C53" s="197"/>
      <c r="D53" s="197"/>
      <c r="E53" s="197"/>
      <c r="F53" s="197"/>
      <c r="G53" s="197"/>
      <c r="H53" s="197"/>
      <c r="I53" s="197"/>
      <c r="J53" s="197"/>
      <c r="K53" s="199"/>
    </row>
    <row r="54" spans="1:11" ht="12.75">
      <c r="A54" s="197"/>
      <c r="B54" s="111"/>
      <c r="C54" s="111"/>
      <c r="D54" s="111"/>
      <c r="E54" s="111"/>
      <c r="F54" s="111"/>
      <c r="G54" s="111"/>
      <c r="H54" s="111"/>
      <c r="I54" s="111"/>
      <c r="J54" s="111"/>
      <c r="K54" s="199"/>
    </row>
    <row r="55" spans="1:11" ht="12.75">
      <c r="A55" s="197"/>
      <c r="B55" s="111"/>
      <c r="C55" s="111"/>
      <c r="D55" s="111"/>
      <c r="E55" s="111"/>
      <c r="F55" s="111"/>
      <c r="G55" s="111"/>
      <c r="H55" s="111"/>
      <c r="I55" s="111"/>
      <c r="J55" s="111"/>
      <c r="K55" s="199"/>
    </row>
    <row r="56" spans="1:11" ht="12.75">
      <c r="A56" s="197"/>
      <c r="B56" s="111"/>
      <c r="C56" s="111"/>
      <c r="D56" s="111"/>
      <c r="E56" s="111"/>
      <c r="F56" s="111"/>
      <c r="G56" s="111"/>
      <c r="H56" s="111"/>
      <c r="I56" s="111"/>
      <c r="J56" s="111"/>
      <c r="K56" s="199"/>
    </row>
    <row r="57" spans="1:11" ht="12.75">
      <c r="A57" s="197"/>
      <c r="B57" s="111"/>
      <c r="C57" s="111"/>
      <c r="D57" s="111"/>
      <c r="E57" s="111"/>
      <c r="F57" s="111"/>
      <c r="G57" s="111"/>
      <c r="H57" s="111"/>
      <c r="I57" s="111"/>
      <c r="J57" s="111"/>
      <c r="K57" s="199"/>
    </row>
    <row r="58" spans="1:11" ht="12.75">
      <c r="A58" s="197"/>
      <c r="B58" s="111"/>
      <c r="C58" s="111"/>
      <c r="D58" s="111"/>
      <c r="E58" s="111"/>
      <c r="F58" s="111"/>
      <c r="G58" s="111"/>
      <c r="H58" s="111"/>
      <c r="I58" s="111"/>
      <c r="J58" s="111"/>
      <c r="K58" s="199"/>
    </row>
    <row r="59" spans="1:11" ht="12.75">
      <c r="A59" s="197"/>
      <c r="B59" s="198"/>
      <c r="C59" s="198"/>
      <c r="D59" s="198"/>
      <c r="E59" s="198"/>
      <c r="F59" s="198"/>
      <c r="G59" s="198"/>
      <c r="H59" s="198"/>
      <c r="I59" s="198"/>
      <c r="J59" s="198"/>
      <c r="K59" s="199"/>
    </row>
    <row r="60" spans="1:11" ht="12.75">
      <c r="A60" s="197"/>
      <c r="B60" s="198"/>
      <c r="C60" s="198"/>
      <c r="D60" s="198"/>
      <c r="E60" s="198"/>
      <c r="F60" s="198"/>
      <c r="G60" s="198"/>
      <c r="H60" s="198"/>
      <c r="I60" s="198"/>
      <c r="J60" s="198"/>
      <c r="K60" s="199"/>
    </row>
    <row r="61" spans="1:11" ht="12.75">
      <c r="A61" s="197"/>
      <c r="B61" s="201"/>
      <c r="C61" s="199"/>
      <c r="D61" s="199"/>
      <c r="E61" s="199"/>
      <c r="F61" s="199"/>
      <c r="G61" s="198"/>
      <c r="H61" s="198"/>
      <c r="I61" s="198"/>
      <c r="J61" s="198"/>
      <c r="K61" s="199"/>
    </row>
    <row r="62" spans="1:11" ht="12.75">
      <c r="A62" s="202"/>
      <c r="B62" s="203"/>
      <c r="C62" s="203"/>
      <c r="D62" s="203"/>
      <c r="E62" s="203"/>
      <c r="F62" s="203"/>
      <c r="G62" s="203"/>
      <c r="H62" s="198"/>
      <c r="I62" s="198"/>
      <c r="J62" s="198"/>
      <c r="K62" s="199"/>
    </row>
    <row r="63" spans="1:11" ht="12.75">
      <c r="A63" s="202"/>
      <c r="B63" s="203"/>
      <c r="C63" s="203"/>
      <c r="D63" s="203"/>
      <c r="E63" s="203"/>
      <c r="F63" s="203"/>
      <c r="G63" s="203"/>
      <c r="H63" s="198"/>
      <c r="I63" s="198"/>
      <c r="J63" s="198"/>
      <c r="K63" s="198"/>
    </row>
    <row r="64" spans="1:11" ht="12.75">
      <c r="A64" s="202"/>
      <c r="B64" s="203"/>
      <c r="C64" s="203"/>
      <c r="D64" s="203"/>
      <c r="E64" s="203"/>
      <c r="F64" s="203"/>
      <c r="G64" s="203"/>
      <c r="H64" s="198"/>
      <c r="I64" s="198"/>
      <c r="J64" s="198"/>
      <c r="K64" s="198"/>
    </row>
  </sheetData>
  <mergeCells count="4">
    <mergeCell ref="A9:A11"/>
    <mergeCell ref="B9:F9"/>
    <mergeCell ref="G9:K9"/>
    <mergeCell ref="A42:K42"/>
  </mergeCells>
  <pageMargins left="0.70866141732283472" right="0.7086614173228347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77A5"/>
  </sheetPr>
  <dimension ref="A1:I156"/>
  <sheetViews>
    <sheetView showGridLines="0" view="pageBreakPreview" zoomScale="160" zoomScaleNormal="100" zoomScaleSheetLayoutView="160" zoomScalePageLayoutView="130" workbookViewId="0">
      <selection activeCell="C12" sqref="C12"/>
    </sheetView>
  </sheetViews>
  <sheetFormatPr defaultColWidth="9.33203125" defaultRowHeight="9"/>
  <cols>
    <col min="1" max="1" width="16.1640625" style="293" customWidth="1"/>
    <col min="2" max="2" width="19.6640625" style="293" customWidth="1"/>
    <col min="3" max="3" width="12.1640625" style="293" bestFit="1" customWidth="1"/>
    <col min="4" max="4" width="47.1640625" style="293" customWidth="1"/>
    <col min="5" max="5" width="11.5" style="293" customWidth="1"/>
    <col min="6" max="6" width="10.5" style="293" customWidth="1"/>
    <col min="7" max="8" width="9.33203125" style="293" customWidth="1"/>
    <col min="9" max="16384" width="9.33203125" style="293"/>
  </cols>
  <sheetData>
    <row r="1" spans="1:9" ht="11.25" customHeight="1">
      <c r="A1" s="291" t="s">
        <v>428</v>
      </c>
      <c r="B1" s="292"/>
      <c r="C1" s="292"/>
      <c r="D1" s="292"/>
      <c r="E1" s="292"/>
      <c r="F1" s="292"/>
    </row>
    <row r="2" spans="1:9" ht="30" customHeight="1">
      <c r="A2" s="564" t="s">
        <v>264</v>
      </c>
      <c r="B2" s="565" t="s">
        <v>429</v>
      </c>
      <c r="C2" s="564" t="s">
        <v>418</v>
      </c>
      <c r="D2" s="566" t="s">
        <v>430</v>
      </c>
      <c r="E2" s="567" t="s">
        <v>431</v>
      </c>
      <c r="F2" s="567" t="s">
        <v>432</v>
      </c>
      <c r="G2" s="284"/>
      <c r="H2" s="294"/>
      <c r="I2" s="282"/>
    </row>
    <row r="3" spans="1:9" ht="68.25" customHeight="1">
      <c r="A3" s="639" t="s">
        <v>608</v>
      </c>
      <c r="B3" s="639" t="s">
        <v>595</v>
      </c>
      <c r="C3" s="394">
        <v>43619.761805555558</v>
      </c>
      <c r="D3" s="395" t="s">
        <v>612</v>
      </c>
      <c r="E3" s="396">
        <v>24.31</v>
      </c>
      <c r="F3" s="396"/>
      <c r="H3" s="284"/>
      <c r="I3" s="282"/>
    </row>
    <row r="4" spans="1:9" ht="66.75" customHeight="1">
      <c r="A4" s="639" t="s">
        <v>435</v>
      </c>
      <c r="B4" s="639" t="s">
        <v>613</v>
      </c>
      <c r="C4" s="394">
        <v>43622.859722222223</v>
      </c>
      <c r="D4" s="395" t="s">
        <v>614</v>
      </c>
      <c r="E4" s="396">
        <v>2.5</v>
      </c>
      <c r="F4" s="396"/>
      <c r="G4" s="283"/>
      <c r="H4" s="283"/>
      <c r="I4" s="295"/>
    </row>
    <row r="5" spans="1:9" ht="71.25" customHeight="1">
      <c r="A5" s="639" t="s">
        <v>608</v>
      </c>
      <c r="B5" s="639" t="s">
        <v>595</v>
      </c>
      <c r="C5" s="397">
        <v>43625.751388888886</v>
      </c>
      <c r="D5" s="398" t="s">
        <v>615</v>
      </c>
      <c r="E5" s="399">
        <v>19.25</v>
      </c>
      <c r="F5" s="399"/>
      <c r="G5" s="283"/>
      <c r="H5" s="283"/>
      <c r="I5" s="296"/>
    </row>
    <row r="6" spans="1:9" ht="81.75" customHeight="1">
      <c r="A6" s="639" t="s">
        <v>609</v>
      </c>
      <c r="B6" s="639" t="s">
        <v>616</v>
      </c>
      <c r="C6" s="397">
        <v>43626.665972222225</v>
      </c>
      <c r="D6" s="398" t="s">
        <v>617</v>
      </c>
      <c r="E6" s="399">
        <v>32.22</v>
      </c>
      <c r="F6" s="399"/>
      <c r="G6" s="283"/>
      <c r="H6" s="283"/>
      <c r="I6" s="297"/>
    </row>
    <row r="7" spans="1:9" ht="63" customHeight="1">
      <c r="A7" s="639" t="s">
        <v>610</v>
      </c>
      <c r="B7" s="639" t="s">
        <v>618</v>
      </c>
      <c r="C7" s="397">
        <v>43627.628472222219</v>
      </c>
      <c r="D7" s="398" t="s">
        <v>619</v>
      </c>
      <c r="E7" s="399">
        <v>27.99</v>
      </c>
      <c r="F7" s="399"/>
      <c r="G7" s="283"/>
      <c r="H7" s="283"/>
      <c r="I7" s="298"/>
    </row>
    <row r="8" spans="1:9" ht="66.75" customHeight="1">
      <c r="A8" s="639" t="s">
        <v>610</v>
      </c>
      <c r="B8" s="639" t="s">
        <v>620</v>
      </c>
      <c r="C8" s="397">
        <v>43629.819444444445</v>
      </c>
      <c r="D8" s="398" t="s">
        <v>621</v>
      </c>
      <c r="E8" s="399">
        <v>3</v>
      </c>
      <c r="F8" s="399">
        <v>0.2</v>
      </c>
      <c r="G8" s="283"/>
      <c r="H8" s="283"/>
      <c r="I8" s="297"/>
    </row>
    <row r="9" spans="1:9" ht="63" customHeight="1">
      <c r="A9" s="639" t="s">
        <v>611</v>
      </c>
      <c r="B9" s="639" t="s">
        <v>622</v>
      </c>
      <c r="C9" s="397">
        <v>43630.401388888888</v>
      </c>
      <c r="D9" s="398" t="s">
        <v>623</v>
      </c>
      <c r="E9" s="399">
        <v>24.39</v>
      </c>
      <c r="F9" s="399"/>
      <c r="G9" s="283"/>
      <c r="H9" s="283"/>
      <c r="I9" s="297"/>
    </row>
    <row r="10" spans="1:9" ht="86.25" customHeight="1">
      <c r="A10" s="639" t="s">
        <v>102</v>
      </c>
      <c r="B10" s="639" t="s">
        <v>624</v>
      </c>
      <c r="C10" s="397">
        <v>43630.771527777775</v>
      </c>
      <c r="D10" s="398" t="s">
        <v>625</v>
      </c>
      <c r="E10" s="399">
        <v>1.2</v>
      </c>
      <c r="F10" s="399"/>
    </row>
    <row r="11" spans="1:9" ht="71.25" customHeight="1">
      <c r="A11" s="301" t="s">
        <v>626</v>
      </c>
      <c r="B11" s="301" t="s">
        <v>627</v>
      </c>
      <c r="C11" s="302">
        <v>43632.017361111109</v>
      </c>
      <c r="D11" s="398" t="s">
        <v>628</v>
      </c>
      <c r="E11" s="303"/>
      <c r="F11" s="303">
        <v>12.27</v>
      </c>
    </row>
    <row r="12" spans="1:9" ht="45.75" customHeight="1">
      <c r="C12" s="604"/>
      <c r="E12" s="300"/>
      <c r="F12" s="300"/>
    </row>
    <row r="13" spans="1:9">
      <c r="C13" s="604"/>
      <c r="E13" s="300"/>
      <c r="F13" s="300"/>
    </row>
    <row r="14" spans="1:9">
      <c r="C14" s="604"/>
      <c r="E14" s="300"/>
      <c r="F14" s="300"/>
    </row>
    <row r="15" spans="1:9">
      <c r="C15" s="604"/>
      <c r="E15" s="300"/>
      <c r="F15" s="300"/>
    </row>
    <row r="16" spans="1:9">
      <c r="C16" s="604"/>
      <c r="E16" s="300"/>
      <c r="F16" s="300"/>
    </row>
    <row r="17" spans="3:6">
      <c r="C17" s="604"/>
      <c r="E17" s="300"/>
      <c r="F17" s="300"/>
    </row>
    <row r="18" spans="3:6">
      <c r="C18" s="604"/>
      <c r="E18" s="300"/>
      <c r="F18" s="300"/>
    </row>
    <row r="19" spans="3:6">
      <c r="C19" s="604"/>
      <c r="E19" s="300"/>
      <c r="F19" s="300"/>
    </row>
    <row r="20" spans="3:6">
      <c r="C20" s="604"/>
      <c r="E20" s="300"/>
      <c r="F20" s="300"/>
    </row>
    <row r="21" spans="3:6">
      <c r="C21" s="604"/>
      <c r="E21" s="300"/>
      <c r="F21" s="300"/>
    </row>
    <row r="22" spans="3:6">
      <c r="C22" s="604"/>
      <c r="E22" s="300"/>
      <c r="F22" s="300"/>
    </row>
    <row r="23" spans="3:6">
      <c r="C23" s="604"/>
      <c r="E23" s="300"/>
      <c r="F23" s="300"/>
    </row>
    <row r="24" spans="3:6">
      <c r="C24" s="604"/>
      <c r="E24" s="300"/>
      <c r="F24" s="300"/>
    </row>
    <row r="25" spans="3:6">
      <c r="C25" s="604"/>
      <c r="E25" s="300"/>
      <c r="F25" s="300"/>
    </row>
    <row r="26" spans="3:6">
      <c r="C26" s="604"/>
      <c r="E26" s="300"/>
      <c r="F26" s="300"/>
    </row>
    <row r="27" spans="3:6">
      <c r="C27" s="604"/>
      <c r="E27" s="300"/>
      <c r="F27" s="300"/>
    </row>
    <row r="28" spans="3:6">
      <c r="C28" s="604"/>
      <c r="E28" s="300"/>
      <c r="F28" s="300"/>
    </row>
    <row r="29" spans="3:6">
      <c r="C29" s="604"/>
      <c r="E29" s="300"/>
      <c r="F29" s="300"/>
    </row>
    <row r="30" spans="3:6">
      <c r="C30" s="604"/>
      <c r="E30" s="300"/>
      <c r="F30" s="300"/>
    </row>
    <row r="31" spans="3:6">
      <c r="C31" s="604"/>
      <c r="E31" s="300"/>
      <c r="F31" s="300"/>
    </row>
    <row r="32" spans="3:6">
      <c r="C32" s="604"/>
      <c r="E32" s="300"/>
      <c r="F32" s="300"/>
    </row>
    <row r="33" spans="3:6">
      <c r="C33" s="604"/>
      <c r="E33" s="300"/>
      <c r="F33" s="300"/>
    </row>
    <row r="34" spans="3:6">
      <c r="C34" s="604"/>
      <c r="E34" s="300"/>
      <c r="F34" s="300"/>
    </row>
    <row r="35" spans="3:6">
      <c r="C35" s="604"/>
      <c r="E35" s="300"/>
      <c r="F35" s="300"/>
    </row>
    <row r="36" spans="3:6">
      <c r="C36" s="604"/>
      <c r="E36" s="300"/>
      <c r="F36" s="300"/>
    </row>
    <row r="37" spans="3:6">
      <c r="C37" s="604"/>
      <c r="E37" s="300"/>
      <c r="F37" s="300"/>
    </row>
    <row r="38" spans="3:6">
      <c r="C38" s="604"/>
      <c r="E38" s="300"/>
      <c r="F38" s="300"/>
    </row>
    <row r="39" spans="3:6">
      <c r="C39" s="604"/>
      <c r="E39" s="300"/>
      <c r="F39" s="300"/>
    </row>
    <row r="40" spans="3:6">
      <c r="C40" s="604"/>
      <c r="E40" s="300"/>
      <c r="F40" s="300"/>
    </row>
    <row r="41" spans="3:6">
      <c r="C41" s="604"/>
      <c r="E41" s="300"/>
      <c r="F41" s="300"/>
    </row>
    <row r="42" spans="3:6">
      <c r="C42" s="604"/>
      <c r="E42" s="300"/>
      <c r="F42" s="300"/>
    </row>
    <row r="43" spans="3:6">
      <c r="C43" s="604"/>
      <c r="E43" s="300"/>
      <c r="F43" s="300"/>
    </row>
    <row r="44" spans="3:6">
      <c r="C44" s="604"/>
      <c r="E44" s="300"/>
      <c r="F44" s="300"/>
    </row>
    <row r="45" spans="3:6">
      <c r="C45" s="604"/>
      <c r="E45" s="300"/>
      <c r="F45" s="300"/>
    </row>
    <row r="46" spans="3:6">
      <c r="C46" s="604"/>
      <c r="E46" s="300"/>
      <c r="F46" s="300"/>
    </row>
    <row r="47" spans="3:6">
      <c r="C47" s="604"/>
      <c r="E47" s="300"/>
      <c r="F47" s="300"/>
    </row>
    <row r="48" spans="3:6">
      <c r="C48" s="604"/>
      <c r="E48" s="300"/>
      <c r="F48" s="300"/>
    </row>
    <row r="49" spans="3:6">
      <c r="C49" s="604"/>
      <c r="E49" s="300"/>
      <c r="F49" s="300"/>
    </row>
    <row r="50" spans="3:6">
      <c r="C50" s="604"/>
      <c r="E50" s="300"/>
      <c r="F50" s="300"/>
    </row>
    <row r="51" spans="3:6">
      <c r="C51" s="604"/>
      <c r="E51" s="300"/>
      <c r="F51" s="300"/>
    </row>
    <row r="52" spans="3:6">
      <c r="C52" s="604"/>
      <c r="E52" s="300"/>
      <c r="F52" s="300"/>
    </row>
    <row r="53" spans="3:6">
      <c r="C53" s="604"/>
      <c r="E53" s="300"/>
      <c r="F53" s="300"/>
    </row>
    <row r="54" spans="3:6">
      <c r="C54" s="604"/>
      <c r="E54" s="300"/>
      <c r="F54" s="300"/>
    </row>
    <row r="55" spans="3:6">
      <c r="C55" s="604"/>
      <c r="E55" s="300"/>
      <c r="F55" s="300"/>
    </row>
    <row r="56" spans="3:6">
      <c r="C56" s="604"/>
      <c r="E56" s="300"/>
      <c r="F56" s="300"/>
    </row>
    <row r="57" spans="3:6">
      <c r="C57" s="604"/>
      <c r="E57" s="300"/>
      <c r="F57" s="300"/>
    </row>
    <row r="58" spans="3:6">
      <c r="C58" s="604"/>
      <c r="E58" s="300"/>
      <c r="F58" s="300"/>
    </row>
    <row r="59" spans="3:6">
      <c r="C59" s="604"/>
      <c r="E59" s="300"/>
      <c r="F59" s="300"/>
    </row>
    <row r="60" spans="3:6">
      <c r="C60" s="604"/>
      <c r="E60" s="300"/>
      <c r="F60" s="300"/>
    </row>
    <row r="61" spans="3:6">
      <c r="C61" s="604"/>
      <c r="E61" s="300"/>
      <c r="F61" s="300"/>
    </row>
    <row r="62" spans="3:6">
      <c r="C62" s="604"/>
      <c r="E62" s="300"/>
      <c r="F62" s="300"/>
    </row>
    <row r="63" spans="3:6">
      <c r="C63" s="604"/>
      <c r="E63" s="300"/>
      <c r="F63" s="300"/>
    </row>
    <row r="64" spans="3:6">
      <c r="E64" s="300"/>
      <c r="F64" s="300"/>
    </row>
    <row r="65" spans="5:6">
      <c r="E65" s="300"/>
      <c r="F65" s="300"/>
    </row>
    <row r="66" spans="5:6">
      <c r="E66" s="300"/>
      <c r="F66" s="300"/>
    </row>
    <row r="67" spans="5:6">
      <c r="E67" s="300"/>
      <c r="F67" s="300"/>
    </row>
    <row r="68" spans="5:6">
      <c r="E68" s="300"/>
      <c r="F68" s="300"/>
    </row>
    <row r="69" spans="5:6">
      <c r="E69" s="300"/>
      <c r="F69" s="300"/>
    </row>
    <row r="70" spans="5:6">
      <c r="E70" s="300"/>
      <c r="F70" s="300"/>
    </row>
    <row r="71" spans="5:6">
      <c r="E71" s="300"/>
      <c r="F71" s="300"/>
    </row>
    <row r="72" spans="5:6">
      <c r="E72" s="300"/>
      <c r="F72" s="300"/>
    </row>
    <row r="73" spans="5:6">
      <c r="E73" s="300"/>
      <c r="F73" s="300"/>
    </row>
    <row r="74" spans="5:6">
      <c r="E74" s="300"/>
      <c r="F74" s="300"/>
    </row>
    <row r="75" spans="5:6">
      <c r="E75" s="300"/>
      <c r="F75" s="300"/>
    </row>
    <row r="76" spans="5:6">
      <c r="E76" s="300"/>
      <c r="F76" s="300"/>
    </row>
    <row r="77" spans="5:6">
      <c r="E77" s="300"/>
      <c r="F77" s="300"/>
    </row>
    <row r="78" spans="5:6">
      <c r="E78" s="300"/>
      <c r="F78" s="300"/>
    </row>
    <row r="79" spans="5:6">
      <c r="E79" s="300"/>
      <c r="F79" s="300"/>
    </row>
    <row r="80" spans="5:6">
      <c r="E80" s="300"/>
      <c r="F80" s="300"/>
    </row>
    <row r="81" spans="5:6">
      <c r="E81" s="300"/>
      <c r="F81" s="300"/>
    </row>
    <row r="82" spans="5:6">
      <c r="E82" s="300"/>
      <c r="F82" s="300"/>
    </row>
    <row r="83" spans="5:6">
      <c r="E83" s="300"/>
      <c r="F83" s="300"/>
    </row>
    <row r="84" spans="5:6">
      <c r="E84" s="300"/>
      <c r="F84" s="300"/>
    </row>
    <row r="85" spans="5:6">
      <c r="E85" s="300"/>
      <c r="F85" s="300"/>
    </row>
    <row r="86" spans="5:6">
      <c r="E86" s="300"/>
      <c r="F86" s="300"/>
    </row>
    <row r="87" spans="5:6">
      <c r="E87" s="300"/>
      <c r="F87" s="300"/>
    </row>
    <row r="88" spans="5:6">
      <c r="E88" s="300"/>
      <c r="F88" s="300"/>
    </row>
    <row r="89" spans="5:6">
      <c r="E89" s="300"/>
      <c r="F89" s="300"/>
    </row>
    <row r="90" spans="5:6">
      <c r="E90" s="300"/>
      <c r="F90" s="300"/>
    </row>
    <row r="91" spans="5:6">
      <c r="E91" s="300"/>
      <c r="F91" s="300"/>
    </row>
    <row r="92" spans="5:6">
      <c r="E92" s="300"/>
      <c r="F92" s="300"/>
    </row>
    <row r="93" spans="5:6">
      <c r="E93" s="300"/>
      <c r="F93" s="300"/>
    </row>
    <row r="94" spans="5:6">
      <c r="E94" s="300"/>
      <c r="F94" s="300"/>
    </row>
    <row r="95" spans="5:6">
      <c r="E95" s="300"/>
      <c r="F95" s="300"/>
    </row>
    <row r="96" spans="5:6">
      <c r="E96" s="300"/>
      <c r="F96" s="300"/>
    </row>
    <row r="97" spans="5:6">
      <c r="E97" s="300"/>
      <c r="F97" s="300"/>
    </row>
    <row r="98" spans="5:6">
      <c r="E98" s="300"/>
      <c r="F98" s="300"/>
    </row>
    <row r="99" spans="5:6">
      <c r="E99" s="300"/>
      <c r="F99" s="300"/>
    </row>
    <row r="100" spans="5:6">
      <c r="E100" s="300"/>
      <c r="F100" s="300"/>
    </row>
    <row r="101" spans="5:6">
      <c r="E101" s="300"/>
      <c r="F101" s="300"/>
    </row>
    <row r="102" spans="5:6">
      <c r="E102" s="300"/>
      <c r="F102" s="300"/>
    </row>
    <row r="103" spans="5:6">
      <c r="E103" s="300"/>
      <c r="F103" s="300"/>
    </row>
    <row r="104" spans="5:6">
      <c r="E104" s="300"/>
      <c r="F104" s="300"/>
    </row>
    <row r="105" spans="5:6">
      <c r="E105" s="300"/>
      <c r="F105" s="300"/>
    </row>
    <row r="106" spans="5:6">
      <c r="E106" s="300"/>
      <c r="F106" s="300"/>
    </row>
    <row r="107" spans="5:6">
      <c r="E107" s="300"/>
      <c r="F107" s="300"/>
    </row>
    <row r="108" spans="5:6">
      <c r="E108" s="300"/>
      <c r="F108" s="300"/>
    </row>
    <row r="109" spans="5:6">
      <c r="E109" s="300"/>
      <c r="F109" s="300"/>
    </row>
    <row r="110" spans="5:6">
      <c r="E110" s="300"/>
      <c r="F110" s="300"/>
    </row>
    <row r="111" spans="5:6">
      <c r="E111" s="300"/>
      <c r="F111" s="300"/>
    </row>
    <row r="112" spans="5:6">
      <c r="E112" s="300"/>
      <c r="F112" s="300"/>
    </row>
    <row r="113" spans="5:6">
      <c r="E113" s="300"/>
      <c r="F113" s="300"/>
    </row>
    <row r="114" spans="5:6">
      <c r="E114" s="300"/>
      <c r="F114" s="300"/>
    </row>
    <row r="115" spans="5:6">
      <c r="E115" s="300"/>
      <c r="F115" s="300"/>
    </row>
    <row r="116" spans="5:6">
      <c r="E116" s="300"/>
      <c r="F116" s="300"/>
    </row>
    <row r="117" spans="5:6">
      <c r="E117" s="300"/>
      <c r="F117" s="300"/>
    </row>
    <row r="118" spans="5:6">
      <c r="E118" s="300"/>
      <c r="F118" s="300"/>
    </row>
    <row r="119" spans="5:6">
      <c r="E119" s="300"/>
      <c r="F119" s="300"/>
    </row>
    <row r="120" spans="5:6">
      <c r="E120" s="300"/>
      <c r="F120" s="300"/>
    </row>
    <row r="121" spans="5:6">
      <c r="E121" s="300"/>
      <c r="F121" s="300"/>
    </row>
    <row r="122" spans="5:6">
      <c r="E122" s="300"/>
      <c r="F122" s="300"/>
    </row>
    <row r="123" spans="5:6">
      <c r="E123" s="300"/>
      <c r="F123" s="300"/>
    </row>
    <row r="124" spans="5:6">
      <c r="E124" s="300"/>
      <c r="F124" s="300"/>
    </row>
    <row r="125" spans="5:6">
      <c r="E125" s="300"/>
      <c r="F125" s="300"/>
    </row>
    <row r="126" spans="5:6">
      <c r="E126" s="300"/>
      <c r="F126" s="300"/>
    </row>
    <row r="127" spans="5:6">
      <c r="E127" s="300"/>
      <c r="F127" s="300"/>
    </row>
    <row r="128" spans="5:6">
      <c r="E128" s="300"/>
      <c r="F128" s="300"/>
    </row>
    <row r="129" spans="5:6">
      <c r="E129" s="300"/>
      <c r="F129" s="300"/>
    </row>
    <row r="130" spans="5:6">
      <c r="E130" s="300"/>
      <c r="F130" s="300"/>
    </row>
    <row r="131" spans="5:6">
      <c r="E131" s="300"/>
      <c r="F131" s="300"/>
    </row>
    <row r="132" spans="5:6">
      <c r="E132" s="300"/>
      <c r="F132" s="300"/>
    </row>
    <row r="133" spans="5:6">
      <c r="E133" s="300"/>
      <c r="F133" s="300"/>
    </row>
    <row r="134" spans="5:6">
      <c r="E134" s="300"/>
      <c r="F134" s="300"/>
    </row>
    <row r="135" spans="5:6">
      <c r="E135" s="300"/>
      <c r="F135" s="300"/>
    </row>
    <row r="136" spans="5:6">
      <c r="E136" s="300"/>
      <c r="F136" s="300"/>
    </row>
    <row r="137" spans="5:6">
      <c r="E137" s="300"/>
      <c r="F137" s="300"/>
    </row>
    <row r="138" spans="5:6">
      <c r="E138" s="300"/>
      <c r="F138" s="300"/>
    </row>
    <row r="139" spans="5:6">
      <c r="E139" s="300"/>
      <c r="F139" s="300"/>
    </row>
    <row r="140" spans="5:6">
      <c r="E140" s="300"/>
      <c r="F140" s="300"/>
    </row>
    <row r="141" spans="5:6">
      <c r="E141" s="300"/>
      <c r="F141" s="300"/>
    </row>
    <row r="142" spans="5:6">
      <c r="E142" s="300"/>
      <c r="F142" s="300"/>
    </row>
    <row r="143" spans="5:6">
      <c r="E143" s="300"/>
      <c r="F143" s="300"/>
    </row>
    <row r="144" spans="5:6">
      <c r="E144" s="300"/>
      <c r="F144" s="300"/>
    </row>
    <row r="145" spans="5:6">
      <c r="E145" s="300"/>
      <c r="F145" s="300"/>
    </row>
    <row r="146" spans="5:6">
      <c r="E146" s="300"/>
      <c r="F146" s="300"/>
    </row>
    <row r="147" spans="5:6">
      <c r="E147" s="300"/>
      <c r="F147" s="300"/>
    </row>
    <row r="148" spans="5:6">
      <c r="E148" s="300"/>
      <c r="F148" s="300"/>
    </row>
    <row r="149" spans="5:6">
      <c r="E149" s="300"/>
      <c r="F149" s="300"/>
    </row>
    <row r="150" spans="5:6">
      <c r="E150" s="300"/>
      <c r="F150" s="300"/>
    </row>
    <row r="151" spans="5:6">
      <c r="E151" s="300"/>
      <c r="F151" s="300"/>
    </row>
    <row r="152" spans="5:6">
      <c r="E152" s="300"/>
      <c r="F152" s="300"/>
    </row>
    <row r="153" spans="5:6">
      <c r="E153" s="300"/>
      <c r="F153" s="300"/>
    </row>
    <row r="154" spans="5:6">
      <c r="E154" s="300"/>
      <c r="F154" s="300"/>
    </row>
    <row r="155" spans="5:6">
      <c r="E155" s="300"/>
      <c r="F155" s="300"/>
    </row>
    <row r="156" spans="5:6">
      <c r="E156" s="300"/>
      <c r="F156" s="300"/>
    </row>
  </sheetData>
  <pageMargins left="0.70866141732283472" right="0.5118110236220472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77A5"/>
  </sheetPr>
  <dimension ref="A1:I132"/>
  <sheetViews>
    <sheetView showGridLines="0" view="pageBreakPreview" zoomScale="145" zoomScaleNormal="100" zoomScaleSheetLayoutView="145" zoomScalePageLayoutView="145" workbookViewId="0">
      <selection activeCell="C12" sqref="C12"/>
    </sheetView>
  </sheetViews>
  <sheetFormatPr defaultColWidth="9.33203125" defaultRowHeight="9"/>
  <cols>
    <col min="1" max="1" width="16.1640625" style="293" customWidth="1"/>
    <col min="2" max="2" width="19.6640625" style="293" customWidth="1"/>
    <col min="3" max="3" width="12.5" style="293" bestFit="1" customWidth="1"/>
    <col min="4" max="4" width="47.1640625" style="293" customWidth="1"/>
    <col min="5" max="5" width="11.5" style="293" customWidth="1"/>
    <col min="6" max="6" width="10.5" style="293" customWidth="1"/>
    <col min="7" max="8" width="9.33203125" style="293" customWidth="1"/>
    <col min="9" max="16384" width="9.33203125" style="293"/>
  </cols>
  <sheetData>
    <row r="1" spans="1:9" ht="30" customHeight="1">
      <c r="A1" s="564" t="s">
        <v>264</v>
      </c>
      <c r="B1" s="565" t="s">
        <v>429</v>
      </c>
      <c r="C1" s="564" t="s">
        <v>418</v>
      </c>
      <c r="D1" s="566" t="s">
        <v>430</v>
      </c>
      <c r="E1" s="567" t="s">
        <v>431</v>
      </c>
      <c r="F1" s="567" t="s">
        <v>432</v>
      </c>
      <c r="G1" s="284"/>
      <c r="H1" s="294"/>
      <c r="I1" s="282"/>
    </row>
    <row r="2" spans="1:9" ht="63.75" customHeight="1">
      <c r="A2" s="301" t="s">
        <v>592</v>
      </c>
      <c r="B2" s="301" t="s">
        <v>629</v>
      </c>
      <c r="C2" s="302">
        <v>43632.256944444445</v>
      </c>
      <c r="D2" s="398" t="s">
        <v>630</v>
      </c>
      <c r="E2" s="303">
        <v>1.26</v>
      </c>
      <c r="F2" s="303"/>
      <c r="G2" s="283"/>
      <c r="H2" s="283"/>
      <c r="I2" s="297"/>
    </row>
    <row r="3" spans="1:9" ht="57.75" customHeight="1">
      <c r="A3" s="301" t="s">
        <v>592</v>
      </c>
      <c r="B3" s="301" t="s">
        <v>629</v>
      </c>
      <c r="C3" s="302">
        <v>43632.369444444441</v>
      </c>
      <c r="D3" s="398" t="s">
        <v>631</v>
      </c>
      <c r="E3" s="303">
        <v>5.2</v>
      </c>
      <c r="F3" s="303"/>
      <c r="G3" s="283"/>
      <c r="H3" s="283"/>
      <c r="I3" s="297"/>
    </row>
    <row r="4" spans="1:9" ht="59.25" customHeight="1">
      <c r="A4" s="301" t="s">
        <v>632</v>
      </c>
      <c r="B4" s="301" t="s">
        <v>633</v>
      </c>
      <c r="C4" s="302">
        <v>43633.771527777775</v>
      </c>
      <c r="D4" s="398" t="s">
        <v>634</v>
      </c>
      <c r="E4" s="303">
        <v>6.4</v>
      </c>
      <c r="F4" s="303"/>
      <c r="G4" s="283"/>
      <c r="H4" s="283"/>
      <c r="I4" s="297"/>
    </row>
    <row r="5" spans="1:9" ht="70.5" customHeight="1">
      <c r="A5" s="301" t="s">
        <v>434</v>
      </c>
      <c r="B5" s="301" t="s">
        <v>577</v>
      </c>
      <c r="C5" s="302">
        <v>43633.84097222222</v>
      </c>
      <c r="D5" s="398" t="s">
        <v>635</v>
      </c>
      <c r="E5" s="303">
        <v>5.19</v>
      </c>
      <c r="F5" s="303"/>
      <c r="G5" s="283"/>
      <c r="H5" s="283"/>
      <c r="I5" s="298"/>
    </row>
    <row r="6" spans="1:9" ht="62.25" customHeight="1">
      <c r="A6" s="301" t="s">
        <v>434</v>
      </c>
      <c r="B6" s="301" t="s">
        <v>636</v>
      </c>
      <c r="C6" s="302">
        <v>43634.250694444447</v>
      </c>
      <c r="D6" s="398" t="s">
        <v>637</v>
      </c>
      <c r="E6" s="303">
        <v>21.85</v>
      </c>
      <c r="F6" s="303"/>
      <c r="G6" s="283"/>
      <c r="H6" s="283"/>
      <c r="I6" s="297"/>
    </row>
    <row r="7" spans="1:9" ht="51" customHeight="1">
      <c r="A7" s="301" t="s">
        <v>528</v>
      </c>
      <c r="B7" s="301" t="s">
        <v>594</v>
      </c>
      <c r="C7" s="302">
        <v>43634.324305555558</v>
      </c>
      <c r="D7" s="398" t="s">
        <v>638</v>
      </c>
      <c r="E7" s="303">
        <v>4.58</v>
      </c>
      <c r="F7" s="303"/>
      <c r="G7" s="283"/>
      <c r="H7" s="283"/>
      <c r="I7" s="297"/>
    </row>
    <row r="8" spans="1:9" ht="51" customHeight="1">
      <c r="A8" s="301" t="s">
        <v>528</v>
      </c>
      <c r="B8" s="301" t="s">
        <v>594</v>
      </c>
      <c r="C8" s="302">
        <v>43634.669444444444</v>
      </c>
      <c r="D8" s="398" t="s">
        <v>639</v>
      </c>
      <c r="E8" s="303">
        <v>3.58</v>
      </c>
      <c r="F8" s="303"/>
      <c r="G8" s="283"/>
      <c r="H8" s="283"/>
      <c r="I8" s="297"/>
    </row>
    <row r="9" spans="1:9" ht="81" customHeight="1">
      <c r="A9" s="301" t="s">
        <v>498</v>
      </c>
      <c r="B9" s="301" t="s">
        <v>640</v>
      </c>
      <c r="C9" s="302">
        <v>43635.297222222223</v>
      </c>
      <c r="D9" s="398" t="s">
        <v>641</v>
      </c>
      <c r="E9" s="303"/>
      <c r="F9" s="303">
        <v>7.12</v>
      </c>
    </row>
    <row r="10" spans="1:9" ht="60.75" customHeight="1">
      <c r="A10" s="301" t="s">
        <v>549</v>
      </c>
      <c r="B10" s="301" t="s">
        <v>642</v>
      </c>
      <c r="C10" s="302">
        <v>43638.355555555558</v>
      </c>
      <c r="D10" s="398" t="s">
        <v>643</v>
      </c>
      <c r="E10" s="303">
        <v>6.69</v>
      </c>
      <c r="F10" s="303"/>
    </row>
    <row r="11" spans="1:9" ht="63.75" customHeight="1">
      <c r="A11" s="301" t="s">
        <v>433</v>
      </c>
      <c r="B11" s="301" t="s">
        <v>548</v>
      </c>
      <c r="C11" s="302">
        <v>43638.651388888888</v>
      </c>
      <c r="D11" s="398" t="s">
        <v>644</v>
      </c>
      <c r="E11" s="303">
        <v>3</v>
      </c>
      <c r="F11" s="303"/>
    </row>
    <row r="12" spans="1:9">
      <c r="E12" s="300"/>
      <c r="F12" s="300"/>
    </row>
    <row r="13" spans="1:9">
      <c r="E13" s="300"/>
      <c r="F13" s="300"/>
    </row>
    <row r="14" spans="1:9">
      <c r="E14" s="300"/>
      <c r="F14" s="300"/>
    </row>
    <row r="15" spans="1:9">
      <c r="E15" s="300"/>
      <c r="F15" s="300"/>
    </row>
    <row r="16" spans="1:9">
      <c r="E16" s="300"/>
      <c r="F16" s="300"/>
    </row>
    <row r="17" spans="5:6">
      <c r="E17" s="300"/>
      <c r="F17" s="300"/>
    </row>
    <row r="18" spans="5:6">
      <c r="E18" s="300"/>
      <c r="F18" s="300"/>
    </row>
    <row r="19" spans="5:6">
      <c r="E19" s="300"/>
      <c r="F19" s="300"/>
    </row>
    <row r="20" spans="5:6">
      <c r="E20" s="300"/>
      <c r="F20" s="300"/>
    </row>
    <row r="21" spans="5:6">
      <c r="E21" s="300"/>
      <c r="F21" s="300"/>
    </row>
    <row r="22" spans="5:6">
      <c r="E22" s="300"/>
      <c r="F22" s="300"/>
    </row>
    <row r="23" spans="5:6">
      <c r="E23" s="300"/>
      <c r="F23" s="300"/>
    </row>
    <row r="24" spans="5:6">
      <c r="E24" s="300"/>
      <c r="F24" s="300"/>
    </row>
    <row r="25" spans="5:6">
      <c r="E25" s="300"/>
      <c r="F25" s="300"/>
    </row>
    <row r="26" spans="5:6">
      <c r="E26" s="300"/>
      <c r="F26" s="300"/>
    </row>
    <row r="27" spans="5:6">
      <c r="E27" s="300"/>
      <c r="F27" s="300"/>
    </row>
    <row r="28" spans="5:6">
      <c r="E28" s="300"/>
      <c r="F28" s="300"/>
    </row>
    <row r="29" spans="5:6">
      <c r="E29" s="300"/>
      <c r="F29" s="300"/>
    </row>
    <row r="30" spans="5:6">
      <c r="E30" s="300"/>
      <c r="F30" s="300"/>
    </row>
    <row r="31" spans="5:6">
      <c r="E31" s="300"/>
      <c r="F31" s="300"/>
    </row>
    <row r="32" spans="5:6">
      <c r="E32" s="300"/>
      <c r="F32" s="300"/>
    </row>
    <row r="33" spans="5:6">
      <c r="E33" s="300"/>
      <c r="F33" s="300"/>
    </row>
    <row r="34" spans="5:6">
      <c r="E34" s="300"/>
      <c r="F34" s="300"/>
    </row>
    <row r="35" spans="5:6">
      <c r="E35" s="300"/>
      <c r="F35" s="300"/>
    </row>
    <row r="36" spans="5:6">
      <c r="E36" s="300"/>
      <c r="F36" s="300"/>
    </row>
    <row r="37" spans="5:6">
      <c r="E37" s="300"/>
      <c r="F37" s="300"/>
    </row>
    <row r="38" spans="5:6">
      <c r="E38" s="300"/>
      <c r="F38" s="300"/>
    </row>
    <row r="39" spans="5:6">
      <c r="E39" s="300"/>
      <c r="F39" s="300"/>
    </row>
    <row r="40" spans="5:6">
      <c r="E40" s="300"/>
      <c r="F40" s="300"/>
    </row>
    <row r="41" spans="5:6">
      <c r="E41" s="300"/>
      <c r="F41" s="300"/>
    </row>
    <row r="42" spans="5:6">
      <c r="E42" s="300"/>
      <c r="F42" s="300"/>
    </row>
    <row r="43" spans="5:6">
      <c r="E43" s="300"/>
      <c r="F43" s="300"/>
    </row>
    <row r="44" spans="5:6">
      <c r="E44" s="300"/>
      <c r="F44" s="300"/>
    </row>
    <row r="45" spans="5:6">
      <c r="E45" s="300"/>
      <c r="F45" s="300"/>
    </row>
    <row r="46" spans="5:6">
      <c r="E46" s="300"/>
      <c r="F46" s="300"/>
    </row>
    <row r="47" spans="5:6">
      <c r="E47" s="300"/>
      <c r="F47" s="300"/>
    </row>
    <row r="48" spans="5:6">
      <c r="E48" s="300"/>
      <c r="F48" s="300"/>
    </row>
    <row r="49" spans="5:6">
      <c r="E49" s="300"/>
      <c r="F49" s="300"/>
    </row>
    <row r="50" spans="5:6">
      <c r="E50" s="300"/>
      <c r="F50" s="300"/>
    </row>
    <row r="51" spans="5:6">
      <c r="E51" s="300"/>
      <c r="F51" s="300"/>
    </row>
    <row r="52" spans="5:6">
      <c r="E52" s="300"/>
      <c r="F52" s="300"/>
    </row>
    <row r="53" spans="5:6">
      <c r="E53" s="300"/>
      <c r="F53" s="300"/>
    </row>
    <row r="54" spans="5:6">
      <c r="E54" s="300"/>
      <c r="F54" s="300"/>
    </row>
    <row r="55" spans="5:6">
      <c r="E55" s="300"/>
      <c r="F55" s="300"/>
    </row>
    <row r="56" spans="5:6">
      <c r="E56" s="300"/>
      <c r="F56" s="300"/>
    </row>
    <row r="57" spans="5:6">
      <c r="E57" s="300"/>
      <c r="F57" s="300"/>
    </row>
    <row r="58" spans="5:6">
      <c r="E58" s="300"/>
      <c r="F58" s="300"/>
    </row>
    <row r="59" spans="5:6">
      <c r="E59" s="300"/>
      <c r="F59" s="300"/>
    </row>
    <row r="60" spans="5:6">
      <c r="E60" s="300"/>
      <c r="F60" s="300"/>
    </row>
    <row r="61" spans="5:6">
      <c r="E61" s="300"/>
      <c r="F61" s="300"/>
    </row>
    <row r="62" spans="5:6">
      <c r="E62" s="300"/>
      <c r="F62" s="300"/>
    </row>
    <row r="63" spans="5:6">
      <c r="E63" s="300"/>
      <c r="F63" s="300"/>
    </row>
    <row r="64" spans="5:6">
      <c r="E64" s="300"/>
      <c r="F64" s="300"/>
    </row>
    <row r="65" spans="5:6">
      <c r="E65" s="300"/>
      <c r="F65" s="300"/>
    </row>
    <row r="66" spans="5:6">
      <c r="E66" s="300"/>
      <c r="F66" s="300"/>
    </row>
    <row r="67" spans="5:6">
      <c r="E67" s="300"/>
      <c r="F67" s="300"/>
    </row>
    <row r="68" spans="5:6">
      <c r="E68" s="300"/>
      <c r="F68" s="300"/>
    </row>
    <row r="69" spans="5:6">
      <c r="E69" s="300"/>
      <c r="F69" s="300"/>
    </row>
    <row r="70" spans="5:6">
      <c r="E70" s="300"/>
      <c r="F70" s="300"/>
    </row>
    <row r="71" spans="5:6">
      <c r="E71" s="300"/>
      <c r="F71" s="300"/>
    </row>
    <row r="72" spans="5:6">
      <c r="E72" s="300"/>
      <c r="F72" s="300"/>
    </row>
    <row r="73" spans="5:6">
      <c r="E73" s="300"/>
      <c r="F73" s="300"/>
    </row>
    <row r="74" spans="5:6">
      <c r="E74" s="300"/>
      <c r="F74" s="300"/>
    </row>
    <row r="75" spans="5:6">
      <c r="E75" s="300"/>
      <c r="F75" s="300"/>
    </row>
    <row r="76" spans="5:6">
      <c r="E76" s="300"/>
      <c r="F76" s="300"/>
    </row>
    <row r="77" spans="5:6">
      <c r="E77" s="300"/>
      <c r="F77" s="300"/>
    </row>
    <row r="78" spans="5:6">
      <c r="E78" s="300"/>
      <c r="F78" s="300"/>
    </row>
    <row r="79" spans="5:6">
      <c r="E79" s="300"/>
      <c r="F79" s="300"/>
    </row>
    <row r="80" spans="5:6">
      <c r="E80" s="300"/>
      <c r="F80" s="300"/>
    </row>
    <row r="81" spans="5:6">
      <c r="E81" s="300"/>
      <c r="F81" s="300"/>
    </row>
    <row r="82" spans="5:6">
      <c r="E82" s="300"/>
      <c r="F82" s="300"/>
    </row>
    <row r="83" spans="5:6">
      <c r="E83" s="300"/>
      <c r="F83" s="300"/>
    </row>
    <row r="84" spans="5:6">
      <c r="E84" s="300"/>
      <c r="F84" s="300"/>
    </row>
    <row r="85" spans="5:6">
      <c r="E85" s="300"/>
      <c r="F85" s="300"/>
    </row>
    <row r="86" spans="5:6">
      <c r="E86" s="300"/>
      <c r="F86" s="300"/>
    </row>
    <row r="87" spans="5:6">
      <c r="E87" s="300"/>
      <c r="F87" s="300"/>
    </row>
    <row r="88" spans="5:6">
      <c r="E88" s="300"/>
      <c r="F88" s="300"/>
    </row>
    <row r="89" spans="5:6">
      <c r="E89" s="300"/>
      <c r="F89" s="300"/>
    </row>
    <row r="90" spans="5:6">
      <c r="E90" s="300"/>
      <c r="F90" s="300"/>
    </row>
    <row r="91" spans="5:6">
      <c r="E91" s="300"/>
      <c r="F91" s="300"/>
    </row>
    <row r="92" spans="5:6">
      <c r="E92" s="300"/>
      <c r="F92" s="300"/>
    </row>
    <row r="93" spans="5:6">
      <c r="E93" s="300"/>
      <c r="F93" s="300"/>
    </row>
    <row r="94" spans="5:6">
      <c r="E94" s="300"/>
      <c r="F94" s="300"/>
    </row>
    <row r="95" spans="5:6">
      <c r="E95" s="300"/>
      <c r="F95" s="300"/>
    </row>
    <row r="96" spans="5:6">
      <c r="E96" s="300"/>
      <c r="F96" s="300"/>
    </row>
    <row r="97" spans="5:6">
      <c r="E97" s="300"/>
      <c r="F97" s="300"/>
    </row>
    <row r="98" spans="5:6">
      <c r="E98" s="300"/>
      <c r="F98" s="300"/>
    </row>
    <row r="99" spans="5:6">
      <c r="E99" s="300"/>
      <c r="F99" s="300"/>
    </row>
    <row r="100" spans="5:6">
      <c r="E100" s="300"/>
      <c r="F100" s="300"/>
    </row>
    <row r="101" spans="5:6">
      <c r="E101" s="300"/>
      <c r="F101" s="300"/>
    </row>
    <row r="102" spans="5:6">
      <c r="E102" s="300"/>
      <c r="F102" s="300"/>
    </row>
    <row r="103" spans="5:6">
      <c r="E103" s="300"/>
      <c r="F103" s="300"/>
    </row>
    <row r="104" spans="5:6">
      <c r="E104" s="300"/>
      <c r="F104" s="300"/>
    </row>
    <row r="105" spans="5:6">
      <c r="E105" s="300"/>
      <c r="F105" s="300"/>
    </row>
    <row r="106" spans="5:6">
      <c r="E106" s="300"/>
      <c r="F106" s="300"/>
    </row>
    <row r="107" spans="5:6">
      <c r="E107" s="300"/>
      <c r="F107" s="300"/>
    </row>
    <row r="108" spans="5:6">
      <c r="E108" s="300"/>
      <c r="F108" s="300"/>
    </row>
    <row r="109" spans="5:6">
      <c r="E109" s="300"/>
      <c r="F109" s="300"/>
    </row>
    <row r="110" spans="5:6">
      <c r="E110" s="300"/>
      <c r="F110" s="300"/>
    </row>
    <row r="111" spans="5:6">
      <c r="E111" s="300"/>
      <c r="F111" s="300"/>
    </row>
    <row r="112" spans="5:6">
      <c r="E112" s="300"/>
      <c r="F112" s="300"/>
    </row>
    <row r="113" spans="5:6">
      <c r="E113" s="300"/>
      <c r="F113" s="300"/>
    </row>
    <row r="114" spans="5:6">
      <c r="E114" s="300"/>
      <c r="F114" s="300"/>
    </row>
    <row r="115" spans="5:6">
      <c r="E115" s="300"/>
      <c r="F115" s="300"/>
    </row>
    <row r="116" spans="5:6">
      <c r="E116" s="300"/>
      <c r="F116" s="300"/>
    </row>
    <row r="117" spans="5:6">
      <c r="E117" s="300"/>
      <c r="F117" s="300"/>
    </row>
    <row r="118" spans="5:6">
      <c r="E118" s="300"/>
      <c r="F118" s="300"/>
    </row>
    <row r="119" spans="5:6">
      <c r="E119" s="300"/>
      <c r="F119" s="300"/>
    </row>
    <row r="120" spans="5:6">
      <c r="E120" s="300"/>
      <c r="F120" s="300"/>
    </row>
    <row r="121" spans="5:6">
      <c r="E121" s="300"/>
      <c r="F121" s="300"/>
    </row>
    <row r="122" spans="5:6">
      <c r="E122" s="300"/>
      <c r="F122" s="300"/>
    </row>
    <row r="123" spans="5:6">
      <c r="E123" s="300"/>
      <c r="F123" s="300"/>
    </row>
    <row r="124" spans="5:6">
      <c r="E124" s="300"/>
      <c r="F124" s="300"/>
    </row>
    <row r="125" spans="5:6">
      <c r="E125" s="300"/>
      <c r="F125" s="300"/>
    </row>
    <row r="126" spans="5:6">
      <c r="E126" s="300"/>
      <c r="F126" s="300"/>
    </row>
    <row r="127" spans="5:6">
      <c r="E127" s="300"/>
      <c r="F127" s="300"/>
    </row>
    <row r="128" spans="5:6">
      <c r="E128" s="300"/>
      <c r="F128" s="300"/>
    </row>
    <row r="129" spans="5:6">
      <c r="E129" s="300"/>
      <c r="F129" s="300"/>
    </row>
    <row r="130" spans="5:6">
      <c r="E130" s="300"/>
      <c r="F130" s="300"/>
    </row>
    <row r="131" spans="5:6">
      <c r="E131" s="300"/>
      <c r="F131" s="300"/>
    </row>
    <row r="132" spans="5:6">
      <c r="E132" s="300"/>
      <c r="F132" s="300"/>
    </row>
  </sheetData>
  <pageMargins left="0.70866141732283472" right="0.5118110236220472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77A5"/>
  </sheetPr>
  <dimension ref="A1:I111"/>
  <sheetViews>
    <sheetView showGridLines="0" view="pageBreakPreview" zoomScale="145" zoomScaleNormal="100" zoomScaleSheetLayoutView="145" zoomScalePageLayoutView="145" workbookViewId="0">
      <selection activeCell="C12" sqref="C12"/>
    </sheetView>
  </sheetViews>
  <sheetFormatPr defaultColWidth="9.33203125" defaultRowHeight="9"/>
  <cols>
    <col min="1" max="1" width="16.1640625" style="293" customWidth="1"/>
    <col min="2" max="2" width="19.6640625" style="293" customWidth="1"/>
    <col min="3" max="3" width="12.1640625" style="293" bestFit="1" customWidth="1"/>
    <col min="4" max="4" width="47.1640625" style="293" customWidth="1"/>
    <col min="5" max="5" width="11.5" style="293" customWidth="1"/>
    <col min="6" max="6" width="10.5" style="293" customWidth="1"/>
    <col min="7" max="8" width="9.33203125" style="293" customWidth="1"/>
    <col min="9" max="16384" width="9.33203125" style="293"/>
  </cols>
  <sheetData>
    <row r="1" spans="1:9" ht="30" customHeight="1">
      <c r="A1" s="564" t="s">
        <v>264</v>
      </c>
      <c r="B1" s="565" t="s">
        <v>429</v>
      </c>
      <c r="C1" s="564" t="s">
        <v>418</v>
      </c>
      <c r="D1" s="566" t="s">
        <v>430</v>
      </c>
      <c r="E1" s="567" t="s">
        <v>431</v>
      </c>
      <c r="F1" s="567" t="s">
        <v>432</v>
      </c>
      <c r="G1" s="284"/>
      <c r="H1" s="294"/>
      <c r="I1" s="282"/>
    </row>
    <row r="2" spans="1:9" ht="184.5" customHeight="1">
      <c r="A2" s="301" t="s">
        <v>489</v>
      </c>
      <c r="B2" s="301" t="s">
        <v>645</v>
      </c>
      <c r="C2" s="302">
        <v>43638.774305555555</v>
      </c>
      <c r="D2" s="398" t="s">
        <v>646</v>
      </c>
      <c r="E2" s="303">
        <v>17.53</v>
      </c>
      <c r="F2" s="303"/>
      <c r="G2" s="283"/>
      <c r="H2" s="283"/>
      <c r="I2" s="297"/>
    </row>
    <row r="3" spans="1:9" ht="67.5" customHeight="1">
      <c r="A3" s="301" t="s">
        <v>592</v>
      </c>
      <c r="B3" s="301" t="s">
        <v>593</v>
      </c>
      <c r="C3" s="302">
        <v>43638.791666666664</v>
      </c>
      <c r="D3" s="398" t="s">
        <v>647</v>
      </c>
      <c r="E3" s="303">
        <v>18.25</v>
      </c>
      <c r="F3" s="303"/>
      <c r="G3" s="283"/>
      <c r="H3" s="283"/>
      <c r="I3" s="297"/>
    </row>
    <row r="4" spans="1:9" ht="62.25" customHeight="1">
      <c r="A4" s="301" t="s">
        <v>648</v>
      </c>
      <c r="B4" s="301" t="s">
        <v>649</v>
      </c>
      <c r="C4" s="302">
        <v>43642.250694444447</v>
      </c>
      <c r="D4" s="398" t="s">
        <v>650</v>
      </c>
      <c r="E4" s="303">
        <v>3.16</v>
      </c>
      <c r="F4" s="303"/>
      <c r="G4" s="283"/>
      <c r="H4" s="283"/>
      <c r="I4" s="297"/>
    </row>
    <row r="5" spans="1:9" ht="129" customHeight="1">
      <c r="A5" s="301" t="s">
        <v>651</v>
      </c>
      <c r="B5" s="301" t="s">
        <v>652</v>
      </c>
      <c r="C5" s="302">
        <v>43642.477083333331</v>
      </c>
      <c r="D5" s="398" t="s">
        <v>653</v>
      </c>
      <c r="E5" s="303">
        <v>21.97</v>
      </c>
      <c r="F5" s="303">
        <v>12.5</v>
      </c>
      <c r="G5" s="283"/>
      <c r="H5" s="283"/>
      <c r="I5" s="297"/>
    </row>
    <row r="6" spans="1:9" ht="135" customHeight="1">
      <c r="A6" s="301" t="s">
        <v>651</v>
      </c>
      <c r="B6" s="301" t="s">
        <v>652</v>
      </c>
      <c r="C6" s="302">
        <v>43642.522916666669</v>
      </c>
      <c r="D6" s="398" t="s">
        <v>654</v>
      </c>
      <c r="E6" s="303">
        <v>18.920000000000002</v>
      </c>
      <c r="F6" s="303">
        <v>14</v>
      </c>
      <c r="G6" s="283"/>
      <c r="H6" s="283"/>
      <c r="I6" s="299"/>
    </row>
    <row r="7" spans="1:9" ht="45" customHeight="1">
      <c r="A7" s="740"/>
      <c r="B7" s="740"/>
      <c r="C7" s="826"/>
      <c r="D7" s="827"/>
      <c r="E7" s="828"/>
      <c r="F7" s="828"/>
    </row>
    <row r="8" spans="1:9" ht="20.25" customHeight="1">
      <c r="A8" s="740"/>
      <c r="B8" s="740"/>
      <c r="C8" s="826"/>
      <c r="D8" s="827"/>
      <c r="E8" s="828"/>
      <c r="F8" s="828"/>
    </row>
    <row r="9" spans="1:9">
      <c r="E9" s="300"/>
      <c r="F9" s="300"/>
    </row>
    <row r="10" spans="1:9">
      <c r="E10" s="300"/>
      <c r="F10" s="300"/>
    </row>
    <row r="11" spans="1:9">
      <c r="E11" s="300"/>
      <c r="F11" s="300"/>
    </row>
    <row r="12" spans="1:9">
      <c r="E12" s="300"/>
      <c r="F12" s="300"/>
    </row>
    <row r="13" spans="1:9">
      <c r="E13" s="300"/>
      <c r="F13" s="300"/>
    </row>
    <row r="14" spans="1:9">
      <c r="E14" s="300"/>
      <c r="F14" s="300"/>
    </row>
    <row r="15" spans="1:9">
      <c r="E15" s="300"/>
      <c r="F15" s="300"/>
    </row>
    <row r="16" spans="1:9">
      <c r="E16" s="300"/>
      <c r="F16" s="300"/>
    </row>
    <row r="17" spans="5:6">
      <c r="E17" s="300"/>
      <c r="F17" s="300"/>
    </row>
    <row r="18" spans="5:6">
      <c r="E18" s="300"/>
      <c r="F18" s="300"/>
    </row>
    <row r="19" spans="5:6">
      <c r="E19" s="300"/>
      <c r="F19" s="300"/>
    </row>
    <row r="20" spans="5:6">
      <c r="E20" s="300"/>
      <c r="F20" s="300"/>
    </row>
    <row r="21" spans="5:6">
      <c r="E21" s="300"/>
      <c r="F21" s="300"/>
    </row>
    <row r="22" spans="5:6">
      <c r="E22" s="300"/>
      <c r="F22" s="300"/>
    </row>
    <row r="23" spans="5:6">
      <c r="E23" s="300"/>
      <c r="F23" s="300"/>
    </row>
    <row r="24" spans="5:6">
      <c r="E24" s="300"/>
      <c r="F24" s="300"/>
    </row>
    <row r="25" spans="5:6">
      <c r="E25" s="300"/>
      <c r="F25" s="300"/>
    </row>
    <row r="26" spans="5:6">
      <c r="E26" s="300"/>
      <c r="F26" s="300"/>
    </row>
    <row r="27" spans="5:6">
      <c r="E27" s="300"/>
      <c r="F27" s="300"/>
    </row>
    <row r="28" spans="5:6">
      <c r="E28" s="300"/>
      <c r="F28" s="300"/>
    </row>
    <row r="29" spans="5:6">
      <c r="E29" s="300"/>
      <c r="F29" s="300"/>
    </row>
    <row r="30" spans="5:6">
      <c r="E30" s="300"/>
      <c r="F30" s="300"/>
    </row>
    <row r="31" spans="5:6">
      <c r="E31" s="300"/>
      <c r="F31" s="300"/>
    </row>
    <row r="32" spans="5:6">
      <c r="E32" s="300"/>
      <c r="F32" s="300"/>
    </row>
    <row r="33" spans="5:6">
      <c r="E33" s="300"/>
      <c r="F33" s="300"/>
    </row>
    <row r="34" spans="5:6">
      <c r="E34" s="300"/>
      <c r="F34" s="300"/>
    </row>
    <row r="35" spans="5:6">
      <c r="E35" s="300"/>
      <c r="F35" s="300"/>
    </row>
    <row r="36" spans="5:6">
      <c r="E36" s="300"/>
      <c r="F36" s="300"/>
    </row>
    <row r="37" spans="5:6">
      <c r="E37" s="300"/>
      <c r="F37" s="300"/>
    </row>
    <row r="38" spans="5:6">
      <c r="E38" s="300"/>
      <c r="F38" s="300"/>
    </row>
    <row r="39" spans="5:6">
      <c r="E39" s="300"/>
      <c r="F39" s="300"/>
    </row>
    <row r="40" spans="5:6">
      <c r="E40" s="300"/>
      <c r="F40" s="300"/>
    </row>
    <row r="41" spans="5:6">
      <c r="E41" s="300"/>
      <c r="F41" s="300"/>
    </row>
    <row r="42" spans="5:6">
      <c r="E42" s="300"/>
      <c r="F42" s="300"/>
    </row>
    <row r="43" spans="5:6">
      <c r="E43" s="300"/>
      <c r="F43" s="300"/>
    </row>
    <row r="44" spans="5:6">
      <c r="E44" s="300"/>
      <c r="F44" s="300"/>
    </row>
    <row r="45" spans="5:6">
      <c r="E45" s="300"/>
      <c r="F45" s="300"/>
    </row>
    <row r="46" spans="5:6">
      <c r="E46" s="300"/>
      <c r="F46" s="300"/>
    </row>
    <row r="47" spans="5:6">
      <c r="E47" s="300"/>
      <c r="F47" s="300"/>
    </row>
    <row r="48" spans="5:6">
      <c r="E48" s="300"/>
      <c r="F48" s="300"/>
    </row>
    <row r="49" spans="5:6">
      <c r="E49" s="300"/>
      <c r="F49" s="300"/>
    </row>
    <row r="50" spans="5:6">
      <c r="E50" s="300"/>
      <c r="F50" s="300"/>
    </row>
    <row r="51" spans="5:6">
      <c r="E51" s="300"/>
      <c r="F51" s="300"/>
    </row>
    <row r="52" spans="5:6">
      <c r="E52" s="300"/>
      <c r="F52" s="300"/>
    </row>
    <row r="53" spans="5:6">
      <c r="E53" s="300"/>
      <c r="F53" s="300"/>
    </row>
    <row r="54" spans="5:6">
      <c r="E54" s="300"/>
      <c r="F54" s="300"/>
    </row>
    <row r="55" spans="5:6">
      <c r="E55" s="300"/>
      <c r="F55" s="300"/>
    </row>
    <row r="56" spans="5:6">
      <c r="E56" s="300"/>
      <c r="F56" s="300"/>
    </row>
    <row r="57" spans="5:6">
      <c r="E57" s="300"/>
      <c r="F57" s="300"/>
    </row>
    <row r="58" spans="5:6">
      <c r="E58" s="300"/>
      <c r="F58" s="300"/>
    </row>
    <row r="59" spans="5:6">
      <c r="E59" s="300"/>
      <c r="F59" s="300"/>
    </row>
    <row r="60" spans="5:6">
      <c r="E60" s="300"/>
      <c r="F60" s="300"/>
    </row>
    <row r="61" spans="5:6">
      <c r="E61" s="300"/>
      <c r="F61" s="300"/>
    </row>
    <row r="62" spans="5:6">
      <c r="E62" s="300"/>
      <c r="F62" s="300"/>
    </row>
    <row r="63" spans="5:6">
      <c r="E63" s="300"/>
      <c r="F63" s="300"/>
    </row>
    <row r="64" spans="5:6">
      <c r="E64" s="300"/>
      <c r="F64" s="300"/>
    </row>
    <row r="65" spans="5:6">
      <c r="E65" s="300"/>
      <c r="F65" s="300"/>
    </row>
    <row r="66" spans="5:6">
      <c r="E66" s="300"/>
      <c r="F66" s="300"/>
    </row>
    <row r="67" spans="5:6">
      <c r="E67" s="300"/>
      <c r="F67" s="300"/>
    </row>
    <row r="68" spans="5:6">
      <c r="E68" s="300"/>
      <c r="F68" s="300"/>
    </row>
    <row r="69" spans="5:6">
      <c r="E69" s="300"/>
      <c r="F69" s="300"/>
    </row>
    <row r="70" spans="5:6">
      <c r="E70" s="300"/>
      <c r="F70" s="300"/>
    </row>
    <row r="71" spans="5:6">
      <c r="E71" s="300"/>
      <c r="F71" s="300"/>
    </row>
    <row r="72" spans="5:6">
      <c r="E72" s="300"/>
      <c r="F72" s="300"/>
    </row>
    <row r="73" spans="5:6">
      <c r="E73" s="300"/>
      <c r="F73" s="300"/>
    </row>
    <row r="74" spans="5:6">
      <c r="E74" s="300"/>
      <c r="F74" s="300"/>
    </row>
    <row r="75" spans="5:6">
      <c r="E75" s="300"/>
      <c r="F75" s="300"/>
    </row>
    <row r="76" spans="5:6">
      <c r="E76" s="300"/>
      <c r="F76" s="300"/>
    </row>
    <row r="77" spans="5:6">
      <c r="E77" s="300"/>
      <c r="F77" s="300"/>
    </row>
    <row r="78" spans="5:6">
      <c r="E78" s="300"/>
      <c r="F78" s="300"/>
    </row>
    <row r="79" spans="5:6">
      <c r="E79" s="300"/>
      <c r="F79" s="300"/>
    </row>
    <row r="80" spans="5:6">
      <c r="E80" s="300"/>
      <c r="F80" s="300"/>
    </row>
    <row r="81" spans="5:6">
      <c r="E81" s="300"/>
      <c r="F81" s="300"/>
    </row>
    <row r="82" spans="5:6">
      <c r="E82" s="300"/>
      <c r="F82" s="300"/>
    </row>
    <row r="83" spans="5:6">
      <c r="E83" s="300"/>
      <c r="F83" s="300"/>
    </row>
    <row r="84" spans="5:6">
      <c r="E84" s="300"/>
      <c r="F84" s="300"/>
    </row>
    <row r="85" spans="5:6">
      <c r="E85" s="300"/>
      <c r="F85" s="300"/>
    </row>
    <row r="86" spans="5:6">
      <c r="E86" s="300"/>
      <c r="F86" s="300"/>
    </row>
    <row r="87" spans="5:6">
      <c r="E87" s="300"/>
      <c r="F87" s="300"/>
    </row>
    <row r="88" spans="5:6">
      <c r="E88" s="300"/>
      <c r="F88" s="300"/>
    </row>
    <row r="89" spans="5:6">
      <c r="E89" s="300"/>
      <c r="F89" s="300"/>
    </row>
    <row r="90" spans="5:6">
      <c r="E90" s="300"/>
      <c r="F90" s="300"/>
    </row>
    <row r="91" spans="5:6">
      <c r="E91" s="300"/>
      <c r="F91" s="300"/>
    </row>
    <row r="92" spans="5:6">
      <c r="E92" s="300"/>
      <c r="F92" s="300"/>
    </row>
    <row r="93" spans="5:6">
      <c r="E93" s="300"/>
      <c r="F93" s="300"/>
    </row>
    <row r="94" spans="5:6">
      <c r="E94" s="300"/>
      <c r="F94" s="300"/>
    </row>
    <row r="95" spans="5:6">
      <c r="E95" s="300"/>
      <c r="F95" s="300"/>
    </row>
    <row r="96" spans="5:6">
      <c r="E96" s="300"/>
      <c r="F96" s="300"/>
    </row>
    <row r="97" spans="5:6">
      <c r="E97" s="300"/>
      <c r="F97" s="300"/>
    </row>
    <row r="98" spans="5:6">
      <c r="E98" s="300"/>
      <c r="F98" s="300"/>
    </row>
    <row r="99" spans="5:6">
      <c r="E99" s="300"/>
      <c r="F99" s="300"/>
    </row>
    <row r="100" spans="5:6">
      <c r="E100" s="300"/>
      <c r="F100" s="300"/>
    </row>
    <row r="101" spans="5:6">
      <c r="E101" s="300"/>
      <c r="F101" s="300"/>
    </row>
    <row r="102" spans="5:6">
      <c r="E102" s="300"/>
      <c r="F102" s="300"/>
    </row>
    <row r="103" spans="5:6">
      <c r="E103" s="300"/>
      <c r="F103" s="300"/>
    </row>
    <row r="104" spans="5:6">
      <c r="E104" s="300"/>
      <c r="F104" s="300"/>
    </row>
    <row r="105" spans="5:6">
      <c r="E105" s="300"/>
      <c r="F105" s="300"/>
    </row>
    <row r="106" spans="5:6">
      <c r="E106" s="300"/>
      <c r="F106" s="300"/>
    </row>
    <row r="107" spans="5:6">
      <c r="E107" s="300"/>
      <c r="F107" s="300"/>
    </row>
    <row r="108" spans="5:6">
      <c r="E108" s="300"/>
      <c r="F108" s="300"/>
    </row>
    <row r="109" spans="5:6">
      <c r="E109" s="300"/>
      <c r="F109" s="300"/>
    </row>
    <row r="110" spans="5:6">
      <c r="E110" s="300"/>
      <c r="F110" s="300"/>
    </row>
    <row r="111" spans="5:6">
      <c r="E111" s="300"/>
      <c r="F111" s="300"/>
    </row>
  </sheetData>
  <pageMargins left="0.70866141732283472" right="0.51181102362204722"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7A5"/>
    <pageSetUpPr fitToPage="1"/>
  </sheetPr>
  <dimension ref="A1:W67"/>
  <sheetViews>
    <sheetView showGridLines="0" view="pageBreakPreview" zoomScaleNormal="100" zoomScaleSheetLayoutView="100" zoomScalePageLayoutView="115" workbookViewId="0">
      <selection activeCell="C12" sqref="C12"/>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306"/>
    <col min="15" max="16" width="10.1640625" style="333" bestFit="1" customWidth="1"/>
    <col min="17" max="17" width="11.5" style="333" customWidth="1"/>
    <col min="18" max="23" width="9.33203125" style="333"/>
    <col min="24" max="16384" width="9.33203125" style="46"/>
  </cols>
  <sheetData>
    <row r="1" spans="1:17" ht="27.75" customHeight="1">
      <c r="A1" s="876" t="s">
        <v>22</v>
      </c>
      <c r="B1" s="876"/>
      <c r="C1" s="876"/>
      <c r="D1" s="876"/>
      <c r="E1" s="876"/>
      <c r="F1" s="876"/>
      <c r="G1" s="876"/>
      <c r="H1" s="876"/>
      <c r="I1" s="876"/>
      <c r="J1" s="876"/>
      <c r="K1" s="876"/>
      <c r="L1" s="876"/>
      <c r="M1" s="876"/>
      <c r="N1" s="305"/>
      <c r="O1" s="332"/>
      <c r="P1" s="332"/>
      <c r="Q1" s="332"/>
    </row>
    <row r="2" spans="1:17" ht="11.25" customHeight="1">
      <c r="A2" s="41"/>
      <c r="B2" s="40"/>
      <c r="C2" s="65"/>
      <c r="D2" s="65"/>
      <c r="E2" s="65"/>
      <c r="F2" s="65"/>
      <c r="G2" s="65"/>
      <c r="H2" s="65"/>
      <c r="I2" s="65"/>
      <c r="J2" s="65"/>
      <c r="K2" s="40"/>
      <c r="L2" s="40"/>
      <c r="M2" s="40"/>
      <c r="N2" s="305"/>
      <c r="O2" s="332"/>
      <c r="P2" s="332"/>
      <c r="Q2" s="332"/>
    </row>
    <row r="3" spans="1:17" ht="21.75" customHeight="1">
      <c r="A3" s="40"/>
      <c r="B3" s="42"/>
      <c r="C3" s="883" t="str">
        <f>+UPPER(Q4)&amp;" "&amp;Q5</f>
        <v>JUNIO 2019</v>
      </c>
      <c r="D3" s="876"/>
      <c r="E3" s="876"/>
      <c r="F3" s="876"/>
      <c r="G3" s="876"/>
      <c r="H3" s="876"/>
      <c r="I3" s="876"/>
      <c r="J3" s="876"/>
      <c r="K3" s="40"/>
      <c r="L3" s="40"/>
      <c r="M3" s="40"/>
      <c r="N3" s="305"/>
      <c r="O3" s="332"/>
      <c r="P3" s="332"/>
      <c r="Q3" s="332"/>
    </row>
    <row r="4" spans="1:17" ht="11.25" customHeight="1">
      <c r="A4" s="40"/>
      <c r="B4" s="42"/>
      <c r="C4" s="40"/>
      <c r="D4" s="40"/>
      <c r="E4" s="40"/>
      <c r="F4" s="40"/>
      <c r="G4" s="40"/>
      <c r="H4" s="40"/>
      <c r="I4" s="40"/>
      <c r="J4" s="40"/>
      <c r="K4" s="40"/>
      <c r="L4" s="40"/>
      <c r="M4" s="40"/>
      <c r="N4" s="307"/>
      <c r="O4" s="334"/>
      <c r="P4" s="332" t="s">
        <v>215</v>
      </c>
      <c r="Q4" s="335" t="s">
        <v>699</v>
      </c>
    </row>
    <row r="5" spans="1:17" ht="11.25" customHeight="1">
      <c r="A5" s="47"/>
      <c r="B5" s="48"/>
      <c r="C5" s="49"/>
      <c r="D5" s="49"/>
      <c r="E5" s="49"/>
      <c r="F5" s="49"/>
      <c r="G5" s="49"/>
      <c r="H5" s="49"/>
      <c r="I5" s="49"/>
      <c r="J5" s="49"/>
      <c r="K5" s="49"/>
      <c r="L5" s="49"/>
      <c r="M5" s="40"/>
      <c r="N5" s="307"/>
      <c r="O5" s="334"/>
      <c r="P5" s="332" t="s">
        <v>216</v>
      </c>
      <c r="Q5" s="334">
        <v>2019</v>
      </c>
    </row>
    <row r="6" spans="1:17" ht="17.25" customHeight="1">
      <c r="A6" s="60" t="s">
        <v>468</v>
      </c>
      <c r="B6" s="40"/>
      <c r="C6" s="40"/>
      <c r="D6" s="40"/>
      <c r="E6" s="40"/>
      <c r="F6" s="40"/>
      <c r="G6" s="40"/>
      <c r="H6" s="40"/>
      <c r="I6" s="40"/>
      <c r="J6" s="40"/>
      <c r="K6" s="40"/>
      <c r="L6" s="40"/>
      <c r="M6" s="40"/>
      <c r="N6" s="305"/>
      <c r="O6" s="332"/>
      <c r="P6" s="332"/>
      <c r="Q6" s="343">
        <v>43617</v>
      </c>
    </row>
    <row r="7" spans="1:17" ht="11.25" customHeight="1">
      <c r="A7" s="40"/>
      <c r="B7" s="40"/>
      <c r="C7" s="40"/>
      <c r="D7" s="40"/>
      <c r="E7" s="40"/>
      <c r="F7" s="40"/>
      <c r="G7" s="40"/>
      <c r="H7" s="40"/>
      <c r="I7" s="40"/>
      <c r="J7" s="40"/>
      <c r="K7" s="40"/>
      <c r="L7" s="40"/>
      <c r="M7" s="40"/>
      <c r="N7" s="305"/>
      <c r="O7" s="332"/>
      <c r="P7" s="332"/>
      <c r="Q7" s="332">
        <v>30</v>
      </c>
    </row>
    <row r="8" spans="1:17" ht="11.25" customHeight="1">
      <c r="A8" s="43"/>
      <c r="B8" s="43"/>
      <c r="C8" s="43"/>
      <c r="D8" s="43"/>
      <c r="E8" s="43"/>
      <c r="F8" s="43"/>
      <c r="G8" s="43"/>
      <c r="H8" s="43"/>
      <c r="I8" s="43"/>
      <c r="J8" s="43"/>
      <c r="K8" s="43"/>
      <c r="L8" s="43"/>
      <c r="M8" s="43"/>
      <c r="N8" s="308"/>
      <c r="O8" s="336"/>
      <c r="P8" s="336"/>
      <c r="Q8" s="336"/>
    </row>
    <row r="9" spans="1:17" ht="14.25" customHeight="1">
      <c r="A9" s="40" t="str">
        <f>"1.1. Producción de energía eléctrica en "&amp;LOWER(Q4)&amp;" "&amp;Q5&amp;" en comparación al mismo mes del año anterior"</f>
        <v>1.1. Producción de energía eléctrica en junio 2019 en comparación al mismo mes del año anterior</v>
      </c>
      <c r="B9" s="40"/>
      <c r="C9" s="40"/>
      <c r="D9" s="40"/>
      <c r="E9" s="40"/>
      <c r="F9" s="40"/>
      <c r="G9" s="40"/>
      <c r="H9" s="40"/>
      <c r="I9" s="40"/>
      <c r="J9" s="40"/>
      <c r="K9" s="40"/>
      <c r="L9" s="40"/>
      <c r="M9" s="40"/>
      <c r="N9" s="305"/>
      <c r="O9" s="332"/>
      <c r="P9" s="332"/>
      <c r="Q9" s="332"/>
    </row>
    <row r="10" spans="1:17" ht="11.25" customHeight="1">
      <c r="A10" s="47"/>
      <c r="B10" s="44"/>
      <c r="C10" s="44"/>
      <c r="D10" s="44"/>
      <c r="E10" s="44"/>
      <c r="F10" s="44"/>
      <c r="G10" s="44"/>
      <c r="H10" s="44"/>
      <c r="I10" s="44"/>
      <c r="J10" s="44"/>
      <c r="K10" s="44"/>
      <c r="L10" s="44"/>
      <c r="M10" s="44"/>
      <c r="N10" s="307"/>
      <c r="O10" s="334"/>
      <c r="P10" s="334"/>
      <c r="Q10" s="334"/>
    </row>
    <row r="11" spans="1:17" ht="11.25" customHeight="1">
      <c r="A11" s="50"/>
      <c r="B11" s="50"/>
      <c r="C11" s="50"/>
      <c r="D11" s="50"/>
      <c r="E11" s="50"/>
      <c r="F11" s="50"/>
      <c r="G11" s="50"/>
      <c r="H11" s="50"/>
      <c r="I11" s="50"/>
      <c r="J11" s="50"/>
      <c r="K11" s="50"/>
      <c r="L11" s="50"/>
      <c r="M11" s="50"/>
      <c r="N11" s="309"/>
      <c r="O11" s="337"/>
      <c r="P11" s="337"/>
      <c r="Q11" s="337"/>
    </row>
    <row r="12" spans="1:17" ht="26.25" customHeight="1">
      <c r="A12" s="62" t="s">
        <v>23</v>
      </c>
      <c r="B12" s="882" t="s">
        <v>705</v>
      </c>
      <c r="C12" s="882"/>
      <c r="D12" s="882"/>
      <c r="E12" s="882"/>
      <c r="F12" s="882"/>
      <c r="G12" s="882"/>
      <c r="H12" s="882"/>
      <c r="I12" s="882"/>
      <c r="J12" s="882"/>
      <c r="K12" s="882"/>
      <c r="L12" s="882"/>
      <c r="M12" s="882"/>
      <c r="N12" s="307"/>
      <c r="O12" s="334"/>
      <c r="P12" s="334"/>
      <c r="Q12" s="334"/>
    </row>
    <row r="13" spans="1:17" ht="12.75" customHeight="1">
      <c r="A13" s="40"/>
      <c r="B13" s="64"/>
      <c r="C13" s="64"/>
      <c r="D13" s="64"/>
      <c r="E13" s="64"/>
      <c r="F13" s="64"/>
      <c r="G13" s="64"/>
      <c r="H13" s="64"/>
      <c r="I13" s="64"/>
      <c r="J13" s="64"/>
      <c r="K13" s="64"/>
      <c r="L13" s="64"/>
      <c r="M13" s="44"/>
      <c r="N13" s="307"/>
      <c r="O13" s="334"/>
      <c r="P13" s="334"/>
      <c r="Q13" s="334"/>
    </row>
    <row r="14" spans="1:17" ht="28.5" customHeight="1">
      <c r="A14" s="62" t="s">
        <v>23</v>
      </c>
      <c r="B14" s="882" t="s">
        <v>705</v>
      </c>
      <c r="C14" s="882"/>
      <c r="D14" s="882"/>
      <c r="E14" s="882"/>
      <c r="F14" s="882"/>
      <c r="G14" s="882"/>
      <c r="H14" s="882"/>
      <c r="I14" s="882"/>
      <c r="J14" s="882"/>
      <c r="K14" s="882"/>
      <c r="L14" s="882"/>
      <c r="M14" s="882"/>
      <c r="N14" s="307"/>
      <c r="O14" s="334"/>
      <c r="P14" s="334"/>
      <c r="Q14" s="334"/>
    </row>
    <row r="15" spans="1:17" ht="15" customHeight="1">
      <c r="A15" s="63"/>
      <c r="B15" s="64"/>
      <c r="C15" s="64"/>
      <c r="D15" s="64"/>
      <c r="E15" s="64"/>
      <c r="F15" s="64"/>
      <c r="G15" s="64"/>
      <c r="H15" s="64"/>
      <c r="I15" s="64"/>
      <c r="J15" s="64"/>
      <c r="K15" s="64"/>
      <c r="L15" s="64"/>
      <c r="M15" s="44"/>
      <c r="N15" s="307"/>
      <c r="O15" s="334"/>
      <c r="P15" s="334"/>
      <c r="Q15" s="334"/>
    </row>
    <row r="16" spans="1:17" ht="59.25" customHeight="1">
      <c r="A16" s="62" t="s">
        <v>23</v>
      </c>
      <c r="B16" s="882" t="s">
        <v>706</v>
      </c>
      <c r="C16" s="882"/>
      <c r="D16" s="882"/>
      <c r="E16" s="882"/>
      <c r="F16" s="882"/>
      <c r="G16" s="882"/>
      <c r="H16" s="882"/>
      <c r="I16" s="882"/>
      <c r="J16" s="882"/>
      <c r="K16" s="882"/>
      <c r="L16" s="882"/>
      <c r="M16" s="882"/>
      <c r="N16" s="307"/>
      <c r="O16" s="334"/>
      <c r="P16" s="334"/>
      <c r="Q16" s="334"/>
    </row>
    <row r="17" spans="1:18" ht="17.25" customHeight="1">
      <c r="A17" s="44"/>
      <c r="B17" s="44"/>
      <c r="C17" s="44"/>
      <c r="D17" s="44"/>
      <c r="E17" s="44"/>
      <c r="F17" s="44"/>
      <c r="G17" s="44"/>
      <c r="H17" s="44"/>
      <c r="I17" s="44"/>
      <c r="J17" s="44"/>
      <c r="K17" s="44"/>
      <c r="L17" s="44"/>
      <c r="M17" s="44"/>
      <c r="N17" s="307"/>
      <c r="O17" s="334"/>
      <c r="P17" s="334"/>
      <c r="Q17" s="334"/>
    </row>
    <row r="18" spans="1:18" ht="25.5" customHeight="1">
      <c r="A18" s="61" t="s">
        <v>23</v>
      </c>
      <c r="B18" s="881" t="s">
        <v>707</v>
      </c>
      <c r="C18" s="881"/>
      <c r="D18" s="881"/>
      <c r="E18" s="881"/>
      <c r="F18" s="881"/>
      <c r="G18" s="881"/>
      <c r="H18" s="881"/>
      <c r="I18" s="881"/>
      <c r="J18" s="881"/>
      <c r="K18" s="881"/>
      <c r="L18" s="881"/>
      <c r="M18" s="881"/>
      <c r="N18" s="307"/>
      <c r="O18" s="334"/>
      <c r="P18" s="334"/>
      <c r="Q18" s="334"/>
    </row>
    <row r="19" spans="1:18" ht="11.25" customHeight="1">
      <c r="A19" s="44"/>
      <c r="B19" s="44"/>
      <c r="C19" s="44"/>
      <c r="D19" s="44"/>
      <c r="E19" s="44"/>
      <c r="F19" s="44"/>
      <c r="G19" s="44"/>
      <c r="H19" s="44"/>
      <c r="I19" s="44"/>
      <c r="J19" s="44"/>
      <c r="K19" s="44"/>
      <c r="L19" s="44"/>
      <c r="M19" s="44"/>
      <c r="N19" s="307"/>
      <c r="O19" s="334"/>
      <c r="P19" s="334"/>
      <c r="Q19" s="334"/>
    </row>
    <row r="20" spans="1:18" ht="15.75" customHeight="1">
      <c r="A20" s="44"/>
      <c r="B20" s="44"/>
      <c r="C20" s="880" t="str">
        <f>+UPPER(Q4)&amp;" "&amp;Q5</f>
        <v>JUNIO 2019</v>
      </c>
      <c r="D20" s="880"/>
      <c r="E20" s="880"/>
      <c r="F20" s="40"/>
      <c r="G20" s="40"/>
      <c r="H20" s="40"/>
      <c r="I20" s="880" t="str">
        <f>+UPPER(Q4)&amp;" "&amp;Q5-1</f>
        <v>JUNIO 2018</v>
      </c>
      <c r="J20" s="880"/>
      <c r="K20" s="880"/>
      <c r="L20" s="44"/>
      <c r="M20" s="44"/>
      <c r="Q20" s="334"/>
    </row>
    <row r="21" spans="1:18" ht="11.25" customHeight="1">
      <c r="A21" s="44"/>
      <c r="B21" s="44"/>
      <c r="C21" s="44"/>
      <c r="D21" s="44"/>
      <c r="E21" s="44"/>
      <c r="F21" s="44"/>
      <c r="G21" s="44"/>
      <c r="H21" s="44"/>
      <c r="I21" s="44"/>
      <c r="J21" s="44"/>
      <c r="K21" s="44"/>
      <c r="L21" s="44"/>
      <c r="M21" s="44"/>
      <c r="Q21" s="334"/>
    </row>
    <row r="22" spans="1:18" ht="11.25" customHeight="1">
      <c r="A22" s="51"/>
      <c r="B22" s="52"/>
      <c r="C22" s="52"/>
      <c r="D22" s="52"/>
      <c r="E22" s="52"/>
      <c r="F22" s="52"/>
      <c r="G22" s="52"/>
      <c r="H22" s="52"/>
      <c r="I22" s="52"/>
      <c r="J22" s="52"/>
      <c r="K22" s="52"/>
      <c r="L22" s="52"/>
      <c r="M22" s="52"/>
      <c r="N22" s="370" t="s">
        <v>31</v>
      </c>
      <c r="O22" s="338">
        <v>43617</v>
      </c>
      <c r="P22" s="338">
        <v>43252</v>
      </c>
    </row>
    <row r="23" spans="1:18" ht="11.25" customHeight="1">
      <c r="A23" s="51"/>
      <c r="B23" s="52"/>
      <c r="C23" s="52"/>
      <c r="D23" s="52"/>
      <c r="E23" s="52"/>
      <c r="F23" s="52"/>
      <c r="G23" s="52"/>
      <c r="H23" s="52"/>
      <c r="I23" s="52"/>
      <c r="J23" s="52"/>
      <c r="K23" s="52"/>
      <c r="L23" s="52"/>
      <c r="M23" s="52"/>
      <c r="N23" s="370" t="s">
        <v>24</v>
      </c>
      <c r="O23" s="339">
        <v>2126.5101631349999</v>
      </c>
      <c r="P23" s="339">
        <v>2113.6878663949992</v>
      </c>
      <c r="Q23" s="340"/>
    </row>
    <row r="24" spans="1:18" ht="11.25" customHeight="1">
      <c r="A24" s="44"/>
      <c r="B24" s="44"/>
      <c r="C24" s="44"/>
      <c r="D24" s="44"/>
      <c r="E24" s="43"/>
      <c r="F24" s="44"/>
      <c r="G24" s="44"/>
      <c r="H24" s="44"/>
      <c r="I24" s="44"/>
      <c r="J24" s="44"/>
      <c r="K24" s="44"/>
      <c r="L24" s="44"/>
      <c r="M24" s="43"/>
      <c r="N24" s="371" t="s">
        <v>25</v>
      </c>
      <c r="O24" s="341">
        <v>1934.2168367825004</v>
      </c>
      <c r="P24" s="341">
        <v>1828.9602865424997</v>
      </c>
      <c r="Q24" s="339"/>
      <c r="R24" s="339"/>
    </row>
    <row r="25" spans="1:18" ht="11.25" customHeight="1">
      <c r="A25" s="44"/>
      <c r="B25" s="44"/>
      <c r="C25" s="44"/>
      <c r="D25" s="44"/>
      <c r="E25" s="44"/>
      <c r="F25" s="44"/>
      <c r="G25" s="44"/>
      <c r="H25" s="44"/>
      <c r="I25" s="44"/>
      <c r="J25" s="53"/>
      <c r="K25" s="53"/>
      <c r="L25" s="44"/>
      <c r="M25" s="44"/>
      <c r="N25" s="371" t="s">
        <v>26</v>
      </c>
      <c r="O25" s="341">
        <v>0</v>
      </c>
      <c r="P25" s="341">
        <v>0</v>
      </c>
      <c r="Q25" s="342"/>
    </row>
    <row r="26" spans="1:18" ht="11.25" customHeight="1">
      <c r="A26" s="44"/>
      <c r="B26" s="44"/>
      <c r="C26" s="44"/>
      <c r="D26" s="44"/>
      <c r="E26" s="44"/>
      <c r="F26" s="44"/>
      <c r="G26" s="44"/>
      <c r="H26" s="44"/>
      <c r="I26" s="44"/>
      <c r="J26" s="53"/>
      <c r="K26" s="53"/>
      <c r="L26" s="44"/>
      <c r="M26" s="44"/>
      <c r="N26" s="370" t="s">
        <v>27</v>
      </c>
      <c r="O26" s="339">
        <v>5.7228150250000001</v>
      </c>
      <c r="P26" s="339">
        <v>7.0902351625</v>
      </c>
      <c r="Q26" s="342"/>
    </row>
    <row r="27" spans="1:18" ht="11.25" customHeight="1">
      <c r="A27" s="44"/>
      <c r="B27" s="44"/>
      <c r="C27" s="44"/>
      <c r="D27" s="44"/>
      <c r="E27" s="44"/>
      <c r="F27" s="44"/>
      <c r="G27" s="44"/>
      <c r="H27" s="44"/>
      <c r="I27" s="44"/>
      <c r="J27" s="53"/>
      <c r="K27" s="44"/>
      <c r="L27" s="44"/>
      <c r="M27" s="44"/>
      <c r="N27" s="370" t="s">
        <v>28</v>
      </c>
      <c r="O27" s="339">
        <v>22.254032505000001</v>
      </c>
      <c r="P27" s="339">
        <v>9.8846493975000005</v>
      </c>
      <c r="Q27" s="342"/>
    </row>
    <row r="28" spans="1:18" ht="11.25" customHeight="1">
      <c r="A28" s="44"/>
      <c r="B28" s="44"/>
      <c r="C28" s="53"/>
      <c r="D28" s="53"/>
      <c r="E28" s="53"/>
      <c r="F28" s="53"/>
      <c r="G28" s="53"/>
      <c r="H28" s="53"/>
      <c r="I28" s="53"/>
      <c r="J28" s="53"/>
      <c r="K28" s="53"/>
      <c r="L28" s="44"/>
      <c r="M28" s="44"/>
      <c r="N28" s="370" t="s">
        <v>29</v>
      </c>
      <c r="O28" s="339">
        <v>147.78231510000001</v>
      </c>
      <c r="P28" s="339">
        <v>128.59335152</v>
      </c>
      <c r="Q28" s="342"/>
    </row>
    <row r="29" spans="1:18" ht="11.25" customHeight="1">
      <c r="A29" s="44"/>
      <c r="B29" s="44"/>
      <c r="C29" s="53"/>
      <c r="D29" s="53"/>
      <c r="E29" s="53"/>
      <c r="F29" s="53"/>
      <c r="G29" s="53"/>
      <c r="H29" s="53"/>
      <c r="I29" s="53"/>
      <c r="J29" s="53"/>
      <c r="K29" s="53"/>
      <c r="L29" s="44"/>
      <c r="M29" s="44"/>
      <c r="N29" s="370" t="s">
        <v>30</v>
      </c>
      <c r="O29" s="339">
        <v>52.871938625000006</v>
      </c>
      <c r="P29" s="339">
        <v>46.704256437499993</v>
      </c>
      <c r="Q29" s="342"/>
    </row>
    <row r="30" spans="1:18" ht="11.25" customHeight="1">
      <c r="A30" s="44"/>
      <c r="B30" s="44"/>
      <c r="C30" s="53"/>
      <c r="D30" s="53"/>
      <c r="E30" s="53"/>
      <c r="F30" s="53"/>
      <c r="G30" s="53"/>
      <c r="H30" s="53"/>
      <c r="I30" s="53"/>
      <c r="J30" s="53"/>
      <c r="K30" s="53"/>
      <c r="L30" s="44"/>
      <c r="M30" s="44"/>
      <c r="N30" s="370"/>
      <c r="O30" s="342"/>
      <c r="P30" s="342"/>
      <c r="Q30" s="342"/>
    </row>
    <row r="31" spans="1:18" ht="11.25" customHeight="1">
      <c r="A31" s="44"/>
      <c r="B31" s="44"/>
      <c r="C31" s="53"/>
      <c r="D31" s="53"/>
      <c r="E31" s="53"/>
      <c r="F31" s="53"/>
      <c r="G31" s="53"/>
      <c r="H31" s="53"/>
      <c r="I31" s="53"/>
      <c r="J31" s="53"/>
      <c r="K31" s="53"/>
      <c r="L31" s="44"/>
      <c r="M31" s="44"/>
      <c r="O31" s="392"/>
      <c r="P31" s="392"/>
      <c r="Q31" s="393"/>
    </row>
    <row r="32" spans="1:18" ht="11.25" customHeight="1">
      <c r="A32" s="44"/>
      <c r="B32" s="44"/>
      <c r="C32" s="53"/>
      <c r="D32" s="53"/>
      <c r="E32" s="53"/>
      <c r="F32" s="53"/>
      <c r="G32" s="53"/>
      <c r="H32" s="53"/>
      <c r="I32" s="53"/>
      <c r="J32" s="53"/>
      <c r="K32" s="53"/>
      <c r="L32" s="44"/>
      <c r="M32" s="44"/>
      <c r="Q32" s="334"/>
    </row>
    <row r="33" spans="1:17" ht="11.25" customHeight="1">
      <c r="A33" s="44"/>
      <c r="B33" s="44"/>
      <c r="C33" s="53"/>
      <c r="D33" s="53"/>
      <c r="E33" s="53"/>
      <c r="F33" s="53"/>
      <c r="G33" s="53"/>
      <c r="H33" s="53"/>
      <c r="I33" s="53"/>
      <c r="J33" s="53"/>
      <c r="K33" s="53"/>
      <c r="L33" s="44"/>
      <c r="M33" s="44"/>
      <c r="Q33" s="334"/>
    </row>
    <row r="34" spans="1:17" ht="11.25" customHeight="1">
      <c r="A34" s="44"/>
      <c r="B34" s="44"/>
      <c r="C34" s="53"/>
      <c r="D34" s="53"/>
      <c r="E34" s="53"/>
      <c r="F34" s="53"/>
      <c r="G34" s="53"/>
      <c r="H34" s="53"/>
      <c r="I34" s="53"/>
      <c r="J34" s="53"/>
      <c r="K34" s="53"/>
      <c r="L34" s="44"/>
      <c r="M34" s="44"/>
      <c r="Q34" s="334"/>
    </row>
    <row r="35" spans="1:17" ht="11.25" customHeight="1">
      <c r="A35" s="54"/>
      <c r="B35" s="54"/>
      <c r="C35" s="55"/>
      <c r="D35" s="55"/>
      <c r="E35" s="55"/>
      <c r="F35" s="55"/>
      <c r="G35" s="55"/>
      <c r="H35" s="55"/>
      <c r="I35" s="55"/>
      <c r="J35" s="54"/>
      <c r="K35" s="54"/>
      <c r="L35" s="54"/>
      <c r="M35" s="54"/>
      <c r="Q35" s="334"/>
    </row>
    <row r="36" spans="1:17" ht="11.25" customHeight="1">
      <c r="A36" s="54"/>
      <c r="B36" s="54"/>
      <c r="C36" s="55"/>
      <c r="D36" s="55"/>
      <c r="E36" s="55"/>
      <c r="F36" s="55"/>
      <c r="G36" s="55"/>
      <c r="H36" s="55"/>
      <c r="I36" s="55"/>
      <c r="J36" s="54"/>
      <c r="K36" s="54"/>
      <c r="L36" s="54"/>
      <c r="M36" s="54"/>
      <c r="Q36" s="334"/>
    </row>
    <row r="37" spans="1:17" ht="11.25" customHeight="1">
      <c r="A37" s="54"/>
      <c r="B37" s="54"/>
      <c r="C37" s="55"/>
      <c r="D37" s="55"/>
      <c r="E37" s="55"/>
      <c r="F37" s="55"/>
      <c r="G37" s="55"/>
      <c r="H37" s="55"/>
      <c r="I37" s="55"/>
      <c r="J37" s="54"/>
      <c r="K37" s="54"/>
      <c r="L37" s="54"/>
      <c r="M37" s="54"/>
      <c r="N37" s="307"/>
      <c r="O37" s="334"/>
      <c r="P37" s="334"/>
      <c r="Q37" s="334"/>
    </row>
    <row r="38" spans="1:17" ht="11.25" customHeight="1">
      <c r="A38" s="54"/>
      <c r="B38" s="54"/>
      <c r="C38" s="55"/>
      <c r="D38" s="55"/>
      <c r="E38" s="55"/>
      <c r="F38" s="55"/>
      <c r="G38" s="55"/>
      <c r="H38" s="55"/>
      <c r="I38" s="55"/>
      <c r="J38" s="54"/>
      <c r="K38" s="54"/>
      <c r="L38" s="54"/>
      <c r="M38" s="54"/>
      <c r="N38" s="307"/>
      <c r="O38" s="334"/>
      <c r="P38" s="334"/>
      <c r="Q38" s="334"/>
    </row>
    <row r="39" spans="1:17" ht="11.25" customHeight="1">
      <c r="A39" s="54"/>
      <c r="B39" s="54"/>
      <c r="C39" s="55"/>
      <c r="D39" s="55"/>
      <c r="E39" s="55"/>
      <c r="F39" s="55"/>
      <c r="G39" s="55"/>
      <c r="H39" s="55"/>
      <c r="I39" s="55"/>
      <c r="J39" s="54"/>
      <c r="K39" s="54"/>
      <c r="L39" s="54"/>
      <c r="M39" s="54"/>
      <c r="N39" s="307"/>
      <c r="O39" s="334"/>
      <c r="P39" s="334"/>
      <c r="Q39" s="334"/>
    </row>
    <row r="40" spans="1:17" ht="11.25" customHeight="1">
      <c r="A40" s="54"/>
      <c r="B40" s="54"/>
      <c r="C40" s="55"/>
      <c r="D40" s="55"/>
      <c r="E40" s="55"/>
      <c r="F40" s="55"/>
      <c r="G40" s="55"/>
      <c r="H40" s="55"/>
      <c r="I40" s="55"/>
      <c r="J40" s="54"/>
      <c r="K40" s="54"/>
      <c r="L40" s="54"/>
      <c r="M40" s="54"/>
      <c r="N40" s="307"/>
      <c r="O40" s="334"/>
      <c r="P40" s="334"/>
      <c r="Q40" s="334"/>
    </row>
    <row r="41" spans="1:17" ht="11.25" customHeight="1">
      <c r="A41" s="54"/>
      <c r="B41" s="54"/>
      <c r="C41" s="54"/>
      <c r="D41" s="55"/>
      <c r="E41" s="55"/>
      <c r="F41" s="55"/>
      <c r="G41" s="55"/>
      <c r="H41" s="54"/>
      <c r="I41" s="54"/>
      <c r="J41" s="54"/>
      <c r="K41" s="54"/>
      <c r="L41" s="54"/>
      <c r="M41" s="54"/>
      <c r="N41" s="307"/>
      <c r="O41" s="334"/>
      <c r="P41" s="334"/>
      <c r="Q41" s="334"/>
    </row>
    <row r="42" spans="1:17" ht="11.25" customHeight="1">
      <c r="A42" s="54"/>
      <c r="B42" s="54"/>
      <c r="C42" s="55"/>
      <c r="D42" s="55"/>
      <c r="E42" s="55"/>
      <c r="F42" s="55"/>
      <c r="G42" s="55"/>
      <c r="H42" s="55"/>
      <c r="I42" s="55"/>
      <c r="J42" s="54"/>
      <c r="K42" s="54"/>
      <c r="L42" s="54"/>
      <c r="M42" s="54"/>
      <c r="N42" s="307"/>
      <c r="O42" s="334"/>
      <c r="P42" s="334"/>
      <c r="Q42" s="334"/>
    </row>
    <row r="43" spans="1:17" ht="11.25" customHeight="1">
      <c r="A43" s="54"/>
      <c r="B43" s="54"/>
      <c r="C43" s="55"/>
      <c r="D43" s="55"/>
      <c r="E43" s="55"/>
      <c r="F43" s="55"/>
      <c r="G43" s="55"/>
      <c r="H43" s="55"/>
      <c r="I43" s="55"/>
      <c r="J43" s="54"/>
      <c r="K43" s="54"/>
      <c r="L43" s="54"/>
      <c r="M43" s="54"/>
      <c r="N43" s="307"/>
      <c r="O43" s="334"/>
      <c r="P43" s="334"/>
      <c r="Q43" s="334"/>
    </row>
    <row r="44" spans="1:17" ht="11.25" customHeight="1">
      <c r="A44" s="54"/>
      <c r="B44" s="54"/>
      <c r="C44" s="55"/>
      <c r="D44" s="55"/>
      <c r="E44" s="55"/>
      <c r="F44" s="55"/>
      <c r="G44" s="55"/>
      <c r="H44" s="55"/>
      <c r="I44" s="55"/>
      <c r="J44" s="54"/>
      <c r="K44" s="54"/>
      <c r="L44" s="54"/>
      <c r="M44" s="54"/>
      <c r="N44" s="307"/>
      <c r="O44" s="334"/>
      <c r="P44" s="334"/>
      <c r="Q44" s="334"/>
    </row>
    <row r="45" spans="1:17" ht="11.25" customHeight="1">
      <c r="A45" s="54"/>
      <c r="B45" s="54"/>
      <c r="C45" s="55"/>
      <c r="D45" s="55"/>
      <c r="E45" s="55"/>
      <c r="F45" s="55"/>
      <c r="G45" s="55"/>
      <c r="H45" s="55"/>
      <c r="I45" s="55"/>
      <c r="J45" s="54"/>
      <c r="K45" s="54"/>
      <c r="L45" s="54"/>
      <c r="M45" s="54"/>
      <c r="N45" s="307"/>
      <c r="O45" s="334"/>
      <c r="P45" s="334"/>
      <c r="Q45" s="334"/>
    </row>
    <row r="46" spans="1:17" ht="11.25" customHeight="1">
      <c r="A46" s="54"/>
      <c r="B46" s="54"/>
      <c r="C46" s="54"/>
      <c r="D46" s="54"/>
      <c r="E46" s="54"/>
      <c r="F46" s="54"/>
      <c r="G46" s="54"/>
      <c r="H46" s="54"/>
      <c r="I46" s="54"/>
      <c r="J46" s="54"/>
      <c r="K46" s="54"/>
      <c r="L46" s="54"/>
      <c r="M46" s="54"/>
      <c r="N46" s="307"/>
      <c r="O46" s="334"/>
      <c r="P46" s="334"/>
      <c r="Q46" s="334"/>
    </row>
    <row r="47" spans="1:17" ht="16.5" customHeight="1">
      <c r="A47" s="54"/>
      <c r="B47" s="879" t="str">
        <f>"Total = "&amp;TEXT(ROUND(SUM(O23:O29),2),"0 000,00")&amp;" GWh"</f>
        <v>Total = 4 289,36 GWh</v>
      </c>
      <c r="C47" s="879"/>
      <c r="D47" s="879"/>
      <c r="E47" s="879"/>
      <c r="F47" s="54"/>
      <c r="G47" s="54"/>
      <c r="H47" s="878" t="str">
        <f>"Total = "&amp;TEXT(ROUND(SUM(P23:P29),2),"0 000,00")&amp;" GWh"</f>
        <v>Total = 4 134,92 GWh</v>
      </c>
      <c r="I47" s="878"/>
      <c r="J47" s="878"/>
      <c r="K47" s="878"/>
      <c r="L47" s="54"/>
      <c r="M47" s="54"/>
      <c r="N47" s="307"/>
      <c r="O47" s="334"/>
      <c r="P47" s="334"/>
      <c r="Q47" s="334"/>
    </row>
    <row r="48" spans="1:17" ht="11.25" customHeight="1">
      <c r="H48" s="54"/>
      <c r="I48" s="54"/>
      <c r="J48" s="54"/>
      <c r="K48" s="54"/>
      <c r="L48" s="54"/>
      <c r="M48" s="54"/>
      <c r="N48" s="307"/>
      <c r="O48" s="334"/>
      <c r="P48" s="334"/>
      <c r="Q48" s="334"/>
    </row>
    <row r="49" spans="1:17" ht="11.25" customHeight="1">
      <c r="B49" s="877" t="str">
        <f>"Gráfico 1: Comparación de producción mensual de electricidad en "&amp;Q4&amp;" por tipo de recurso energético."</f>
        <v>Gráfico 1: Comparación de producción mensual de electricidad en junio por tipo de recurso energético.</v>
      </c>
      <c r="C49" s="877"/>
      <c r="D49" s="877"/>
      <c r="E49" s="877"/>
      <c r="F49" s="877"/>
      <c r="G49" s="877"/>
      <c r="H49" s="877"/>
      <c r="I49" s="877"/>
      <c r="J49" s="877"/>
      <c r="K49" s="877"/>
      <c r="L49" s="877"/>
      <c r="M49" s="238"/>
      <c r="N49" s="310"/>
      <c r="O49" s="334"/>
      <c r="P49" s="334"/>
      <c r="Q49" s="334"/>
    </row>
    <row r="50" spans="1:17" ht="11.25" customHeight="1">
      <c r="A50" s="54"/>
      <c r="B50" s="54"/>
      <c r="C50" s="45"/>
      <c r="D50" s="45"/>
      <c r="E50" s="54"/>
      <c r="F50" s="54"/>
      <c r="G50" s="54"/>
      <c r="H50" s="54"/>
      <c r="I50" s="54"/>
      <c r="J50" s="54"/>
      <c r="K50" s="54"/>
      <c r="L50" s="54"/>
      <c r="M50" s="54"/>
      <c r="N50" s="307"/>
      <c r="O50" s="334"/>
      <c r="P50" s="334"/>
      <c r="Q50" s="334"/>
    </row>
    <row r="51" spans="1:17" ht="11.25" customHeight="1">
      <c r="A51" s="54"/>
      <c r="B51" s="54"/>
      <c r="C51" s="54"/>
      <c r="D51" s="54"/>
      <c r="E51" s="54"/>
      <c r="F51" s="54"/>
      <c r="G51" s="54"/>
      <c r="H51" s="54"/>
      <c r="I51" s="54"/>
      <c r="J51" s="54"/>
      <c r="K51" s="54"/>
      <c r="L51" s="54"/>
      <c r="M51" s="54"/>
      <c r="N51" s="307"/>
      <c r="O51" s="334"/>
      <c r="P51" s="334"/>
      <c r="Q51" s="334"/>
    </row>
    <row r="52" spans="1:17" ht="11.25" customHeight="1">
      <c r="A52" s="54"/>
      <c r="B52" s="54"/>
      <c r="C52" s="54"/>
      <c r="D52" s="54"/>
      <c r="E52" s="54"/>
      <c r="F52" s="54"/>
      <c r="G52" s="54"/>
      <c r="H52" s="54"/>
      <c r="I52" s="54"/>
      <c r="J52" s="54"/>
      <c r="K52" s="54"/>
      <c r="L52" s="54"/>
      <c r="M52" s="54"/>
      <c r="N52" s="307"/>
      <c r="O52" s="334"/>
      <c r="P52" s="334"/>
      <c r="Q52" s="334"/>
    </row>
    <row r="53" spans="1:17" ht="11.25" customHeight="1">
      <c r="A53" s="54"/>
      <c r="B53" s="54"/>
      <c r="C53" s="54"/>
      <c r="D53" s="54"/>
      <c r="E53" s="54"/>
      <c r="F53" s="54"/>
      <c r="G53" s="54"/>
      <c r="H53" s="54"/>
      <c r="I53" s="54"/>
      <c r="J53" s="54"/>
      <c r="K53" s="54"/>
      <c r="L53" s="54"/>
      <c r="M53" s="54"/>
      <c r="N53" s="307"/>
      <c r="O53" s="334"/>
      <c r="P53" s="334"/>
      <c r="Q53" s="334"/>
    </row>
    <row r="54" spans="1:17" ht="11.25" customHeight="1">
      <c r="A54" s="9"/>
      <c r="B54" s="56"/>
      <c r="C54" s="56"/>
      <c r="D54" s="56"/>
      <c r="E54" s="56"/>
      <c r="F54" s="56"/>
      <c r="G54" s="56"/>
      <c r="H54" s="56"/>
      <c r="I54" s="56"/>
      <c r="J54" s="56"/>
      <c r="K54" s="57"/>
      <c r="L54" s="58"/>
    </row>
    <row r="55" spans="1:17" ht="11.25" customHeight="1">
      <c r="A55" s="9"/>
      <c r="B55" s="56"/>
      <c r="C55" s="56"/>
      <c r="D55" s="56"/>
      <c r="E55" s="56"/>
      <c r="F55" s="56"/>
      <c r="G55" s="56"/>
      <c r="H55" s="56"/>
      <c r="I55" s="56"/>
      <c r="J55" s="56"/>
      <c r="K55" s="57"/>
      <c r="L55" s="58"/>
    </row>
    <row r="56" spans="1:17" ht="11.25" customHeight="1">
      <c r="A56" s="59"/>
      <c r="B56" s="59"/>
      <c r="C56" s="59"/>
      <c r="D56" s="59"/>
      <c r="E56" s="59"/>
      <c r="F56" s="59"/>
      <c r="G56" s="59"/>
      <c r="H56" s="59"/>
      <c r="I56" s="59"/>
      <c r="J56" s="59"/>
      <c r="K56" s="59"/>
      <c r="L56" s="59"/>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2">
      <c r="A61" s="59"/>
      <c r="B61" s="59"/>
      <c r="C61" s="59"/>
      <c r="D61" s="59"/>
      <c r="E61" s="59"/>
      <c r="F61" s="59"/>
      <c r="G61" s="59"/>
      <c r="H61" s="59"/>
      <c r="I61" s="59"/>
      <c r="J61" s="59"/>
      <c r="K61" s="59"/>
      <c r="L61" s="59"/>
    </row>
    <row r="62" spans="1:17" ht="12">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sheetData>
  <mergeCells count="1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3779527559055118" bottom="0.62992125984251968" header="0.31496062992125984" footer="0.31496062992125984"/>
  <pageSetup paperSize="9" scale="97" orientation="portrait" r:id="rId1"/>
  <headerFooter>
    <oddHeader>&amp;R&amp;7Informe de la Operación Mensual-Junio 2019
INFSGI-MES-06-2019
10/07/2019
Versión: 01</oddHeader>
    <oddFooter>&amp;LCOES, 2019&amp;C1&amp;RDirección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77A5"/>
  </sheetPr>
  <dimension ref="B4:O65"/>
  <sheetViews>
    <sheetView showGridLines="0" view="pageBreakPreview" zoomScale="130" zoomScaleNormal="100" zoomScaleSheetLayoutView="130" workbookViewId="0">
      <selection activeCell="C12" sqref="C12"/>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20"/>
      <c r="C7" s="25"/>
      <c r="D7" s="25"/>
      <c r="E7" s="25"/>
      <c r="F7" s="25"/>
      <c r="G7" s="25"/>
      <c r="H7" s="25"/>
      <c r="I7" s="25"/>
      <c r="J7" s="25"/>
      <c r="K7" s="25"/>
      <c r="L7" s="25"/>
      <c r="M7" s="25"/>
      <c r="N7" s="25"/>
      <c r="O7" s="25"/>
    </row>
    <row r="8" spans="2:15">
      <c r="B8" s="220"/>
      <c r="C8" s="25"/>
      <c r="D8" s="25"/>
      <c r="E8" s="25"/>
      <c r="F8" s="25"/>
      <c r="G8" s="25"/>
      <c r="H8" s="25"/>
      <c r="I8" s="25"/>
      <c r="J8" s="25"/>
      <c r="K8" s="25"/>
      <c r="L8" s="25"/>
      <c r="M8" s="25"/>
      <c r="N8" s="25"/>
      <c r="O8" s="25"/>
    </row>
    <row r="9" spans="2:15">
      <c r="B9" s="220"/>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304"/>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0.7480314960629921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7A5"/>
  </sheetPr>
  <dimension ref="A2:O57"/>
  <sheetViews>
    <sheetView showGridLines="0" view="pageBreakPreview" topLeftCell="D1" zoomScale="130" zoomScaleNormal="100" zoomScaleSheetLayoutView="130" zoomScalePageLayoutView="160" workbookViewId="0">
      <selection activeCell="C12" sqref="C12"/>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2" ht="16.5" customHeight="1">
      <c r="A2" s="889" t="s">
        <v>520</v>
      </c>
      <c r="B2" s="889"/>
      <c r="C2" s="889"/>
      <c r="D2" s="889"/>
      <c r="E2" s="889"/>
      <c r="F2" s="889"/>
      <c r="G2" s="889"/>
      <c r="H2" s="889"/>
      <c r="I2" s="889"/>
      <c r="J2" s="889"/>
      <c r="K2" s="596"/>
    </row>
    <row r="3" spans="1:12" ht="12" customHeight="1">
      <c r="A3" s="137"/>
      <c r="B3" s="210"/>
      <c r="C3" s="221"/>
      <c r="D3" s="222"/>
      <c r="E3" s="222"/>
      <c r="F3" s="223"/>
      <c r="G3" s="224"/>
      <c r="H3" s="224"/>
      <c r="I3" s="173"/>
      <c r="J3" s="223"/>
    </row>
    <row r="4" spans="1:12" ht="11.25" customHeight="1">
      <c r="A4" s="188" t="s">
        <v>604</v>
      </c>
      <c r="B4" s="210"/>
      <c r="C4" s="221"/>
      <c r="D4" s="222"/>
      <c r="E4" s="222"/>
      <c r="F4" s="223"/>
      <c r="G4" s="224"/>
      <c r="H4" s="224"/>
      <c r="I4" s="173"/>
      <c r="J4" s="223"/>
      <c r="K4" s="358"/>
    </row>
    <row r="5" spans="1:12" ht="11.25" customHeight="1">
      <c r="A5" s="188"/>
      <c r="B5" s="210"/>
      <c r="C5" s="221"/>
      <c r="D5" s="222"/>
      <c r="E5" s="222"/>
      <c r="F5" s="223"/>
      <c r="G5" s="224"/>
      <c r="H5" s="224"/>
      <c r="I5" s="173"/>
      <c r="J5" s="223"/>
      <c r="K5" s="358"/>
    </row>
    <row r="6" spans="1:12" ht="15" hidden="1" customHeight="1">
      <c r="A6" s="137"/>
      <c r="B6" s="210"/>
      <c r="C6" s="221"/>
      <c r="D6" s="222"/>
      <c r="E6" s="222"/>
      <c r="F6" s="223"/>
      <c r="G6" s="224"/>
      <c r="H6" s="224"/>
      <c r="I6" s="173"/>
      <c r="J6" s="223"/>
      <c r="K6" s="358"/>
    </row>
    <row r="7" spans="1:12" ht="20.25" customHeight="1">
      <c r="A7" s="514" t="s">
        <v>217</v>
      </c>
      <c r="B7" s="515" t="s">
        <v>218</v>
      </c>
      <c r="C7" s="515" t="s">
        <v>219</v>
      </c>
      <c r="D7" s="515" t="s">
        <v>220</v>
      </c>
      <c r="E7" s="515" t="s">
        <v>221</v>
      </c>
      <c r="F7" s="516" t="s">
        <v>222</v>
      </c>
      <c r="G7" s="517" t="s">
        <v>226</v>
      </c>
      <c r="H7" s="516" t="s">
        <v>230</v>
      </c>
      <c r="I7" s="517" t="s">
        <v>482</v>
      </c>
      <c r="J7" s="518" t="s">
        <v>227</v>
      </c>
      <c r="K7" s="597"/>
    </row>
    <row r="8" spans="1:12" s="225" customFormat="1" ht="21" customHeight="1">
      <c r="A8" s="840" t="s">
        <v>507</v>
      </c>
      <c r="B8" s="493" t="s">
        <v>36</v>
      </c>
      <c r="C8" s="493" t="s">
        <v>45</v>
      </c>
      <c r="D8" s="493" t="s">
        <v>504</v>
      </c>
      <c r="E8" s="493" t="s">
        <v>510</v>
      </c>
      <c r="F8" s="494" t="s">
        <v>478</v>
      </c>
      <c r="G8" s="495">
        <v>6.9</v>
      </c>
      <c r="H8" s="496">
        <v>7.5</v>
      </c>
      <c r="I8" s="496">
        <v>6.6</v>
      </c>
      <c r="J8" s="497" t="s">
        <v>547</v>
      </c>
      <c r="K8" s="598"/>
    </row>
    <row r="9" spans="1:12" s="225" customFormat="1" ht="21" customHeight="1">
      <c r="A9" s="840" t="s">
        <v>550</v>
      </c>
      <c r="B9" s="493" t="s">
        <v>36</v>
      </c>
      <c r="C9" s="493" t="s">
        <v>45</v>
      </c>
      <c r="D9" s="493" t="s">
        <v>552</v>
      </c>
      <c r="E9" s="493" t="s">
        <v>553</v>
      </c>
      <c r="F9" s="494" t="s">
        <v>478</v>
      </c>
      <c r="G9" s="495">
        <v>0.4</v>
      </c>
      <c r="H9" s="496">
        <v>1</v>
      </c>
      <c r="I9" s="496">
        <v>1</v>
      </c>
      <c r="J9" s="497" t="s">
        <v>551</v>
      </c>
      <c r="K9" s="598"/>
    </row>
    <row r="10" spans="1:12" s="225" customFormat="1" ht="28.5" customHeight="1">
      <c r="A10" s="840" t="s">
        <v>561</v>
      </c>
      <c r="B10" s="493" t="s">
        <v>36</v>
      </c>
      <c r="C10" s="493" t="s">
        <v>45</v>
      </c>
      <c r="D10" s="493" t="s">
        <v>565</v>
      </c>
      <c r="E10" s="493" t="s">
        <v>563</v>
      </c>
      <c r="F10" s="494" t="s">
        <v>564</v>
      </c>
      <c r="G10" s="495">
        <v>10</v>
      </c>
      <c r="H10" s="496">
        <v>86.2</v>
      </c>
      <c r="I10" s="496">
        <v>84.1</v>
      </c>
      <c r="J10" s="497" t="s">
        <v>562</v>
      </c>
      <c r="K10" s="598"/>
    </row>
    <row r="11" spans="1:12" s="225" customFormat="1" ht="28.5" customHeight="1">
      <c r="A11" s="840" t="s">
        <v>579</v>
      </c>
      <c r="B11" s="493" t="s">
        <v>37</v>
      </c>
      <c r="C11" s="493" t="s">
        <v>49</v>
      </c>
      <c r="D11" s="493" t="s">
        <v>580</v>
      </c>
      <c r="E11" s="493" t="s">
        <v>581</v>
      </c>
      <c r="F11" s="494" t="s">
        <v>582</v>
      </c>
      <c r="G11" s="495">
        <v>13.8</v>
      </c>
      <c r="H11" s="496">
        <v>21.71</v>
      </c>
      <c r="I11" s="496">
        <v>7.48</v>
      </c>
      <c r="J11" s="497" t="s">
        <v>583</v>
      </c>
      <c r="K11" s="598"/>
    </row>
    <row r="12" spans="1:12" s="225" customFormat="1" ht="36.75" customHeight="1">
      <c r="A12" s="840" t="s">
        <v>708</v>
      </c>
      <c r="B12" s="493" t="s">
        <v>36</v>
      </c>
      <c r="C12" s="493" t="s">
        <v>45</v>
      </c>
      <c r="D12" s="493" t="s">
        <v>565</v>
      </c>
      <c r="E12" s="493" t="s">
        <v>709</v>
      </c>
      <c r="F12" s="494" t="s">
        <v>711</v>
      </c>
      <c r="G12" s="495">
        <v>13.8</v>
      </c>
      <c r="H12" s="496">
        <v>20</v>
      </c>
      <c r="I12" s="496">
        <v>20</v>
      </c>
      <c r="J12" s="497" t="s">
        <v>710</v>
      </c>
      <c r="K12" s="598"/>
    </row>
    <row r="13" spans="1:12" s="225" customFormat="1" ht="33" customHeight="1">
      <c r="A13" s="840" t="s">
        <v>712</v>
      </c>
      <c r="B13" s="493" t="s">
        <v>36</v>
      </c>
      <c r="C13" s="493" t="s">
        <v>45</v>
      </c>
      <c r="D13" s="493" t="s">
        <v>565</v>
      </c>
      <c r="E13" s="493" t="s">
        <v>713</v>
      </c>
      <c r="F13" s="494" t="s">
        <v>711</v>
      </c>
      <c r="G13" s="495">
        <v>13.8</v>
      </c>
      <c r="H13" s="496">
        <v>20</v>
      </c>
      <c r="I13" s="496">
        <v>20</v>
      </c>
      <c r="J13" s="497" t="s">
        <v>714</v>
      </c>
      <c r="K13" s="598"/>
    </row>
    <row r="14" spans="1:12" ht="11.25" customHeight="1">
      <c r="A14" s="519" t="s">
        <v>43</v>
      </c>
      <c r="B14" s="520"/>
      <c r="C14" s="520"/>
      <c r="D14" s="520"/>
      <c r="E14" s="521"/>
      <c r="F14" s="522"/>
      <c r="G14" s="523"/>
      <c r="H14" s="524">
        <f>+H8+H9+H10+H11+H12+H13</f>
        <v>156.41</v>
      </c>
      <c r="I14" s="524">
        <f>+I8+I9+I10+I11+I12+I13</f>
        <v>139.18</v>
      </c>
      <c r="J14" s="525"/>
      <c r="K14" s="599"/>
      <c r="L14" s="600"/>
    </row>
    <row r="15" spans="1:12" ht="13.5" customHeight="1">
      <c r="A15" s="748" t="s">
        <v>584</v>
      </c>
      <c r="B15" s="132"/>
      <c r="C15" s="132"/>
      <c r="D15" s="132"/>
      <c r="E15" s="132"/>
      <c r="F15" s="132"/>
      <c r="G15" s="132"/>
      <c r="H15" s="132"/>
      <c r="I15" s="132"/>
      <c r="J15" s="132"/>
      <c r="K15" s="599"/>
    </row>
    <row r="16" spans="1:12" ht="11.25" customHeight="1">
      <c r="A16" s="898"/>
      <c r="B16" s="898"/>
      <c r="C16" s="898"/>
      <c r="D16" s="898"/>
      <c r="E16" s="898"/>
      <c r="F16" s="898"/>
      <c r="G16" s="898"/>
      <c r="H16" s="898"/>
      <c r="I16" s="898"/>
      <c r="J16" s="898"/>
      <c r="K16" s="599"/>
    </row>
    <row r="17" spans="1:13" ht="11.25" customHeight="1">
      <c r="A17" s="440"/>
      <c r="B17" s="440"/>
      <c r="C17" s="440"/>
      <c r="D17" s="440"/>
      <c r="E17" s="440"/>
      <c r="F17" s="440"/>
      <c r="G17" s="440"/>
      <c r="H17" s="440"/>
      <c r="I17" s="440"/>
      <c r="J17" s="440"/>
      <c r="K17" s="599"/>
      <c r="L17" s="46" t="s">
        <v>228</v>
      </c>
      <c r="M17" s="600"/>
    </row>
    <row r="18" spans="1:13" ht="12.75" customHeight="1">
      <c r="A18" s="899"/>
      <c r="B18" s="899"/>
      <c r="C18" s="899"/>
      <c r="D18" s="899"/>
      <c r="E18" s="899"/>
      <c r="F18" s="899"/>
      <c r="G18" s="899"/>
      <c r="H18" s="899"/>
      <c r="I18" s="899"/>
      <c r="J18" s="899"/>
      <c r="K18" s="599"/>
      <c r="L18" s="46" t="s">
        <v>479</v>
      </c>
      <c r="M18" s="600">
        <f>+I8+I9+I10+I12+I13</f>
        <v>131.69999999999999</v>
      </c>
    </row>
    <row r="19" spans="1:13" ht="11.25" customHeight="1">
      <c r="A19" s="899"/>
      <c r="B19" s="899"/>
      <c r="C19" s="899"/>
      <c r="D19" s="899"/>
      <c r="E19" s="899"/>
      <c r="F19" s="899"/>
      <c r="G19" s="899"/>
      <c r="H19" s="899"/>
      <c r="I19" s="899"/>
      <c r="J19" s="899"/>
      <c r="K19" s="599"/>
      <c r="L19" s="46" t="s">
        <v>580</v>
      </c>
      <c r="M19" s="600">
        <v>7.48</v>
      </c>
    </row>
    <row r="20" spans="1:13" ht="15" customHeight="1">
      <c r="A20" s="230"/>
      <c r="B20" s="226"/>
      <c r="C20" s="226"/>
      <c r="D20" s="226"/>
      <c r="E20" s="226"/>
      <c r="F20" s="226"/>
      <c r="G20" s="226"/>
      <c r="H20" s="231"/>
      <c r="I20" s="231"/>
      <c r="J20" s="231"/>
      <c r="K20" s="599"/>
      <c r="L20" s="46" t="s">
        <v>484</v>
      </c>
      <c r="M20" s="46">
        <v>0</v>
      </c>
    </row>
    <row r="21" spans="1:13" ht="11.25" customHeight="1">
      <c r="A21" s="230"/>
      <c r="B21" s="226"/>
      <c r="C21" s="226"/>
      <c r="D21" s="226"/>
      <c r="E21" s="226"/>
      <c r="F21" s="226"/>
      <c r="G21" s="226"/>
      <c r="H21" s="229"/>
      <c r="I21" s="229" t="s">
        <v>8</v>
      </c>
      <c r="J21" s="229"/>
      <c r="K21" s="599"/>
      <c r="L21" s="46" t="s">
        <v>497</v>
      </c>
      <c r="M21" s="46">
        <v>0</v>
      </c>
    </row>
    <row r="22" spans="1:13" ht="11.25" customHeight="1">
      <c r="A22" s="230"/>
      <c r="B22" s="226"/>
      <c r="C22" s="226"/>
      <c r="D22" s="226"/>
      <c r="E22" s="226"/>
      <c r="F22" s="226"/>
      <c r="G22" s="226"/>
      <c r="H22" s="229"/>
      <c r="I22" s="229"/>
      <c r="J22" s="229"/>
      <c r="K22" s="599"/>
    </row>
    <row r="23" spans="1:13" ht="11.25" customHeight="1">
      <c r="A23" s="230"/>
      <c r="B23" s="226"/>
      <c r="C23" s="226"/>
      <c r="D23" s="226"/>
      <c r="E23" s="226"/>
      <c r="F23" s="226"/>
      <c r="G23" s="226"/>
      <c r="H23" s="229"/>
      <c r="I23" s="229"/>
      <c r="J23" s="229"/>
      <c r="K23" s="599"/>
    </row>
    <row r="24" spans="1:13" ht="9" customHeight="1">
      <c r="A24" s="232"/>
      <c r="B24" s="153"/>
      <c r="C24" s="153"/>
      <c r="D24" s="153"/>
      <c r="E24" s="153"/>
      <c r="F24" s="153"/>
      <c r="G24" s="153"/>
      <c r="H24" s="233"/>
      <c r="I24" s="233"/>
      <c r="J24" s="233"/>
      <c r="K24" s="599"/>
    </row>
    <row r="25" spans="1:13" ht="9" customHeight="1">
      <c r="A25" s="234"/>
      <c r="B25" s="176"/>
      <c r="C25" s="176"/>
      <c r="D25" s="138"/>
      <c r="E25" s="138"/>
      <c r="F25" s="138"/>
      <c r="G25" s="138"/>
      <c r="H25" s="226"/>
      <c r="I25" s="226"/>
      <c r="J25" s="226"/>
      <c r="K25" s="599"/>
    </row>
    <row r="26" spans="1:13" ht="9" customHeight="1">
      <c r="A26" s="215"/>
      <c r="B26" s="138"/>
      <c r="C26" s="138"/>
      <c r="D26" s="138"/>
      <c r="E26" s="138"/>
      <c r="F26" s="138"/>
      <c r="G26" s="138"/>
      <c r="H26" s="226"/>
      <c r="I26" s="226"/>
      <c r="J26" s="226"/>
      <c r="K26" s="599"/>
    </row>
    <row r="27" spans="1:13" ht="11.25" customHeight="1">
      <c r="A27" s="215"/>
      <c r="B27" s="138"/>
      <c r="C27" s="138"/>
      <c r="D27" s="138"/>
      <c r="E27" s="138"/>
      <c r="F27" s="138"/>
      <c r="G27" s="138"/>
      <c r="H27" s="226"/>
      <c r="I27" s="226"/>
      <c r="J27" s="226"/>
      <c r="K27" s="599"/>
    </row>
    <row r="28" spans="1:13" ht="11.25" customHeight="1">
      <c r="A28" s="215"/>
      <c r="B28" s="138"/>
      <c r="C28" s="138"/>
      <c r="D28" s="138"/>
      <c r="E28" s="138"/>
      <c r="F28" s="138"/>
      <c r="G28" s="138"/>
      <c r="H28" s="154"/>
      <c r="I28" s="154"/>
      <c r="J28" s="154"/>
      <c r="K28" s="599"/>
    </row>
    <row r="29" spans="1:13" ht="11.25" customHeight="1">
      <c r="A29" s="227"/>
      <c r="B29" s="159"/>
      <c r="C29" s="159"/>
      <c r="D29" s="159"/>
      <c r="E29" s="159"/>
      <c r="F29" s="159"/>
      <c r="G29" s="159"/>
      <c r="H29" s="159"/>
      <c r="I29" s="159"/>
      <c r="J29" s="159"/>
      <c r="K29" s="599"/>
    </row>
    <row r="30" spans="1:13" ht="11.25" customHeight="1">
      <c r="A30" s="226"/>
      <c r="B30" s="138"/>
      <c r="C30" s="138"/>
      <c r="D30" s="138"/>
      <c r="E30" s="138"/>
      <c r="F30" s="138"/>
      <c r="G30" s="138"/>
      <c r="H30" s="138"/>
      <c r="I30" s="138"/>
      <c r="J30" s="138"/>
      <c r="K30" s="599"/>
    </row>
    <row r="31" spans="1:13" ht="11.25" customHeight="1">
      <c r="A31" s="17"/>
      <c r="B31" s="888" t="str">
        <f>"Gráfico 2: Ingreso de Potencia Efectiva por tipo de Recurso Energético y Tecnología en "&amp;'1. Resumen'!Q4&amp;" "&amp;'1. Resumen'!Q5&amp;" (MW)"</f>
        <v>Gráfico 2: Ingreso de Potencia Efectiva por tipo de Recurso Energético y Tecnología en junio 2019 (MW)</v>
      </c>
      <c r="C31" s="888"/>
      <c r="D31" s="888"/>
      <c r="E31" s="888"/>
      <c r="F31" s="888"/>
      <c r="G31" s="888"/>
      <c r="H31" s="888"/>
      <c r="I31" s="888"/>
      <c r="J31" s="888"/>
      <c r="K31" s="888"/>
    </row>
    <row r="32" spans="1:13" ht="27" hidden="1" customHeight="1">
      <c r="B32" s="900"/>
      <c r="C32" s="900"/>
      <c r="D32" s="900"/>
      <c r="E32" s="900"/>
      <c r="F32" s="900"/>
      <c r="G32" s="900"/>
      <c r="H32" s="900"/>
    </row>
    <row r="33" spans="1:15" ht="22.5" customHeight="1">
      <c r="A33" s="17"/>
      <c r="B33" s="17"/>
      <c r="C33" s="17"/>
      <c r="D33" s="17"/>
      <c r="E33" s="17"/>
      <c r="F33" s="17"/>
      <c r="G33" s="17"/>
      <c r="H33" s="17"/>
      <c r="I33" s="17"/>
      <c r="J33" s="17"/>
      <c r="K33" s="599"/>
    </row>
    <row r="34" spans="1:15" ht="11.25" customHeight="1">
      <c r="A34" s="177" t="s">
        <v>448</v>
      </c>
      <c r="B34" s="132"/>
      <c r="C34" s="228"/>
      <c r="D34" s="132"/>
      <c r="E34" s="132"/>
      <c r="F34" s="132"/>
      <c r="G34" s="132"/>
      <c r="H34" s="132"/>
      <c r="I34" s="132"/>
      <c r="J34" s="132"/>
      <c r="K34" s="599"/>
    </row>
    <row r="35" spans="1:15" ht="11.25" customHeight="1">
      <c r="B35" s="132"/>
      <c r="C35" s="228"/>
      <c r="D35" s="132"/>
      <c r="E35" s="132"/>
      <c r="F35" s="132"/>
      <c r="G35" s="132"/>
      <c r="H35" s="132"/>
      <c r="I35" s="132"/>
      <c r="J35" s="132"/>
      <c r="K35" s="599"/>
    </row>
    <row r="36" spans="1:15" ht="21" customHeight="1">
      <c r="B36" s="886" t="s">
        <v>229</v>
      </c>
      <c r="C36" s="887"/>
      <c r="D36" s="526" t="str">
        <f>UPPER('1. Resumen'!Q4)&amp;" "&amp;'1. Resumen'!Q5</f>
        <v>JUNIO 2019</v>
      </c>
      <c r="E36" s="526" t="str">
        <f>UPPER('1. Resumen'!Q4)&amp;" "&amp;'1. Resumen'!Q5-1</f>
        <v>JUNIO 2018</v>
      </c>
      <c r="F36" s="527" t="s">
        <v>231</v>
      </c>
      <c r="G36" s="235"/>
      <c r="H36" s="235"/>
      <c r="I36" s="132"/>
      <c r="J36" s="132"/>
    </row>
    <row r="37" spans="1:15" ht="9.75" customHeight="1">
      <c r="B37" s="890" t="s">
        <v>223</v>
      </c>
      <c r="C37" s="891"/>
      <c r="D37" s="498">
        <f>4996.1492475+86.2+20+20</f>
        <v>5122.3492474999994</v>
      </c>
      <c r="E37" s="499">
        <v>4904.5012475000012</v>
      </c>
      <c r="F37" s="500">
        <f>+D37/E37-1</f>
        <v>4.441797218647725E-2</v>
      </c>
      <c r="G37" s="235"/>
      <c r="H37" s="235"/>
      <c r="I37" s="132"/>
      <c r="J37" s="132"/>
      <c r="K37" s="599"/>
    </row>
    <row r="38" spans="1:15" ht="9.75" customHeight="1">
      <c r="B38" s="892" t="s">
        <v>224</v>
      </c>
      <c r="C38" s="893"/>
      <c r="D38" s="501">
        <f>7395.9645+H11</f>
        <v>7417.6745000000001</v>
      </c>
      <c r="E38" s="502">
        <v>7393.5644999999995</v>
      </c>
      <c r="F38" s="503">
        <f>+D38/E38-1</f>
        <v>3.2609440277420187E-3</v>
      </c>
      <c r="G38" s="236"/>
      <c r="H38" s="236"/>
      <c r="M38" s="601"/>
      <c r="N38" s="601"/>
      <c r="O38" s="602"/>
    </row>
    <row r="39" spans="1:15" ht="9.75" customHeight="1">
      <c r="B39" s="894" t="s">
        <v>225</v>
      </c>
      <c r="C39" s="895"/>
      <c r="D39" s="504">
        <v>375.46</v>
      </c>
      <c r="E39" s="505">
        <v>375.46</v>
      </c>
      <c r="F39" s="506">
        <f>+D39/E39-1</f>
        <v>0</v>
      </c>
      <c r="G39" s="236"/>
      <c r="H39" s="236"/>
    </row>
    <row r="40" spans="1:15" ht="9.75" customHeight="1">
      <c r="B40" s="896" t="s">
        <v>81</v>
      </c>
      <c r="C40" s="897"/>
      <c r="D40" s="507">
        <v>285.02</v>
      </c>
      <c r="E40" s="508">
        <v>285.02</v>
      </c>
      <c r="F40" s="509">
        <f>+D40/E40-1</f>
        <v>0</v>
      </c>
      <c r="G40" s="236"/>
      <c r="H40" s="236"/>
    </row>
    <row r="41" spans="1:15" ht="10.5" customHeight="1">
      <c r="B41" s="884" t="s">
        <v>202</v>
      </c>
      <c r="C41" s="885"/>
      <c r="D41" s="510">
        <f>+D37+D38+D39+D40</f>
        <v>13200.503747499999</v>
      </c>
      <c r="E41" s="511">
        <v>12958.5457475</v>
      </c>
      <c r="F41" s="512">
        <f>+D41/E41-1</f>
        <v>1.8671693931911815E-2</v>
      </c>
      <c r="G41" s="439"/>
      <c r="H41" s="236"/>
    </row>
    <row r="42" spans="1:15" ht="11.25" customHeight="1">
      <c r="B42" s="278" t="str">
        <f>"Cuadro N° 2: Comparación de la potencia instalada en el SEIN al término de "&amp;'1. Resumen'!Q4&amp;" "&amp;'1. Resumen'!Q5-1&amp;" y "&amp;'1. Resumen'!Q4&amp;" "&amp;'1. Resumen'!Q5</f>
        <v>Cuadro N° 2: Comparación de la potencia instalada en el SEIN al término de junio 2018 y junio 2019</v>
      </c>
      <c r="C42" s="235"/>
      <c r="D42" s="235"/>
      <c r="E42" s="235"/>
      <c r="F42" s="235"/>
      <c r="G42" s="235"/>
      <c r="H42" s="235"/>
      <c r="I42" s="132"/>
      <c r="J42" s="132"/>
      <c r="K42" s="599"/>
    </row>
    <row r="43" spans="1:15" ht="14.25" customHeight="1">
      <c r="B43" s="278"/>
      <c r="C43" s="235"/>
      <c r="D43" s="235"/>
      <c r="E43" s="235"/>
      <c r="F43" s="235"/>
      <c r="G43" s="235"/>
      <c r="H43" s="235"/>
      <c r="I43" s="132"/>
      <c r="J43" s="132"/>
      <c r="K43" s="599"/>
    </row>
    <row r="44" spans="1:15" ht="9" customHeight="1">
      <c r="B44" s="278"/>
      <c r="C44" s="235"/>
      <c r="D44" s="235"/>
      <c r="E44" s="235"/>
      <c r="F44" s="235"/>
      <c r="G44" s="235"/>
      <c r="H44" s="235"/>
      <c r="I44" s="132"/>
      <c r="J44" s="132"/>
      <c r="K44" s="599"/>
    </row>
    <row r="45" spans="1:15" ht="25.5" customHeight="1">
      <c r="B45" s="278"/>
      <c r="C45" s="235"/>
      <c r="D45" s="235"/>
      <c r="E45" s="235"/>
      <c r="F45" s="235"/>
      <c r="G45" s="235"/>
      <c r="H45" s="235"/>
      <c r="I45" s="132"/>
      <c r="J45" s="132"/>
      <c r="K45" s="599"/>
    </row>
    <row r="46" spans="1:15" ht="11.25" customHeight="1">
      <c r="B46" s="278"/>
      <c r="C46" s="235"/>
      <c r="D46" s="235"/>
      <c r="E46" s="235"/>
      <c r="F46" s="235"/>
      <c r="G46" s="235"/>
      <c r="H46" s="235"/>
      <c r="I46" s="132"/>
      <c r="J46" s="132"/>
      <c r="K46" s="599"/>
    </row>
    <row r="47" spans="1:15" ht="11.25" customHeight="1">
      <c r="A47" s="132"/>
      <c r="C47" s="236"/>
      <c r="D47" s="235"/>
      <c r="E47" s="235"/>
      <c r="F47" s="235"/>
      <c r="G47" s="235"/>
      <c r="H47" s="235"/>
      <c r="I47" s="132"/>
      <c r="J47" s="132"/>
      <c r="K47" s="599"/>
    </row>
    <row r="48" spans="1:15" ht="11.25" customHeight="1">
      <c r="A48" s="132"/>
      <c r="B48" s="132"/>
      <c r="C48" s="132"/>
      <c r="D48" s="132"/>
      <c r="E48" s="132"/>
      <c r="F48" s="132"/>
      <c r="G48" s="132"/>
      <c r="H48" s="132"/>
      <c r="I48" s="132"/>
      <c r="J48" s="132"/>
      <c r="K48" s="599"/>
    </row>
    <row r="49" spans="1:11" ht="11.25" customHeight="1">
      <c r="A49" s="132"/>
      <c r="B49" s="132"/>
      <c r="C49" s="132"/>
      <c r="D49" s="132"/>
      <c r="E49" s="132"/>
      <c r="F49" s="132"/>
      <c r="G49" s="132"/>
      <c r="H49" s="132"/>
      <c r="I49" s="132"/>
      <c r="J49" s="132"/>
      <c r="K49" s="599"/>
    </row>
    <row r="50" spans="1:11">
      <c r="A50" s="137"/>
      <c r="B50" s="132"/>
      <c r="C50" s="132"/>
      <c r="D50" s="132"/>
      <c r="E50" s="132"/>
      <c r="F50" s="132"/>
      <c r="G50" s="132"/>
      <c r="H50" s="132"/>
      <c r="I50" s="132"/>
      <c r="J50" s="132"/>
    </row>
    <row r="51" spans="1:11">
      <c r="A51" s="132"/>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ht="13.5" customHeight="1">
      <c r="A55" s="132"/>
      <c r="B55" s="132"/>
      <c r="C55" s="132"/>
      <c r="D55" s="132"/>
      <c r="E55" s="132"/>
      <c r="F55" s="132"/>
      <c r="G55" s="132"/>
      <c r="H55" s="132"/>
      <c r="I55" s="132"/>
      <c r="J55" s="132"/>
    </row>
    <row r="56" spans="1:11" ht="19.5" customHeight="1">
      <c r="A56" s="132"/>
      <c r="B56" s="132"/>
      <c r="C56" s="132"/>
      <c r="D56" s="132"/>
      <c r="E56" s="132"/>
      <c r="F56" s="132"/>
      <c r="G56" s="132"/>
      <c r="H56" s="132"/>
      <c r="I56" s="132"/>
      <c r="J56" s="132"/>
    </row>
    <row r="57" spans="1:11" ht="35.25" customHeight="1">
      <c r="A57" s="438" t="str">
        <f>"Gráfico N° 3: Comparación de la potencia instalada en el SEIN al término de "&amp;'1. Resumen'!Q4&amp;" "&amp;'1. Resumen'!Q5-1&amp;" y "&amp;'1. Resumen'!Q4&amp;" "&amp;'1. Resumen'!Q5</f>
        <v>Gráfico N° 3: Comparación de la potencia instalada en el SEIN al término de junio 2018 y junio 2019</v>
      </c>
      <c r="C57" s="132"/>
      <c r="D57" s="132"/>
      <c r="E57" s="132"/>
      <c r="F57" s="132"/>
      <c r="G57" s="132"/>
      <c r="H57" s="132"/>
      <c r="I57" s="132"/>
      <c r="J57" s="132"/>
    </row>
  </sheetData>
  <mergeCells count="12">
    <mergeCell ref="B41:C41"/>
    <mergeCell ref="B36:C36"/>
    <mergeCell ref="B31:K31"/>
    <mergeCell ref="A2:J2"/>
    <mergeCell ref="B37:C37"/>
    <mergeCell ref="B38:C38"/>
    <mergeCell ref="B39:C39"/>
    <mergeCell ref="B40:C40"/>
    <mergeCell ref="A16:J16"/>
    <mergeCell ref="A18:J18"/>
    <mergeCell ref="B32:H32"/>
    <mergeCell ref="A19:J19"/>
  </mergeCells>
  <conditionalFormatting sqref="A22:A24">
    <cfRule type="containsText" dxfId="6" priority="5" stopIfTrue="1" operator="containsText" text=" 0%">
      <formula>NOT(ISERROR(SEARCH(" 0%",A22)))</formula>
    </cfRule>
    <cfRule type="containsText" dxfId="5" priority="6" stopIfTrue="1" operator="containsText" text="0.0%">
      <formula>NOT(ISERROR(SEARCH("0.0%",A22)))</formula>
    </cfRule>
  </conditionalFormatting>
  <conditionalFormatting sqref="A20">
    <cfRule type="containsText" dxfId="4" priority="3" stopIfTrue="1" operator="containsText" text=" 0%">
      <formula>NOT(ISERROR(SEARCH(" 0%",A20)))</formula>
    </cfRule>
    <cfRule type="containsText" dxfId="3" priority="4" stopIfTrue="1" operator="containsText" text="0.0%">
      <formula>NOT(ISERROR(SEARCH("0.0%",A20)))</formula>
    </cfRule>
  </conditionalFormatting>
  <conditionalFormatting sqref="A21">
    <cfRule type="containsText" dxfId="2" priority="1" stopIfTrue="1" operator="containsText" text=" 0%">
      <formula>NOT(ISERROR(SEARCH(" 0%",A21)))</formula>
    </cfRule>
    <cfRule type="containsText" dxfId="1" priority="2" stopIfTrue="1" operator="containsText" text="0.0%">
      <formula>NOT(ISERROR(SEARCH("0.0%",A21)))</formula>
    </cfRule>
  </conditionalFormatting>
  <pageMargins left="0.70866141732283472" right="0.59055118110236227"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7A5"/>
  </sheetPr>
  <dimension ref="A1:K69"/>
  <sheetViews>
    <sheetView showGridLines="0" view="pageBreakPreview" topLeftCell="B1" zoomScale="115" zoomScaleNormal="100" zoomScaleSheetLayoutView="115" zoomScalePageLayoutView="145" workbookViewId="0">
      <selection activeCell="C12" sqref="C12"/>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05" t="s">
        <v>233</v>
      </c>
      <c r="B2" s="905"/>
      <c r="C2" s="905"/>
      <c r="D2" s="905"/>
      <c r="E2" s="905"/>
      <c r="F2" s="905"/>
      <c r="G2" s="905"/>
      <c r="H2" s="905"/>
      <c r="I2" s="905"/>
      <c r="J2" s="905"/>
      <c r="K2" s="905"/>
    </row>
    <row r="3" spans="1:11" ht="11.25" customHeight="1">
      <c r="A3" s="83"/>
      <c r="B3" s="84"/>
      <c r="C3" s="85"/>
      <c r="D3" s="86"/>
      <c r="E3" s="86"/>
      <c r="F3" s="86"/>
      <c r="G3" s="86"/>
      <c r="H3" s="83"/>
      <c r="I3" s="83"/>
      <c r="J3" s="83"/>
      <c r="K3" s="87"/>
    </row>
    <row r="4" spans="1:11" ht="11.25" customHeight="1">
      <c r="A4" s="906" t="str">
        <f>+"3.1. PRODUCCIÓN POR TIPO DE GENERACIÓN (GWh)"</f>
        <v>3.1. PRODUCCIÓN POR TIPO DE GENERACIÓN (GWh)</v>
      </c>
      <c r="B4" s="906"/>
      <c r="C4" s="906"/>
      <c r="D4" s="906"/>
      <c r="E4" s="906"/>
      <c r="F4" s="906"/>
      <c r="G4" s="906"/>
      <c r="H4" s="906"/>
      <c r="I4" s="906"/>
      <c r="J4" s="906"/>
      <c r="K4" s="906"/>
    </row>
    <row r="5" spans="1:11" ht="11.25" customHeight="1">
      <c r="A5" s="54"/>
      <c r="B5" s="88"/>
      <c r="C5" s="89"/>
      <c r="D5" s="90"/>
      <c r="E5" s="90"/>
      <c r="F5" s="90"/>
      <c r="G5" s="90"/>
      <c r="H5" s="91"/>
      <c r="I5" s="83"/>
      <c r="J5" s="83"/>
      <c r="K5" s="92"/>
    </row>
    <row r="6" spans="1:11" ht="18" customHeight="1">
      <c r="A6" s="903" t="s">
        <v>32</v>
      </c>
      <c r="B6" s="907" t="s">
        <v>33</v>
      </c>
      <c r="C6" s="908"/>
      <c r="D6" s="908"/>
      <c r="E6" s="908" t="s">
        <v>34</v>
      </c>
      <c r="F6" s="908"/>
      <c r="G6" s="909" t="str">
        <f>"Generación Acumulada a "&amp;'1. Resumen'!Q4</f>
        <v>Generación Acumulada a junio</v>
      </c>
      <c r="H6" s="909"/>
      <c r="I6" s="909"/>
      <c r="J6" s="909"/>
      <c r="K6" s="910"/>
    </row>
    <row r="7" spans="1:11" ht="32.25" customHeight="1">
      <c r="A7" s="904"/>
      <c r="B7" s="528">
        <f>+C7-30</f>
        <v>43559</v>
      </c>
      <c r="C7" s="528">
        <f>+D7-28</f>
        <v>43589</v>
      </c>
      <c r="D7" s="528">
        <f>+'1. Resumen'!Q6</f>
        <v>43617</v>
      </c>
      <c r="E7" s="528">
        <f>+D7-365</f>
        <v>43252</v>
      </c>
      <c r="F7" s="529" t="s">
        <v>35</v>
      </c>
      <c r="G7" s="530">
        <v>2019</v>
      </c>
      <c r="H7" s="530">
        <v>2018</v>
      </c>
      <c r="I7" s="529" t="s">
        <v>512</v>
      </c>
      <c r="J7" s="530">
        <v>2017</v>
      </c>
      <c r="K7" s="531" t="s">
        <v>42</v>
      </c>
    </row>
    <row r="8" spans="1:11" ht="15" customHeight="1">
      <c r="A8" s="116" t="s">
        <v>36</v>
      </c>
      <c r="B8" s="376">
        <v>3060.2298516575011</v>
      </c>
      <c r="C8" s="372">
        <v>2777.6083443199996</v>
      </c>
      <c r="D8" s="377">
        <v>2126.5101631349999</v>
      </c>
      <c r="E8" s="376">
        <v>2113.6878663949992</v>
      </c>
      <c r="F8" s="244">
        <f>IF(E8=0,"",D8/E8-1)</f>
        <v>6.0663151564899209E-3</v>
      </c>
      <c r="G8" s="384">
        <v>16593.078632462508</v>
      </c>
      <c r="H8" s="372">
        <v>16327.994869525002</v>
      </c>
      <c r="I8" s="248">
        <f>IF(H8=0,"",G8/H8-1)</f>
        <v>1.6234924438411236E-2</v>
      </c>
      <c r="J8" s="376">
        <v>15387.938461877231</v>
      </c>
      <c r="K8" s="244">
        <f t="shared" ref="K8:K15" si="0">IF(J8=0,"",H8/J8-1)</f>
        <v>6.109047095403386E-2</v>
      </c>
    </row>
    <row r="9" spans="1:11" ht="15" customHeight="1">
      <c r="A9" s="117" t="s">
        <v>37</v>
      </c>
      <c r="B9" s="378">
        <v>1079.4286191500005</v>
      </c>
      <c r="C9" s="254">
        <v>1507.6794595724996</v>
      </c>
      <c r="D9" s="379">
        <v>1962.1936843125006</v>
      </c>
      <c r="E9" s="378">
        <v>1845.9351711024997</v>
      </c>
      <c r="F9" s="245">
        <f t="shared" ref="F9:F15" si="1">IF(E9=0,"",D9/E9-1)</f>
        <v>6.2980821336517723E-2</v>
      </c>
      <c r="G9" s="385">
        <v>8618.5820859150026</v>
      </c>
      <c r="H9" s="254">
        <v>7804.0830211675002</v>
      </c>
      <c r="I9" s="249">
        <f t="shared" ref="I9:I15" si="2">IF(H9=0,"",G9/H9-1)</f>
        <v>0.10436832393226547</v>
      </c>
      <c r="J9" s="378">
        <v>8462.2872637061064</v>
      </c>
      <c r="K9" s="245">
        <f t="shared" si="0"/>
        <v>-7.7780890913686895E-2</v>
      </c>
    </row>
    <row r="10" spans="1:11" ht="15" customHeight="1">
      <c r="A10" s="118" t="s">
        <v>38</v>
      </c>
      <c r="B10" s="380">
        <v>149.55215619499998</v>
      </c>
      <c r="C10" s="255">
        <v>142.54842389999999</v>
      </c>
      <c r="D10" s="381">
        <v>147.78231510000001</v>
      </c>
      <c r="E10" s="380">
        <v>128.59335152</v>
      </c>
      <c r="F10" s="246">
        <f>IF(E10=0,"",D10/E10-1)</f>
        <v>0.14922205038738379</v>
      </c>
      <c r="G10" s="386">
        <v>795.12044744499997</v>
      </c>
      <c r="H10" s="255">
        <v>658.58462278000013</v>
      </c>
      <c r="I10" s="250">
        <f t="shared" si="2"/>
        <v>0.20731705530666411</v>
      </c>
      <c r="J10" s="380">
        <v>459.83840211906772</v>
      </c>
      <c r="K10" s="246">
        <f t="shared" si="0"/>
        <v>0.43220883628912388</v>
      </c>
    </row>
    <row r="11" spans="1:11" ht="15" customHeight="1">
      <c r="A11" s="117" t="s">
        <v>30</v>
      </c>
      <c r="B11" s="378">
        <v>57.145218970000002</v>
      </c>
      <c r="C11" s="254">
        <v>57.417002814999996</v>
      </c>
      <c r="D11" s="379">
        <v>52.871938625000006</v>
      </c>
      <c r="E11" s="378">
        <v>46.704256437499993</v>
      </c>
      <c r="F11" s="245">
        <f>IF(E11=0,"",D11/E11-1)</f>
        <v>0.13205824603489091</v>
      </c>
      <c r="G11" s="385">
        <v>341.36199789999995</v>
      </c>
      <c r="H11" s="254">
        <v>330.79512248999998</v>
      </c>
      <c r="I11" s="249">
        <f t="shared" si="2"/>
        <v>3.1943867039089691E-2</v>
      </c>
      <c r="J11" s="378">
        <v>105.26838385322201</v>
      </c>
      <c r="K11" s="245">
        <f t="shared" si="0"/>
        <v>2.1423976542779912</v>
      </c>
    </row>
    <row r="12" spans="1:11" ht="15" customHeight="1">
      <c r="A12" s="145" t="s">
        <v>43</v>
      </c>
      <c r="B12" s="382">
        <f>+SUM(B8:B11)</f>
        <v>4346.3558459725018</v>
      </c>
      <c r="C12" s="373">
        <f t="shared" ref="C12:E12" si="3">+SUM(C8:C11)</f>
        <v>4485.2532306074991</v>
      </c>
      <c r="D12" s="383">
        <f t="shared" si="3"/>
        <v>4289.3581011725009</v>
      </c>
      <c r="E12" s="382">
        <f t="shared" si="3"/>
        <v>4134.9206454549985</v>
      </c>
      <c r="F12" s="247">
        <f>IF(E12=0,"",D12/E12-1)</f>
        <v>3.7349557333647088E-2</v>
      </c>
      <c r="G12" s="382">
        <f t="shared" ref="G12:J12" si="4">+SUM(G8:G11)</f>
        <v>26348.143163722511</v>
      </c>
      <c r="H12" s="373">
        <f t="shared" si="4"/>
        <v>25121.457635962503</v>
      </c>
      <c r="I12" s="251">
        <f>IF(H12=0,"",G12/H12-1)</f>
        <v>4.8830189136953361E-2</v>
      </c>
      <c r="J12" s="382">
        <f t="shared" si="4"/>
        <v>24415.332511555629</v>
      </c>
      <c r="K12" s="247">
        <f t="shared" si="0"/>
        <v>2.8921380614933989E-2</v>
      </c>
    </row>
    <row r="13" spans="1:11" ht="15" customHeight="1">
      <c r="A13" s="112"/>
      <c r="B13" s="112"/>
      <c r="C13" s="112"/>
      <c r="D13" s="112"/>
      <c r="E13" s="112"/>
      <c r="F13" s="114"/>
      <c r="G13" s="112"/>
      <c r="H13" s="112"/>
      <c r="I13" s="114"/>
      <c r="J13" s="113"/>
      <c r="K13" s="114" t="str">
        <f t="shared" si="0"/>
        <v/>
      </c>
    </row>
    <row r="14" spans="1:11" ht="15" customHeight="1">
      <c r="A14" s="119" t="s">
        <v>39</v>
      </c>
      <c r="B14" s="242">
        <v>1.7209132399999998</v>
      </c>
      <c r="C14" s="243">
        <v>10.66193083000001</v>
      </c>
      <c r="D14" s="375">
        <v>17.062013390000004</v>
      </c>
      <c r="E14" s="242">
        <v>1.7041230000000001</v>
      </c>
      <c r="F14" s="120">
        <f t="shared" si="1"/>
        <v>9.0121959447762894</v>
      </c>
      <c r="G14" s="242">
        <v>29.997176460000013</v>
      </c>
      <c r="H14" s="243">
        <v>3.8248099999999994</v>
      </c>
      <c r="I14" s="123">
        <f t="shared" si="2"/>
        <v>6.8427886509395286</v>
      </c>
      <c r="J14" s="242">
        <v>12.953248</v>
      </c>
      <c r="K14" s="120">
        <f t="shared" si="0"/>
        <v>-0.70472193537867889</v>
      </c>
    </row>
    <row r="15" spans="1:11" ht="15" customHeight="1">
      <c r="A15" s="118" t="s">
        <v>40</v>
      </c>
      <c r="B15" s="239">
        <v>0</v>
      </c>
      <c r="C15" s="240">
        <v>0</v>
      </c>
      <c r="D15" s="241">
        <v>0</v>
      </c>
      <c r="E15" s="239">
        <v>0</v>
      </c>
      <c r="F15" s="121" t="str">
        <f t="shared" si="1"/>
        <v/>
      </c>
      <c r="G15" s="239">
        <v>0</v>
      </c>
      <c r="H15" s="240">
        <v>0</v>
      </c>
      <c r="I15" s="115" t="str">
        <f t="shared" si="2"/>
        <v/>
      </c>
      <c r="J15" s="239">
        <v>0</v>
      </c>
      <c r="K15" s="121" t="str">
        <f t="shared" si="0"/>
        <v/>
      </c>
    </row>
    <row r="16" spans="1:11" ht="23.25" customHeight="1">
      <c r="A16" s="125" t="s">
        <v>41</v>
      </c>
      <c r="B16" s="252">
        <v>0</v>
      </c>
      <c r="C16" s="253">
        <v>0</v>
      </c>
      <c r="D16" s="444">
        <v>0</v>
      </c>
      <c r="E16" s="252">
        <v>0</v>
      </c>
      <c r="F16" s="122"/>
      <c r="G16" s="252">
        <v>0</v>
      </c>
      <c r="H16" s="253">
        <v>0</v>
      </c>
      <c r="I16" s="124"/>
      <c r="J16" s="252">
        <v>0</v>
      </c>
      <c r="K16" s="122"/>
    </row>
    <row r="17" spans="1:11" ht="11.25" customHeight="1">
      <c r="A17" s="238" t="s">
        <v>232</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01"/>
      <c r="C42" s="901"/>
      <c r="D42" s="901"/>
      <c r="E42" s="93"/>
      <c r="F42" s="93"/>
      <c r="G42" s="902"/>
      <c r="H42" s="902"/>
      <c r="I42" s="902"/>
      <c r="J42" s="902"/>
      <c r="K42" s="902"/>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8" t="str">
        <f>"Gráfico N° 4: Comparación de la producción de energía eléctrica por tipo de generación acumulada a "&amp;'1. Resumen'!Q4</f>
        <v>Gráfico N° 4: Comparación de la producción de energía eléctrica por tipo de generación acumulada a junio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4311417322834645" bottom="0.62992125984251968" header="0.31496062992125984" footer="0.31496062992125984"/>
  <pageSetup paperSize="9" scale="89" orientation="portrait" r:id="rId1"/>
  <headerFooter>
    <oddHeader>&amp;R&amp;7Informe de la Operación Mensual - Junio 2019
INFSGI-MES-06-2019
10/07/2019
Versión: 01</oddHeader>
    <oddFooter>&amp;L&amp;7COES, 2019&amp;C3&amp;R&amp;7Dirección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7A5"/>
  </sheetPr>
  <dimension ref="A1:L63"/>
  <sheetViews>
    <sheetView showGridLines="0" view="pageBreakPreview" zoomScale="115" zoomScaleNormal="100" zoomScaleSheetLayoutView="115" zoomScalePageLayoutView="145" workbookViewId="0">
      <selection activeCell="C12" sqref="C12"/>
    </sheetView>
  </sheetViews>
  <sheetFormatPr defaultColWidth="9.33203125" defaultRowHeight="11.25"/>
  <cols>
    <col min="1" max="1" width="15.1640625" customWidth="1"/>
    <col min="2" max="2" width="12.33203125" customWidth="1"/>
    <col min="3" max="3" width="11.6640625" customWidth="1"/>
    <col min="4" max="4" width="11.33203125" customWidth="1"/>
    <col min="5" max="5" width="9.83203125" customWidth="1"/>
    <col min="6" max="6" width="10.5" customWidth="1"/>
    <col min="7" max="7" width="10.83203125" customWidth="1"/>
    <col min="8" max="8" width="10.5" bestFit="1" customWidth="1"/>
    <col min="9" max="9" width="9.5" bestFit="1" customWidth="1"/>
    <col min="10" max="10" width="9.83203125" customWidth="1"/>
    <col min="11" max="11" width="9.33203125" customWidth="1"/>
  </cols>
  <sheetData>
    <row r="1" spans="1:12" ht="11.25" customHeight="1"/>
    <row r="2" spans="1:12" ht="11.25" customHeight="1">
      <c r="A2" s="911" t="str">
        <f>+"3.2. PRODUCCIÓN POR TIPO DE RECURSO ENERGÉTICO (GWh)"</f>
        <v>3.2. PRODUCCIÓN POR TIPO DE RECURSO ENERGÉTICO (GWh)</v>
      </c>
      <c r="B2" s="911"/>
      <c r="C2" s="911"/>
      <c r="D2" s="911"/>
      <c r="E2" s="911"/>
      <c r="F2" s="911"/>
      <c r="G2" s="911"/>
      <c r="H2" s="911"/>
      <c r="I2" s="911"/>
      <c r="J2" s="911"/>
      <c r="K2" s="911"/>
    </row>
    <row r="3" spans="1:12" ht="18.75" customHeight="1">
      <c r="A3" s="126"/>
      <c r="B3" s="127"/>
      <c r="C3" s="128"/>
      <c r="D3" s="129"/>
      <c r="E3" s="129"/>
      <c r="F3" s="129"/>
      <c r="G3" s="130"/>
      <c r="H3" s="130"/>
      <c r="I3" s="130"/>
      <c r="J3" s="126"/>
      <c r="K3" s="126"/>
      <c r="L3" s="36"/>
    </row>
    <row r="4" spans="1:12" ht="14.25" customHeight="1">
      <c r="A4" s="915" t="s">
        <v>44</v>
      </c>
      <c r="B4" s="912" t="s">
        <v>33</v>
      </c>
      <c r="C4" s="913"/>
      <c r="D4" s="913"/>
      <c r="E4" s="913" t="s">
        <v>34</v>
      </c>
      <c r="F4" s="913"/>
      <c r="G4" s="914" t="str">
        <f>+'3. Tipo Generación'!G6:K6</f>
        <v>Generación Acumulada a junio</v>
      </c>
      <c r="H4" s="914"/>
      <c r="I4" s="914"/>
      <c r="J4" s="914"/>
      <c r="K4" s="914"/>
      <c r="L4" s="131"/>
    </row>
    <row r="5" spans="1:12" ht="26.25" customHeight="1">
      <c r="A5" s="915"/>
      <c r="B5" s="532">
        <f>+'3. Tipo Generación'!B7</f>
        <v>43559</v>
      </c>
      <c r="C5" s="532">
        <f>+'3. Tipo Generación'!C7</f>
        <v>43589</v>
      </c>
      <c r="D5" s="532">
        <f>+'3. Tipo Generación'!D7</f>
        <v>43617</v>
      </c>
      <c r="E5" s="532">
        <f>+'3. Tipo Generación'!E7</f>
        <v>43252</v>
      </c>
      <c r="F5" s="533" t="s">
        <v>35</v>
      </c>
      <c r="G5" s="534">
        <v>2019</v>
      </c>
      <c r="H5" s="534">
        <v>2018</v>
      </c>
      <c r="I5" s="533" t="s">
        <v>512</v>
      </c>
      <c r="J5" s="534">
        <v>2017</v>
      </c>
      <c r="K5" s="533" t="s">
        <v>42</v>
      </c>
      <c r="L5" s="19"/>
    </row>
    <row r="6" spans="1:12" ht="11.25" customHeight="1">
      <c r="A6" s="139" t="s">
        <v>45</v>
      </c>
      <c r="B6" s="312">
        <v>3060.2298516575011</v>
      </c>
      <c r="C6" s="313">
        <v>2777.6083443199996</v>
      </c>
      <c r="D6" s="314">
        <v>2126.5101631349999</v>
      </c>
      <c r="E6" s="312">
        <v>2113.6878663949992</v>
      </c>
      <c r="F6" s="259">
        <f>IF(E6=0,"",D6/E6-1)</f>
        <v>6.0663151564899209E-3</v>
      </c>
      <c r="G6" s="312">
        <v>16593.078632462508</v>
      </c>
      <c r="H6" s="313">
        <v>16327.994869525002</v>
      </c>
      <c r="I6" s="259">
        <f t="shared" ref="I6:I16" si="0">IF(H6=0,"",G6/H6-1)</f>
        <v>1.6234924438411236E-2</v>
      </c>
      <c r="J6" s="312">
        <v>15387.938461877231</v>
      </c>
      <c r="K6" s="259">
        <f>IF(J6=0,"",H6/J6-1)</f>
        <v>6.109047095403386E-2</v>
      </c>
      <c r="L6" s="24"/>
    </row>
    <row r="7" spans="1:12" ht="11.25" customHeight="1">
      <c r="A7" s="140" t="s">
        <v>51</v>
      </c>
      <c r="B7" s="315">
        <v>1011.1389745425004</v>
      </c>
      <c r="C7" s="254">
        <v>1393.3012263924998</v>
      </c>
      <c r="D7" s="316">
        <v>1853.0653860300004</v>
      </c>
      <c r="E7" s="315">
        <v>1774.6731730524998</v>
      </c>
      <c r="F7" s="260">
        <f t="shared" ref="F7:F18" si="1">IF(E7=0,"",D7/E7-1)</f>
        <v>4.4172760465333027E-2</v>
      </c>
      <c r="G7" s="315">
        <v>7996.0885491945328</v>
      </c>
      <c r="H7" s="254">
        <v>7316.9316987624998</v>
      </c>
      <c r="I7" s="260">
        <f t="shared" si="0"/>
        <v>9.2819897518914507E-2</v>
      </c>
      <c r="J7" s="315">
        <v>7437.7464964669171</v>
      </c>
      <c r="K7" s="260">
        <f t="shared" ref="K7:K19" si="2">IF(J7=0,"",H7/J7-1)</f>
        <v>-1.6243468066813871E-2</v>
      </c>
      <c r="L7" s="22"/>
    </row>
    <row r="8" spans="1:12" ht="11.25" customHeight="1">
      <c r="A8" s="141" t="s">
        <v>52</v>
      </c>
      <c r="B8" s="317">
        <v>8.122530682499999</v>
      </c>
      <c r="C8" s="255">
        <v>59.229149825</v>
      </c>
      <c r="D8" s="318">
        <v>58.869007142500003</v>
      </c>
      <c r="E8" s="317">
        <v>32.5163646675</v>
      </c>
      <c r="F8" s="442">
        <f t="shared" si="1"/>
        <v>0.81044245703577622</v>
      </c>
      <c r="G8" s="317">
        <v>250.84280231499991</v>
      </c>
      <c r="H8" s="255">
        <v>220.17485597750002</v>
      </c>
      <c r="I8" s="442">
        <f t="shared" si="0"/>
        <v>0.13928904915752005</v>
      </c>
      <c r="J8" s="317">
        <v>178.84415006186688</v>
      </c>
      <c r="K8" s="442">
        <f t="shared" si="2"/>
        <v>0.23109900939636963</v>
      </c>
      <c r="L8" s="22"/>
    </row>
    <row r="9" spans="1:12" ht="11.25" customHeight="1">
      <c r="A9" s="140" t="s">
        <v>53</v>
      </c>
      <c r="B9" s="315">
        <v>8.1657539974999995</v>
      </c>
      <c r="C9" s="254">
        <v>31.384223532500002</v>
      </c>
      <c r="D9" s="316">
        <v>22.282443610000001</v>
      </c>
      <c r="E9" s="315">
        <v>21.7707488225</v>
      </c>
      <c r="F9" s="260">
        <f t="shared" si="1"/>
        <v>2.3503775256970894E-2</v>
      </c>
      <c r="G9" s="315">
        <v>107.077483865</v>
      </c>
      <c r="H9" s="254">
        <v>113.07860665000001</v>
      </c>
      <c r="I9" s="260">
        <f t="shared" si="0"/>
        <v>-5.3070363730025716E-2</v>
      </c>
      <c r="J9" s="315">
        <v>41.372165856152698</v>
      </c>
      <c r="K9" s="260">
        <f t="shared" si="2"/>
        <v>1.733204905036013</v>
      </c>
      <c r="L9" s="22"/>
    </row>
    <row r="10" spans="1:12" ht="11.25" customHeight="1">
      <c r="A10" s="141" t="s">
        <v>54</v>
      </c>
      <c r="B10" s="317">
        <v>0</v>
      </c>
      <c r="C10" s="255">
        <v>0</v>
      </c>
      <c r="D10" s="318">
        <v>0</v>
      </c>
      <c r="E10" s="317">
        <v>0</v>
      </c>
      <c r="F10" s="442" t="str">
        <f t="shared" si="1"/>
        <v/>
      </c>
      <c r="G10" s="317">
        <v>0</v>
      </c>
      <c r="H10" s="255">
        <v>0</v>
      </c>
      <c r="I10" s="442" t="str">
        <f t="shared" si="0"/>
        <v/>
      </c>
      <c r="J10" s="317">
        <v>9.7034091828799998</v>
      </c>
      <c r="K10" s="442">
        <f t="shared" si="2"/>
        <v>-1</v>
      </c>
      <c r="L10" s="22"/>
    </row>
    <row r="11" spans="1:12" ht="11.25" customHeight="1">
      <c r="A11" s="140" t="s">
        <v>26</v>
      </c>
      <c r="B11" s="315">
        <v>0</v>
      </c>
      <c r="C11" s="254">
        <v>0</v>
      </c>
      <c r="D11" s="316">
        <v>0</v>
      </c>
      <c r="E11" s="315">
        <v>0</v>
      </c>
      <c r="F11" s="260" t="str">
        <f t="shared" si="1"/>
        <v/>
      </c>
      <c r="G11" s="315">
        <v>18.283256609999999</v>
      </c>
      <c r="H11" s="254">
        <v>26.9015129625</v>
      </c>
      <c r="I11" s="260">
        <f t="shared" si="0"/>
        <v>-0.32036325854659642</v>
      </c>
      <c r="J11" s="315">
        <v>370.53524402526688</v>
      </c>
      <c r="K11" s="260">
        <f t="shared" si="2"/>
        <v>-0.92739823432109048</v>
      </c>
      <c r="L11" s="24"/>
    </row>
    <row r="12" spans="1:12" ht="11.25" customHeight="1">
      <c r="A12" s="141" t="s">
        <v>46</v>
      </c>
      <c r="B12" s="317">
        <v>1.2593354225</v>
      </c>
      <c r="C12" s="255">
        <v>3.7172728724999997</v>
      </c>
      <c r="D12" s="318">
        <v>0.26427637249999997</v>
      </c>
      <c r="E12" s="317">
        <v>0</v>
      </c>
      <c r="F12" s="442" t="str">
        <f t="shared" si="1"/>
        <v/>
      </c>
      <c r="G12" s="317">
        <v>41.949142722499985</v>
      </c>
      <c r="H12" s="255">
        <v>1.8026657475000003</v>
      </c>
      <c r="I12" s="442">
        <f t="shared" si="0"/>
        <v>22.270616186431965</v>
      </c>
      <c r="J12" s="317">
        <v>70.548883690095323</v>
      </c>
      <c r="K12" s="442">
        <f t="shared" si="2"/>
        <v>-0.9744479904824761</v>
      </c>
      <c r="L12" s="22"/>
    </row>
    <row r="13" spans="1:12" ht="11.25" customHeight="1">
      <c r="A13" s="140" t="s">
        <v>47</v>
      </c>
      <c r="B13" s="315">
        <v>0</v>
      </c>
      <c r="C13" s="254">
        <v>0</v>
      </c>
      <c r="D13" s="316">
        <v>2.4911477500000001E-2</v>
      </c>
      <c r="E13" s="315">
        <v>0</v>
      </c>
      <c r="F13" s="260" t="str">
        <f>IF(E13=0,"",D13/E13-1)</f>
        <v/>
      </c>
      <c r="G13" s="315">
        <v>8.9529357500000004E-2</v>
      </c>
      <c r="H13" s="254">
        <v>1.4230004125</v>
      </c>
      <c r="I13" s="260">
        <f t="shared" si="0"/>
        <v>-0.93708409589094199</v>
      </c>
      <c r="J13" s="315">
        <v>0.24963529262500003</v>
      </c>
      <c r="K13" s="260">
        <f t="shared" si="2"/>
        <v>4.7003174412426487</v>
      </c>
      <c r="L13" s="22"/>
    </row>
    <row r="14" spans="1:12" ht="11.25" customHeight="1">
      <c r="A14" s="141" t="s">
        <v>48</v>
      </c>
      <c r="B14" s="317">
        <v>32.782729229999994</v>
      </c>
      <c r="C14" s="255">
        <v>0.59584920750000003</v>
      </c>
      <c r="D14" s="318">
        <v>5.4336271749999998</v>
      </c>
      <c r="E14" s="317">
        <v>7.0902351625</v>
      </c>
      <c r="F14" s="442">
        <f>IF(E14=0,"",D14/E14-1)</f>
        <v>-0.23364640939721448</v>
      </c>
      <c r="G14" s="317">
        <v>96.16921034546877</v>
      </c>
      <c r="H14" s="255">
        <v>58.4930734625</v>
      </c>
      <c r="I14" s="442">
        <f t="shared" si="0"/>
        <v>0.64411279238255448</v>
      </c>
      <c r="J14" s="317">
        <v>294.33183354479905</v>
      </c>
      <c r="K14" s="442">
        <f t="shared" si="2"/>
        <v>-0.80126827343805807</v>
      </c>
      <c r="L14" s="22"/>
    </row>
    <row r="15" spans="1:12" ht="11.25" customHeight="1">
      <c r="A15" s="140" t="s">
        <v>49</v>
      </c>
      <c r="B15" s="315">
        <v>13.287253742500001</v>
      </c>
      <c r="C15" s="254">
        <v>14.752440460000001</v>
      </c>
      <c r="D15" s="316">
        <v>17.834231412499999</v>
      </c>
      <c r="E15" s="315">
        <v>7.0497050225000004</v>
      </c>
      <c r="F15" s="260">
        <f t="shared" si="1"/>
        <v>1.5297840626777797</v>
      </c>
      <c r="G15" s="315">
        <v>76.464057187500003</v>
      </c>
      <c r="H15" s="254">
        <v>42.383671962499996</v>
      </c>
      <c r="I15" s="260">
        <f>IF(H15=0,"",G15/H15-1)</f>
        <v>0.80409232251404439</v>
      </c>
      <c r="J15" s="315">
        <v>39.466510054807202</v>
      </c>
      <c r="K15" s="260">
        <f t="shared" si="2"/>
        <v>7.3914868673255585E-2</v>
      </c>
      <c r="L15" s="22"/>
    </row>
    <row r="16" spans="1:12" ht="11.25" customHeight="1">
      <c r="A16" s="141" t="s">
        <v>50</v>
      </c>
      <c r="B16" s="317">
        <v>4.6720415324999998</v>
      </c>
      <c r="C16" s="255">
        <v>4.6992972824999999</v>
      </c>
      <c r="D16" s="318">
        <v>4.4198010925000002</v>
      </c>
      <c r="E16" s="317">
        <v>2.8349443750000001</v>
      </c>
      <c r="F16" s="442">
        <f t="shared" si="1"/>
        <v>0.55904332073534957</v>
      </c>
      <c r="G16" s="317">
        <v>31.618054317499997</v>
      </c>
      <c r="H16" s="255">
        <v>22.89393523</v>
      </c>
      <c r="I16" s="442">
        <f t="shared" si="0"/>
        <v>0.38106681965571343</v>
      </c>
      <c r="J16" s="317">
        <v>19.488935530696626</v>
      </c>
      <c r="K16" s="442">
        <f t="shared" si="2"/>
        <v>0.17471450372136688</v>
      </c>
      <c r="L16" s="22"/>
    </row>
    <row r="17" spans="1:12" ht="11.25" customHeight="1">
      <c r="A17" s="140" t="s">
        <v>30</v>
      </c>
      <c r="B17" s="315">
        <v>57.145218970000002</v>
      </c>
      <c r="C17" s="254">
        <v>57.417002814999996</v>
      </c>
      <c r="D17" s="316">
        <v>52.871938625000006</v>
      </c>
      <c r="E17" s="315">
        <v>46.704256437499993</v>
      </c>
      <c r="F17" s="260">
        <f t="shared" si="1"/>
        <v>0.13205824603489091</v>
      </c>
      <c r="G17" s="315">
        <v>341.36199789999995</v>
      </c>
      <c r="H17" s="254">
        <v>330.79512248999998</v>
      </c>
      <c r="I17" s="260">
        <f>IF(H17=0,"",G17/H17-1)</f>
        <v>3.1943867039089691E-2</v>
      </c>
      <c r="J17" s="315">
        <v>105.26838385322201</v>
      </c>
      <c r="K17" s="260">
        <f t="shared" si="2"/>
        <v>2.1423976542779912</v>
      </c>
      <c r="L17" s="22"/>
    </row>
    <row r="18" spans="1:12" ht="11.25" customHeight="1">
      <c r="A18" s="141" t="s">
        <v>29</v>
      </c>
      <c r="B18" s="317">
        <v>149.55215619499998</v>
      </c>
      <c r="C18" s="255">
        <v>142.54842389999999</v>
      </c>
      <c r="D18" s="318">
        <v>147.78231510000001</v>
      </c>
      <c r="E18" s="317">
        <v>128.59335152</v>
      </c>
      <c r="F18" s="442">
        <f t="shared" si="1"/>
        <v>0.14922205038738379</v>
      </c>
      <c r="G18" s="317">
        <v>795.12044744499997</v>
      </c>
      <c r="H18" s="255">
        <v>658.58462278000013</v>
      </c>
      <c r="I18" s="442">
        <f>IF(H18=0,"",G18/H18-1)</f>
        <v>0.20731705530666411</v>
      </c>
      <c r="J18" s="317">
        <v>459.83840211906772</v>
      </c>
      <c r="K18" s="442">
        <f t="shared" si="2"/>
        <v>0.43220883628912388</v>
      </c>
      <c r="L18" s="22"/>
    </row>
    <row r="19" spans="1:12" ht="11.25" customHeight="1">
      <c r="A19" s="146" t="s">
        <v>43</v>
      </c>
      <c r="B19" s="319">
        <f>SUM(B6:B18)</f>
        <v>4346.3558459725018</v>
      </c>
      <c r="C19" s="320">
        <f>SUM(C6:C18)</f>
        <v>4485.2532306074991</v>
      </c>
      <c r="D19" s="321">
        <f>SUM(D6:D18)</f>
        <v>4289.3581011725</v>
      </c>
      <c r="E19" s="319">
        <f>SUM(E6:E18)</f>
        <v>4134.9206454549994</v>
      </c>
      <c r="F19" s="443">
        <f>IF(E19=0,"",D19/E19-1)</f>
        <v>3.7349557333646644E-2</v>
      </c>
      <c r="G19" s="319">
        <f>SUM(G6:G18)</f>
        <v>26348.143163722511</v>
      </c>
      <c r="H19" s="320">
        <f>SUM(H6:H18)</f>
        <v>25121.457635962499</v>
      </c>
      <c r="I19" s="443">
        <f>IF(H19=0,"",G19/H19-1)</f>
        <v>4.8830189136953361E-2</v>
      </c>
      <c r="J19" s="319">
        <f>SUM(J6:J18)</f>
        <v>24415.332511555625</v>
      </c>
      <c r="K19" s="443">
        <f t="shared" si="2"/>
        <v>2.8921380614933989E-2</v>
      </c>
      <c r="L19" s="30"/>
    </row>
    <row r="20" spans="1:12" ht="11.25" customHeight="1">
      <c r="A20" s="22"/>
      <c r="B20" s="22"/>
      <c r="C20" s="22"/>
      <c r="D20" s="22"/>
      <c r="E20" s="22"/>
      <c r="F20" s="22"/>
      <c r="G20" s="22"/>
      <c r="H20" s="22"/>
      <c r="I20" s="22"/>
      <c r="J20" s="22"/>
      <c r="K20" s="22"/>
      <c r="L20" s="22"/>
    </row>
    <row r="21" spans="1:12" ht="11.25" customHeight="1">
      <c r="A21" s="142" t="s">
        <v>39</v>
      </c>
      <c r="B21" s="242">
        <v>1.7209132399999998</v>
      </c>
      <c r="C21" s="243">
        <v>10.66193083000001</v>
      </c>
      <c r="D21" s="375">
        <v>17.062013390000004</v>
      </c>
      <c r="E21" s="802">
        <v>1.7041230000000001</v>
      </c>
      <c r="F21" s="120">
        <f>IF(E21=0,"",D21/E21-1)</f>
        <v>9.0121959447762894</v>
      </c>
      <c r="G21" s="242">
        <v>29.997176460000013</v>
      </c>
      <c r="H21" s="374">
        <v>3.8248099999999994</v>
      </c>
      <c r="I21" s="123">
        <f>IF(H21=0,"",G21/H21-1)</f>
        <v>6.8427886509395286</v>
      </c>
      <c r="J21" s="242">
        <v>12.953248</v>
      </c>
      <c r="K21" s="120">
        <f>IF(J21=0,"",H21/J21-1)</f>
        <v>-0.70472193537867889</v>
      </c>
      <c r="L21" s="22"/>
    </row>
    <row r="22" spans="1:12" ht="11.25" customHeight="1">
      <c r="A22" s="143" t="s">
        <v>40</v>
      </c>
      <c r="B22" s="239">
        <v>0</v>
      </c>
      <c r="C22" s="240">
        <v>0</v>
      </c>
      <c r="D22" s="241">
        <v>0</v>
      </c>
      <c r="E22" s="803">
        <v>0</v>
      </c>
      <c r="F22" s="801" t="str">
        <f>IF(E22=0,"",D22/E22-1)</f>
        <v/>
      </c>
      <c r="G22" s="239">
        <v>0</v>
      </c>
      <c r="H22" s="240">
        <v>0</v>
      </c>
      <c r="I22" s="115" t="str">
        <f>IF(H22=0,"",G22/H22-1)</f>
        <v/>
      </c>
      <c r="J22" s="239">
        <v>0</v>
      </c>
      <c r="K22" s="121" t="str">
        <f>IF(J22=0,"",H22/J22-1)</f>
        <v/>
      </c>
      <c r="L22" s="22"/>
    </row>
    <row r="23" spans="1:12" ht="23.25" customHeight="1">
      <c r="A23" s="144" t="s">
        <v>41</v>
      </c>
      <c r="B23" s="252">
        <f>+B22-B21</f>
        <v>-1.7209132399999998</v>
      </c>
      <c r="C23" s="253">
        <f>+C22-C21</f>
        <v>-10.66193083000001</v>
      </c>
      <c r="D23" s="444">
        <f>+D22-D21</f>
        <v>-17.062013390000004</v>
      </c>
      <c r="E23" s="804">
        <f>+E22-E21</f>
        <v>-1.7041230000000001</v>
      </c>
      <c r="F23" s="253"/>
      <c r="G23" s="252">
        <f>+G22-G21</f>
        <v>-29.997176460000013</v>
      </c>
      <c r="H23" s="253">
        <f>+H22-H21</f>
        <v>-3.8248099999999994</v>
      </c>
      <c r="I23" s="124"/>
      <c r="J23" s="252">
        <f>+J22-J21</f>
        <v>-12.953248</v>
      </c>
      <c r="K23" s="122"/>
      <c r="L23" s="30"/>
    </row>
    <row r="24" spans="1:12" ht="11.25" customHeight="1">
      <c r="A24" s="237" t="s">
        <v>234</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7" t="str">
        <f>"Gráfico N° 5: Comparación de la producción de energía eléctrica (GWh) por tipo de recurso energético acumulado a "&amp;'1. Resumen'!Q4&amp;"."</f>
        <v>Gráfico N° 5: Comparación de la producción de energía eléctrica (GWh) por tipo de recurso energético acumulado a junio.</v>
      </c>
    </row>
  </sheetData>
  <mergeCells count="5">
    <mergeCell ref="A2:K2"/>
    <mergeCell ref="B4:D4"/>
    <mergeCell ref="E4:F4"/>
    <mergeCell ref="G4:K4"/>
    <mergeCell ref="A4:A5"/>
  </mergeCells>
  <pageMargins left="0.70866141732283472" right="0.70866141732283472" top="1.4311417322834645" bottom="0.62992125984251968" header="0.31496062992125984" footer="0.31496062992125984"/>
  <pageSetup paperSize="9" scale="88" orientation="portrait" r:id="rId1"/>
  <headerFooter>
    <oddHeader>&amp;R&amp;7Informe de la Operación Mensual - Junio 2019
INFSGI-MES-06-2019
10/07/2019
Versión: 01</oddHeader>
    <oddFooter>&amp;L&amp;7COES, 2019&amp;C4&amp;R&amp;7Dirección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7A5"/>
  </sheetPr>
  <dimension ref="A1:U61"/>
  <sheetViews>
    <sheetView showGridLines="0" view="pageBreakPreview" zoomScale="130" zoomScaleNormal="100" zoomScaleSheetLayoutView="130" zoomScalePageLayoutView="145" workbookViewId="0">
      <selection activeCell="C12" sqref="C12"/>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640"/>
  </cols>
  <sheetData>
    <row r="1" spans="1:12" ht="11.25" customHeight="1"/>
    <row r="2" spans="1:12" ht="11.25" customHeight="1">
      <c r="A2" s="917" t="s">
        <v>242</v>
      </c>
      <c r="B2" s="917"/>
      <c r="C2" s="917"/>
      <c r="D2" s="917"/>
      <c r="E2" s="917"/>
      <c r="F2" s="917"/>
      <c r="G2" s="917"/>
      <c r="H2" s="917"/>
      <c r="I2" s="917"/>
      <c r="J2" s="917"/>
      <c r="K2" s="917"/>
      <c r="L2" s="641"/>
    </row>
    <row r="3" spans="1:12" ht="11.25" customHeight="1">
      <c r="A3" s="74"/>
      <c r="B3" s="73"/>
      <c r="C3" s="73"/>
      <c r="D3" s="73"/>
      <c r="E3" s="73"/>
      <c r="F3" s="73"/>
      <c r="G3" s="73"/>
      <c r="H3" s="73"/>
      <c r="I3" s="73"/>
      <c r="J3" s="73"/>
      <c r="K3" s="73"/>
      <c r="L3" s="641"/>
    </row>
    <row r="4" spans="1:12" ht="15.75" customHeight="1">
      <c r="A4" s="915" t="s">
        <v>238</v>
      </c>
      <c r="B4" s="912" t="s">
        <v>33</v>
      </c>
      <c r="C4" s="913"/>
      <c r="D4" s="913"/>
      <c r="E4" s="913" t="s">
        <v>34</v>
      </c>
      <c r="F4" s="913"/>
      <c r="G4" s="914" t="str">
        <f>+'4. Tipo Recurso'!G4:K4</f>
        <v>Generación Acumulada a junio</v>
      </c>
      <c r="H4" s="914"/>
      <c r="I4" s="914"/>
      <c r="J4" s="914"/>
      <c r="K4" s="914"/>
      <c r="L4" s="642"/>
    </row>
    <row r="5" spans="1:12" ht="29.25" customHeight="1">
      <c r="A5" s="915"/>
      <c r="B5" s="532">
        <f>+'4. Tipo Recurso'!B5</f>
        <v>43559</v>
      </c>
      <c r="C5" s="532">
        <f>+'4. Tipo Recurso'!C5</f>
        <v>43589</v>
      </c>
      <c r="D5" s="532">
        <f>+'4. Tipo Recurso'!D5</f>
        <v>43617</v>
      </c>
      <c r="E5" s="532">
        <f>+'4. Tipo Recurso'!E5</f>
        <v>43252</v>
      </c>
      <c r="F5" s="532" t="s">
        <v>35</v>
      </c>
      <c r="G5" s="534">
        <v>2019</v>
      </c>
      <c r="H5" s="534">
        <v>2018</v>
      </c>
      <c r="I5" s="533" t="s">
        <v>42</v>
      </c>
      <c r="J5" s="534">
        <v>2017</v>
      </c>
      <c r="K5" s="533" t="s">
        <v>42</v>
      </c>
      <c r="L5" s="643"/>
    </row>
    <row r="6" spans="1:12" ht="11.25" customHeight="1">
      <c r="A6" s="139" t="s">
        <v>45</v>
      </c>
      <c r="B6" s="312">
        <v>175.4290641275</v>
      </c>
      <c r="C6" s="313">
        <v>174.75469050250004</v>
      </c>
      <c r="D6" s="314">
        <v>137.08940598750004</v>
      </c>
      <c r="E6" s="312">
        <v>90.546545934999997</v>
      </c>
      <c r="F6" s="259">
        <f t="shared" ref="F6:F11" si="0">IF(E6=0,"",D6/E6-1)</f>
        <v>0.51402137510481549</v>
      </c>
      <c r="G6" s="312">
        <v>958.31141548750008</v>
      </c>
      <c r="H6" s="313">
        <v>673.57594439000013</v>
      </c>
      <c r="I6" s="263">
        <f t="shared" ref="I6:I11" si="1">IF(H6=0,"",G6/H6-1)</f>
        <v>0.42272214954968512</v>
      </c>
      <c r="J6" s="312">
        <v>613.23662608277527</v>
      </c>
      <c r="K6" s="259">
        <f t="shared" ref="K6:K11" si="2">IF(J6=0,"",H6/J6-1)</f>
        <v>9.8394837719755213E-2</v>
      </c>
      <c r="L6" s="644"/>
    </row>
    <row r="7" spans="1:12" ht="11.25" customHeight="1">
      <c r="A7" s="140" t="s">
        <v>38</v>
      </c>
      <c r="B7" s="315">
        <v>149.55215619499998</v>
      </c>
      <c r="C7" s="254">
        <v>142.54842389999999</v>
      </c>
      <c r="D7" s="316">
        <v>147.78231510000001</v>
      </c>
      <c r="E7" s="315">
        <v>128.59335152</v>
      </c>
      <c r="F7" s="260">
        <f t="shared" si="0"/>
        <v>0.14922205038738379</v>
      </c>
      <c r="G7" s="315">
        <v>795.12044744499997</v>
      </c>
      <c r="H7" s="254">
        <v>658.58462278000013</v>
      </c>
      <c r="I7" s="249">
        <f t="shared" si="1"/>
        <v>0.20731705530666411</v>
      </c>
      <c r="J7" s="315">
        <v>459.83840211906772</v>
      </c>
      <c r="K7" s="260">
        <f t="shared" si="2"/>
        <v>0.43220883628912388</v>
      </c>
      <c r="L7" s="644"/>
    </row>
    <row r="8" spans="1:12" ht="11.25" customHeight="1">
      <c r="A8" s="257" t="s">
        <v>30</v>
      </c>
      <c r="B8" s="455">
        <v>57.145218970000002</v>
      </c>
      <c r="C8" s="322">
        <v>57.417002814999996</v>
      </c>
      <c r="D8" s="456">
        <v>52.871938625000006</v>
      </c>
      <c r="E8" s="455">
        <v>46.704256437499993</v>
      </c>
      <c r="F8" s="261">
        <f t="shared" si="0"/>
        <v>0.13205824603489091</v>
      </c>
      <c r="G8" s="455">
        <v>341.36199789999995</v>
      </c>
      <c r="H8" s="322">
        <v>330.79512248999998</v>
      </c>
      <c r="I8" s="256">
        <f t="shared" si="1"/>
        <v>3.1943867039089691E-2</v>
      </c>
      <c r="J8" s="455">
        <v>105.26838385322201</v>
      </c>
      <c r="K8" s="261">
        <f t="shared" si="2"/>
        <v>2.1423976542779912</v>
      </c>
      <c r="L8" s="644"/>
    </row>
    <row r="9" spans="1:12" ht="11.25" customHeight="1">
      <c r="A9" s="140" t="s">
        <v>49</v>
      </c>
      <c r="B9" s="315">
        <v>13.287253742500001</v>
      </c>
      <c r="C9" s="254">
        <v>14.752440460000001</v>
      </c>
      <c r="D9" s="316">
        <v>17.834231412499999</v>
      </c>
      <c r="E9" s="315">
        <v>7.0497050225000004</v>
      </c>
      <c r="F9" s="260">
        <f t="shared" si="0"/>
        <v>1.5297840626777797</v>
      </c>
      <c r="G9" s="315">
        <v>76.464057187500003</v>
      </c>
      <c r="H9" s="254">
        <v>42.383671962499996</v>
      </c>
      <c r="I9" s="249">
        <f t="shared" si="1"/>
        <v>0.80409232251404439</v>
      </c>
      <c r="J9" s="315">
        <v>39.466510054807202</v>
      </c>
      <c r="K9" s="260">
        <f t="shared" si="2"/>
        <v>7.3914868673255585E-2</v>
      </c>
      <c r="L9" s="645"/>
    </row>
    <row r="10" spans="1:12" ht="11.25" customHeight="1">
      <c r="A10" s="258" t="s">
        <v>50</v>
      </c>
      <c r="B10" s="457">
        <v>4.6720415324999998</v>
      </c>
      <c r="C10" s="458">
        <v>4.6992972824999999</v>
      </c>
      <c r="D10" s="459">
        <v>4.4198010925000002</v>
      </c>
      <c r="E10" s="457">
        <v>2.8349443750000001</v>
      </c>
      <c r="F10" s="262">
        <f t="shared" si="0"/>
        <v>0.55904332073534957</v>
      </c>
      <c r="G10" s="457">
        <v>31.618054317499997</v>
      </c>
      <c r="H10" s="458">
        <v>22.89393523</v>
      </c>
      <c r="I10" s="264">
        <f t="shared" si="1"/>
        <v>0.38106681965571343</v>
      </c>
      <c r="J10" s="457">
        <v>19.488935530696626</v>
      </c>
      <c r="K10" s="262">
        <f t="shared" si="2"/>
        <v>0.17471450372136688</v>
      </c>
      <c r="L10" s="644"/>
    </row>
    <row r="11" spans="1:12" ht="11.25" customHeight="1">
      <c r="A11" s="265" t="s">
        <v>235</v>
      </c>
      <c r="B11" s="387">
        <f>+B6+B7+B8+B9+B10</f>
        <v>400.08573456749997</v>
      </c>
      <c r="C11" s="388">
        <f t="shared" ref="C11:D11" si="3">+C6+C7+C8+C9+C10</f>
        <v>394.17185496000002</v>
      </c>
      <c r="D11" s="389">
        <f t="shared" si="3"/>
        <v>359.99769221750006</v>
      </c>
      <c r="E11" s="390">
        <f>+E6+E7+E8+E9+E10</f>
        <v>275.72880329000003</v>
      </c>
      <c r="F11" s="266">
        <f t="shared" si="0"/>
        <v>0.30562236488173311</v>
      </c>
      <c r="G11" s="453">
        <f>+G6+G7+G8+G9+G10</f>
        <v>2202.8759723375001</v>
      </c>
      <c r="H11" s="454">
        <f>+H6+H7+H8+H9+H10</f>
        <v>1728.2332968525004</v>
      </c>
      <c r="I11" s="267">
        <f t="shared" si="1"/>
        <v>0.27464039510720584</v>
      </c>
      <c r="J11" s="453">
        <f>+J6+J7+J8+J9+J10</f>
        <v>1237.2988576405689</v>
      </c>
      <c r="K11" s="266">
        <f t="shared" si="2"/>
        <v>0.39677919055716626</v>
      </c>
      <c r="L11" s="642"/>
    </row>
    <row r="12" spans="1:12" ht="24.75" customHeight="1">
      <c r="A12" s="268" t="s">
        <v>236</v>
      </c>
      <c r="B12" s="269">
        <f>B11/'4. Tipo Recurso'!B19</f>
        <v>9.2050846443747711E-2</v>
      </c>
      <c r="C12" s="871">
        <f>C11/'4. Tipo Recurso'!C19</f>
        <v>8.7881739267285902E-2</v>
      </c>
      <c r="D12" s="650">
        <f>D11/'4. Tipo Recurso'!D19</f>
        <v>8.3928103862229264E-2</v>
      </c>
      <c r="E12" s="269">
        <f>E11/'4. Tipo Recurso'!E19</f>
        <v>6.6682973370498458E-2</v>
      </c>
      <c r="F12" s="270"/>
      <c r="G12" s="269">
        <f>G11/'4. Tipo Recurso'!G19</f>
        <v>8.3606497757706663E-2</v>
      </c>
      <c r="H12" s="267">
        <f>H11/'4. Tipo Recurso'!H19</f>
        <v>6.8795104245004346E-2</v>
      </c>
      <c r="I12" s="267"/>
      <c r="J12" s="269">
        <f>J11/'4. Tipo Recurso'!J19</f>
        <v>5.0677125001470411E-2</v>
      </c>
      <c r="K12" s="270"/>
      <c r="L12" s="642"/>
    </row>
    <row r="13" spans="1:12" ht="11.25" customHeight="1">
      <c r="A13" s="271" t="s">
        <v>237</v>
      </c>
      <c r="B13" s="134"/>
      <c r="C13" s="134"/>
      <c r="D13" s="134"/>
      <c r="E13" s="134"/>
      <c r="F13" s="134"/>
      <c r="G13" s="134"/>
      <c r="H13" s="134"/>
      <c r="I13" s="134"/>
      <c r="J13" s="134"/>
      <c r="K13" s="135"/>
      <c r="L13" s="642"/>
    </row>
    <row r="14" spans="1:12" ht="35.25" customHeight="1">
      <c r="A14" s="918" t="s">
        <v>556</v>
      </c>
      <c r="B14" s="918"/>
      <c r="C14" s="918"/>
      <c r="D14" s="918"/>
      <c r="E14" s="918"/>
      <c r="F14" s="918"/>
      <c r="G14" s="918"/>
      <c r="H14" s="918"/>
      <c r="I14" s="918"/>
      <c r="J14" s="918"/>
      <c r="K14" s="918"/>
      <c r="L14" s="642"/>
    </row>
    <row r="15" spans="1:12" ht="11.25" customHeight="1">
      <c r="A15" s="31"/>
      <c r="L15" s="642"/>
    </row>
    <row r="16" spans="1:12" ht="11.25" customHeight="1">
      <c r="A16" s="136"/>
      <c r="B16" s="147"/>
      <c r="C16" s="147"/>
      <c r="D16" s="147"/>
      <c r="E16" s="147"/>
      <c r="F16" s="147"/>
      <c r="G16" s="147"/>
      <c r="H16" s="147"/>
      <c r="I16" s="147"/>
      <c r="J16" s="147"/>
      <c r="K16" s="147"/>
      <c r="L16" s="642"/>
    </row>
    <row r="17" spans="1:12" ht="11.25" customHeight="1">
      <c r="A17" s="147"/>
      <c r="B17" s="147"/>
      <c r="C17" s="147"/>
      <c r="D17" s="147"/>
      <c r="E17" s="147"/>
      <c r="F17" s="147"/>
      <c r="G17" s="147"/>
      <c r="H17" s="147"/>
      <c r="I17" s="147"/>
      <c r="J17" s="147"/>
      <c r="K17" s="147"/>
      <c r="L17" s="642"/>
    </row>
    <row r="18" spans="1:12" ht="11.25" customHeight="1">
      <c r="A18" s="147"/>
      <c r="B18" s="147"/>
      <c r="C18" s="147"/>
      <c r="D18" s="147"/>
      <c r="E18" s="147"/>
      <c r="F18" s="147"/>
      <c r="G18" s="147"/>
      <c r="H18" s="147"/>
      <c r="I18" s="147"/>
      <c r="J18" s="147"/>
      <c r="K18" s="147"/>
      <c r="L18" s="646"/>
    </row>
    <row r="19" spans="1:12" ht="11.25" customHeight="1">
      <c r="A19" s="136"/>
      <c r="B19" s="138"/>
      <c r="C19" s="138"/>
      <c r="D19" s="138"/>
      <c r="E19" s="138"/>
      <c r="F19" s="138"/>
      <c r="G19" s="138"/>
      <c r="H19" s="138"/>
      <c r="I19" s="138"/>
      <c r="J19" s="138"/>
      <c r="K19" s="138"/>
      <c r="L19" s="642"/>
    </row>
    <row r="20" spans="1:12" ht="11.25" customHeight="1">
      <c r="A20" s="136"/>
      <c r="B20" s="138"/>
      <c r="C20" s="138"/>
      <c r="D20" s="138"/>
      <c r="E20" s="138"/>
      <c r="F20" s="138"/>
      <c r="G20" s="138"/>
      <c r="H20" s="138"/>
      <c r="I20" s="138"/>
      <c r="J20" s="138"/>
      <c r="K20" s="138"/>
      <c r="L20" s="642"/>
    </row>
    <row r="21" spans="1:12" ht="11.25" customHeight="1">
      <c r="A21" s="136"/>
      <c r="B21" s="138"/>
      <c r="C21" s="138"/>
      <c r="D21" s="138"/>
      <c r="E21" s="138"/>
      <c r="F21" s="138"/>
      <c r="G21" s="138"/>
      <c r="H21" s="138"/>
      <c r="I21" s="138"/>
      <c r="J21" s="138"/>
      <c r="K21" s="138"/>
      <c r="L21" s="642"/>
    </row>
    <row r="22" spans="1:12" ht="11.25" customHeight="1">
      <c r="A22" s="136"/>
      <c r="B22" s="138"/>
      <c r="C22" s="138"/>
      <c r="D22" s="138"/>
      <c r="E22" s="138"/>
      <c r="F22" s="138"/>
      <c r="G22" s="138"/>
      <c r="H22" s="138"/>
      <c r="I22" s="138"/>
      <c r="J22" s="138"/>
      <c r="K22" s="138"/>
      <c r="L22" s="646"/>
    </row>
    <row r="23" spans="1:12" ht="11.25" customHeight="1">
      <c r="A23" s="136"/>
      <c r="B23" s="138"/>
      <c r="C23" s="138"/>
      <c r="D23" s="138"/>
      <c r="E23" s="138"/>
      <c r="F23" s="138"/>
      <c r="G23" s="138"/>
      <c r="H23" s="138"/>
      <c r="I23" s="138"/>
      <c r="J23" s="138"/>
      <c r="K23" s="138"/>
      <c r="L23" s="642"/>
    </row>
    <row r="24" spans="1:12" ht="11.25" customHeight="1">
      <c r="A24" s="136"/>
      <c r="B24" s="138"/>
      <c r="C24" s="138"/>
      <c r="D24" s="138"/>
      <c r="E24" s="138"/>
      <c r="F24" s="138"/>
      <c r="G24" s="138"/>
      <c r="H24" s="138"/>
      <c r="I24" s="138"/>
      <c r="J24" s="138"/>
      <c r="K24" s="138"/>
      <c r="L24" s="642"/>
    </row>
    <row r="25" spans="1:12" ht="11.25" customHeight="1">
      <c r="A25" s="136"/>
      <c r="B25" s="138"/>
      <c r="C25" s="138"/>
      <c r="D25" s="138"/>
      <c r="E25" s="138"/>
      <c r="F25" s="138"/>
      <c r="G25" s="138"/>
      <c r="H25" s="138"/>
      <c r="I25" s="138"/>
      <c r="J25" s="138"/>
      <c r="K25" s="138"/>
      <c r="L25" s="642"/>
    </row>
    <row r="26" spans="1:12" ht="11.25" customHeight="1">
      <c r="A26" s="136"/>
      <c r="B26" s="138"/>
      <c r="C26" s="138"/>
      <c r="D26" s="138"/>
      <c r="E26" s="138"/>
      <c r="F26" s="138"/>
      <c r="G26" s="138"/>
      <c r="H26" s="138"/>
      <c r="I26" s="138"/>
      <c r="J26" s="138"/>
      <c r="K26" s="138"/>
      <c r="L26" s="642"/>
    </row>
    <row r="27" spans="1:12" ht="11.25" customHeight="1">
      <c r="A27" s="136"/>
      <c r="B27" s="138"/>
      <c r="C27" s="138"/>
      <c r="D27" s="138"/>
      <c r="E27" s="138"/>
      <c r="F27" s="138"/>
      <c r="G27" s="138"/>
      <c r="H27" s="138"/>
      <c r="I27" s="138"/>
      <c r="J27" s="138"/>
      <c r="K27" s="138"/>
      <c r="L27" s="642"/>
    </row>
    <row r="28" spans="1:12" ht="11.25" customHeight="1">
      <c r="A28" s="136"/>
      <c r="B28" s="138"/>
      <c r="C28" s="138"/>
      <c r="D28" s="138"/>
      <c r="E28" s="138"/>
      <c r="F28" s="138"/>
      <c r="G28" s="138"/>
      <c r="H28" s="138"/>
      <c r="I28" s="138"/>
      <c r="J28" s="138"/>
      <c r="K28" s="138"/>
      <c r="L28" s="642"/>
    </row>
    <row r="29" spans="1:12" ht="11.25" customHeight="1">
      <c r="A29" s="136"/>
      <c r="B29" s="138"/>
      <c r="C29" s="138"/>
      <c r="D29" s="138"/>
      <c r="E29" s="138"/>
      <c r="F29" s="138"/>
      <c r="G29" s="138"/>
      <c r="H29" s="138"/>
      <c r="I29" s="138"/>
      <c r="J29" s="138"/>
      <c r="K29" s="138"/>
      <c r="L29" s="642"/>
    </row>
    <row r="30" spans="1:12" ht="11.25" customHeight="1">
      <c r="A30" s="136"/>
      <c r="B30" s="138"/>
      <c r="C30" s="138"/>
      <c r="D30" s="138"/>
      <c r="E30" s="138"/>
      <c r="F30" s="138"/>
      <c r="G30" s="138"/>
      <c r="H30" s="138"/>
      <c r="I30" s="138"/>
      <c r="J30" s="138"/>
      <c r="K30" s="138"/>
      <c r="L30" s="642"/>
    </row>
    <row r="31" spans="1:12" ht="11.25" customHeight="1">
      <c r="A31" s="136"/>
      <c r="B31" s="138"/>
      <c r="C31" s="138"/>
      <c r="D31" s="138"/>
      <c r="E31" s="138"/>
      <c r="F31" s="138"/>
      <c r="G31" s="138"/>
      <c r="H31" s="138"/>
      <c r="I31" s="138"/>
      <c r="J31" s="138"/>
      <c r="K31" s="138"/>
      <c r="L31" s="642"/>
    </row>
    <row r="32" spans="1:12" ht="11.25" customHeight="1">
      <c r="A32" s="136"/>
      <c r="B32" s="138"/>
      <c r="C32" s="138"/>
      <c r="D32" s="138"/>
      <c r="E32" s="138"/>
      <c r="F32" s="138"/>
      <c r="G32" s="138"/>
      <c r="H32" s="138"/>
      <c r="I32" s="138"/>
      <c r="J32" s="138"/>
      <c r="K32" s="138"/>
      <c r="L32" s="642"/>
    </row>
    <row r="33" spans="1:16" ht="11.25" customHeight="1">
      <c r="A33" s="136"/>
      <c r="B33" s="138"/>
      <c r="C33" s="138"/>
      <c r="D33" s="138"/>
      <c r="E33" s="138"/>
      <c r="F33" s="138"/>
      <c r="G33" s="138"/>
      <c r="H33" s="138"/>
      <c r="I33" s="138"/>
      <c r="J33" s="138"/>
      <c r="K33" s="138"/>
      <c r="L33" s="642"/>
    </row>
    <row r="34" spans="1:16" ht="11.25" customHeight="1">
      <c r="A34" s="916" t="str">
        <f>"Gráfico N° 6: Comparación de la producción de energía eléctrica acumulada (GWh) con recursos energéticos renovables en "&amp;'1. Resumen'!Q4&amp;"."</f>
        <v>Gráfico N° 6: Comparación de la producción de energía eléctrica acumulada (GWh) con recursos energéticos renovables en junio.</v>
      </c>
      <c r="B34" s="916"/>
      <c r="C34" s="916"/>
      <c r="D34" s="916"/>
      <c r="E34" s="916"/>
      <c r="F34" s="916"/>
      <c r="G34" s="916"/>
      <c r="H34" s="916"/>
      <c r="I34" s="916"/>
      <c r="J34" s="916"/>
      <c r="K34" s="916"/>
      <c r="L34" s="642"/>
    </row>
    <row r="35" spans="1:16" ht="11.25" customHeight="1">
      <c r="L35" s="647"/>
    </row>
    <row r="36" spans="1:16" ht="11.25" customHeight="1">
      <c r="A36" s="136"/>
      <c r="B36" s="138"/>
      <c r="C36" s="138"/>
      <c r="D36" s="138"/>
      <c r="E36" s="138"/>
      <c r="F36" s="138"/>
      <c r="G36" s="138"/>
      <c r="H36" s="138"/>
      <c r="I36" s="138"/>
      <c r="J36" s="138"/>
      <c r="K36" s="138"/>
      <c r="L36" s="642"/>
    </row>
    <row r="37" spans="1:16" ht="11.25" customHeight="1">
      <c r="A37" s="136"/>
      <c r="B37" s="138"/>
      <c r="C37" s="138"/>
      <c r="D37" s="138"/>
      <c r="E37" s="138"/>
      <c r="F37" s="138"/>
      <c r="G37" s="138"/>
      <c r="H37" s="138"/>
      <c r="I37" s="138"/>
      <c r="J37" s="138"/>
      <c r="K37" s="138"/>
      <c r="L37" s="642"/>
    </row>
    <row r="38" spans="1:16" ht="11.25" customHeight="1">
      <c r="A38" s="136"/>
      <c r="B38" s="138"/>
      <c r="C38" s="138"/>
      <c r="D38" s="138"/>
      <c r="E38" s="138"/>
      <c r="F38" s="138"/>
      <c r="G38" s="138"/>
      <c r="H38" s="138"/>
      <c r="I38" s="138"/>
      <c r="J38" s="138"/>
      <c r="K38" s="138"/>
      <c r="L38" s="642"/>
    </row>
    <row r="39" spans="1:16" ht="11.25" customHeight="1">
      <c r="A39" s="136"/>
      <c r="B39" s="138"/>
      <c r="C39" s="272" t="s">
        <v>240</v>
      </c>
      <c r="D39" s="159"/>
      <c r="E39" s="159"/>
      <c r="F39" s="452">
        <f>+'4. Tipo Recurso'!D19</f>
        <v>4289.3581011725</v>
      </c>
      <c r="G39" s="272" t="s">
        <v>239</v>
      </c>
      <c r="H39" s="138"/>
      <c r="I39" s="138"/>
      <c r="J39" s="138"/>
      <c r="K39" s="138"/>
      <c r="L39" s="642"/>
      <c r="M39" s="648">
        <f>+F39-F40</f>
        <v>3929.3581011725</v>
      </c>
      <c r="P39" s="649"/>
    </row>
    <row r="40" spans="1:16" ht="11.25" customHeight="1">
      <c r="A40" s="136"/>
      <c r="B40" s="138"/>
      <c r="C40" s="272" t="s">
        <v>241</v>
      </c>
      <c r="D40" s="159"/>
      <c r="E40" s="159"/>
      <c r="F40" s="452">
        <f>ROUND(D11,2)</f>
        <v>360</v>
      </c>
      <c r="G40" s="272" t="s">
        <v>239</v>
      </c>
      <c r="H40" s="138"/>
      <c r="I40" s="138"/>
      <c r="J40" s="138"/>
      <c r="K40" s="138"/>
      <c r="L40" s="642"/>
      <c r="M40" s="649"/>
      <c r="P40" s="649"/>
    </row>
    <row r="41" spans="1:16" ht="11.25" customHeight="1">
      <c r="A41" s="136"/>
      <c r="B41" s="138"/>
      <c r="C41" s="138"/>
      <c r="D41" s="138"/>
      <c r="E41" s="138"/>
      <c r="F41" s="138"/>
      <c r="G41" s="138"/>
      <c r="H41" s="138"/>
      <c r="I41" s="138"/>
      <c r="J41" s="138"/>
      <c r="K41" s="138"/>
      <c r="L41" s="642"/>
      <c r="P41" s="649"/>
    </row>
    <row r="42" spans="1:16" ht="11.25" customHeight="1">
      <c r="A42" s="136"/>
      <c r="B42" s="138"/>
      <c r="C42" s="138"/>
      <c r="D42" s="138"/>
      <c r="E42" s="138"/>
      <c r="F42" s="138"/>
      <c r="G42" s="138"/>
      <c r="H42" s="138"/>
      <c r="I42" s="138"/>
      <c r="J42" s="138"/>
      <c r="K42" s="138"/>
      <c r="L42" s="642"/>
      <c r="P42" s="649"/>
    </row>
    <row r="43" spans="1:16" ht="11.25" customHeight="1">
      <c r="A43" s="136"/>
      <c r="B43" s="138"/>
      <c r="C43" s="138"/>
      <c r="D43" s="138"/>
      <c r="E43" s="138"/>
      <c r="F43" s="138"/>
      <c r="G43" s="138"/>
      <c r="H43" s="138"/>
      <c r="I43" s="138"/>
      <c r="J43" s="138"/>
      <c r="K43" s="138"/>
      <c r="L43" s="642"/>
      <c r="P43" s="649"/>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7" t="str">
        <f>"Gráfico N° 7: Participación de las RER en la Matriz de Generación del SEIN en "&amp;'1. Resumen'!Q4&amp;" "&amp;'1. Resumen'!Q5&amp;"."</f>
        <v>Gráfico N° 7: Participación de las RER en la Matriz de Generación del SEIN en junio 2019.</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7A5"/>
  </sheetPr>
  <dimension ref="A2:Y64"/>
  <sheetViews>
    <sheetView showGridLines="0" view="pageBreakPreview" zoomScale="115" zoomScaleNormal="100" zoomScaleSheetLayoutView="115" zoomScalePageLayoutView="160" workbookViewId="0">
      <selection activeCell="C12" sqref="C12"/>
    </sheetView>
  </sheetViews>
  <sheetFormatPr defaultColWidth="9.33203125" defaultRowHeight="11.25"/>
  <cols>
    <col min="1" max="11" width="10.33203125" customWidth="1"/>
    <col min="12" max="12" width="21.1640625" style="852" bestFit="1" customWidth="1"/>
    <col min="13" max="14" width="9.33203125" style="852"/>
    <col min="15" max="15" width="11.83203125" style="852" customWidth="1"/>
    <col min="16" max="17" width="9.33203125" style="852"/>
    <col min="18" max="19" width="9.33203125" style="873"/>
    <col min="20" max="20" width="15" style="873" customWidth="1"/>
    <col min="21" max="22" width="9.33203125" style="873"/>
    <col min="23" max="24" width="9.33203125" style="640"/>
    <col min="25" max="25" width="17.83203125" style="640" bestFit="1" customWidth="1"/>
  </cols>
  <sheetData>
    <row r="2" spans="1:25" ht="11.25" customHeight="1">
      <c r="A2" s="919" t="s">
        <v>246</v>
      </c>
      <c r="B2" s="919"/>
      <c r="C2" s="919"/>
      <c r="D2" s="919"/>
      <c r="E2" s="919"/>
      <c r="F2" s="919"/>
      <c r="G2" s="919"/>
      <c r="H2" s="919"/>
      <c r="I2" s="919"/>
      <c r="J2" s="919"/>
      <c r="K2" s="919"/>
    </row>
    <row r="3" spans="1:25" ht="11.25" customHeight="1"/>
    <row r="4" spans="1:25" ht="11.25" customHeight="1">
      <c r="L4" s="853" t="s">
        <v>55</v>
      </c>
      <c r="M4" s="854" t="s">
        <v>31</v>
      </c>
      <c r="N4" s="853"/>
      <c r="O4" s="855"/>
      <c r="P4" s="856"/>
      <c r="Q4" s="856"/>
    </row>
    <row r="5" spans="1:25" ht="10.5" customHeight="1">
      <c r="A5" s="149"/>
      <c r="B5" s="138"/>
      <c r="C5" s="138"/>
      <c r="D5" s="138"/>
      <c r="E5" s="138"/>
      <c r="F5" s="138"/>
      <c r="G5" s="138"/>
      <c r="H5" s="138"/>
      <c r="I5" s="138"/>
      <c r="J5" s="138"/>
      <c r="K5" s="138"/>
      <c r="L5" s="853"/>
      <c r="M5" s="854"/>
      <c r="N5" s="853"/>
      <c r="O5" s="853" t="s">
        <v>56</v>
      </c>
      <c r="P5" s="853" t="s">
        <v>57</v>
      </c>
      <c r="Q5" s="853"/>
      <c r="U5" s="873">
        <v>2019</v>
      </c>
      <c r="V5" s="873">
        <v>2018</v>
      </c>
    </row>
    <row r="6" spans="1:25" ht="10.5" customHeight="1">
      <c r="A6" s="111"/>
      <c r="B6" s="138"/>
      <c r="C6" s="138"/>
      <c r="D6" s="138"/>
      <c r="E6" s="138"/>
      <c r="F6" s="138"/>
      <c r="G6" s="138"/>
      <c r="H6" s="138"/>
      <c r="I6" s="138"/>
      <c r="J6" s="138"/>
      <c r="K6" s="138"/>
      <c r="L6" s="857" t="s">
        <v>477</v>
      </c>
      <c r="M6" s="857" t="s">
        <v>59</v>
      </c>
      <c r="N6" s="858">
        <v>19.605</v>
      </c>
      <c r="O6" s="859">
        <v>14.4065407175</v>
      </c>
      <c r="P6" s="859">
        <v>1</v>
      </c>
      <c r="Q6" s="859"/>
      <c r="S6" s="873" t="s">
        <v>715</v>
      </c>
      <c r="T6" s="873" t="s">
        <v>60</v>
      </c>
      <c r="U6" s="874">
        <v>1</v>
      </c>
      <c r="V6" s="874">
        <v>1</v>
      </c>
      <c r="X6" s="873"/>
      <c r="Y6" s="873"/>
    </row>
    <row r="7" spans="1:25" ht="10.5" customHeight="1">
      <c r="A7" s="136"/>
      <c r="B7" s="138"/>
      <c r="C7" s="138"/>
      <c r="D7" s="138"/>
      <c r="E7" s="138"/>
      <c r="F7" s="138"/>
      <c r="G7" s="138"/>
      <c r="H7" s="138"/>
      <c r="I7" s="138"/>
      <c r="J7" s="138"/>
      <c r="K7" s="138"/>
      <c r="L7" s="857" t="s">
        <v>60</v>
      </c>
      <c r="M7" s="857" t="s">
        <v>59</v>
      </c>
      <c r="N7" s="858">
        <v>15</v>
      </c>
      <c r="O7" s="859">
        <v>12.1263112175</v>
      </c>
      <c r="P7" s="859">
        <v>1</v>
      </c>
      <c r="Q7" s="859"/>
      <c r="T7" s="873" t="s">
        <v>477</v>
      </c>
      <c r="U7" s="874">
        <v>0.91314932086423239</v>
      </c>
      <c r="V7" s="874">
        <v>0.91053525121359224</v>
      </c>
      <c r="X7" s="873"/>
      <c r="Y7" s="873"/>
    </row>
    <row r="8" spans="1:25" ht="10.5" customHeight="1">
      <c r="A8" s="136"/>
      <c r="B8" s="138"/>
      <c r="C8" s="138"/>
      <c r="D8" s="138"/>
      <c r="E8" s="138"/>
      <c r="F8" s="138"/>
      <c r="G8" s="138"/>
      <c r="H8" s="138"/>
      <c r="I8" s="138"/>
      <c r="J8" s="138"/>
      <c r="K8" s="138"/>
      <c r="L8" s="857" t="s">
        <v>513</v>
      </c>
      <c r="M8" s="857" t="s">
        <v>59</v>
      </c>
      <c r="N8" s="858">
        <v>13.2</v>
      </c>
      <c r="O8" s="859">
        <v>8.2182454450000009</v>
      </c>
      <c r="P8" s="859">
        <v>0.86471437763047154</v>
      </c>
      <c r="Q8" s="859"/>
      <c r="T8" s="873" t="s">
        <v>72</v>
      </c>
      <c r="U8" s="874">
        <v>0.88157391461717372</v>
      </c>
      <c r="V8" s="874">
        <v>0.75948087643846174</v>
      </c>
      <c r="X8" s="873"/>
      <c r="Y8" s="873"/>
    </row>
    <row r="9" spans="1:25" ht="10.5" customHeight="1">
      <c r="A9" s="136"/>
      <c r="B9" s="138"/>
      <c r="C9" s="138"/>
      <c r="D9" s="138"/>
      <c r="E9" s="138"/>
      <c r="F9" s="138"/>
      <c r="G9" s="138"/>
      <c r="H9" s="138"/>
      <c r="I9" s="138"/>
      <c r="J9" s="138"/>
      <c r="K9" s="138"/>
      <c r="L9" s="857" t="s">
        <v>506</v>
      </c>
      <c r="M9" s="860" t="s">
        <v>59</v>
      </c>
      <c r="N9" s="858">
        <v>20</v>
      </c>
      <c r="O9" s="859">
        <v>8.1348132374999995</v>
      </c>
      <c r="P9" s="859">
        <v>0.56491758593749997</v>
      </c>
      <c r="Q9" s="859"/>
      <c r="T9" s="873" t="s">
        <v>63</v>
      </c>
      <c r="U9" s="874">
        <v>0.84200050427577666</v>
      </c>
      <c r="V9" s="874">
        <v>0.9315763726281272</v>
      </c>
      <c r="X9" s="873"/>
      <c r="Y9" s="873"/>
    </row>
    <row r="10" spans="1:25" ht="10.5" customHeight="1">
      <c r="A10" s="136"/>
      <c r="B10" s="138"/>
      <c r="C10" s="138"/>
      <c r="D10" s="138"/>
      <c r="E10" s="138"/>
      <c r="F10" s="138"/>
      <c r="G10" s="138"/>
      <c r="H10" s="138"/>
      <c r="I10" s="138"/>
      <c r="J10" s="138"/>
      <c r="K10" s="138"/>
      <c r="L10" s="857" t="s">
        <v>62</v>
      </c>
      <c r="M10" s="860" t="s">
        <v>59</v>
      </c>
      <c r="N10" s="858">
        <v>19.1995</v>
      </c>
      <c r="O10" s="859">
        <v>7.2777289625000003</v>
      </c>
      <c r="P10" s="859">
        <v>0.52646979829480522</v>
      </c>
      <c r="Q10" s="859"/>
      <c r="T10" s="873" t="s">
        <v>64</v>
      </c>
      <c r="U10" s="874">
        <v>0.83884575160563435</v>
      </c>
      <c r="V10" s="874">
        <v>0.74294224989473157</v>
      </c>
      <c r="X10" s="873"/>
      <c r="Y10" s="873"/>
    </row>
    <row r="11" spans="1:25" ht="10.5" customHeight="1">
      <c r="A11" s="136"/>
      <c r="B11" s="138"/>
      <c r="C11" s="138"/>
      <c r="D11" s="138"/>
      <c r="E11" s="138"/>
      <c r="F11" s="138"/>
      <c r="G11" s="138"/>
      <c r="H11" s="138"/>
      <c r="I11" s="138"/>
      <c r="J11" s="138"/>
      <c r="K11" s="138"/>
      <c r="L11" s="857" t="s">
        <v>63</v>
      </c>
      <c r="M11" s="860" t="s">
        <v>59</v>
      </c>
      <c r="N11" s="858">
        <v>9.9830000000000005</v>
      </c>
      <c r="O11" s="859">
        <v>6.0958465474999999</v>
      </c>
      <c r="P11" s="859">
        <v>0.84808710189266201</v>
      </c>
      <c r="Q11" s="859"/>
      <c r="T11" s="873" t="s">
        <v>58</v>
      </c>
      <c r="U11" s="874">
        <v>0.83796735349034412</v>
      </c>
      <c r="V11" s="874">
        <v>0.86356607775575756</v>
      </c>
      <c r="X11" s="873"/>
      <c r="Y11" s="873"/>
    </row>
    <row r="12" spans="1:25" ht="10.5" customHeight="1">
      <c r="A12" s="136"/>
      <c r="B12" s="138"/>
      <c r="C12" s="138"/>
      <c r="D12" s="138"/>
      <c r="E12" s="138"/>
      <c r="F12" s="138"/>
      <c r="G12" s="138"/>
      <c r="H12" s="138"/>
      <c r="I12" s="138"/>
      <c r="J12" s="138"/>
      <c r="K12" s="138"/>
      <c r="L12" s="857" t="s">
        <v>64</v>
      </c>
      <c r="M12" s="857" t="s">
        <v>59</v>
      </c>
      <c r="N12" s="858">
        <v>19.899999999999999</v>
      </c>
      <c r="O12" s="859">
        <v>5.9306113324999998</v>
      </c>
      <c r="P12" s="859">
        <v>0.41391759718732557</v>
      </c>
      <c r="Q12" s="859"/>
      <c r="T12" s="873" t="s">
        <v>62</v>
      </c>
      <c r="U12" s="874">
        <v>0.83286616076414288</v>
      </c>
      <c r="V12" s="874">
        <v>0.85016339032506272</v>
      </c>
      <c r="X12" s="873"/>
      <c r="Y12" s="873"/>
    </row>
    <row r="13" spans="1:25" ht="10.5" customHeight="1">
      <c r="A13" s="136"/>
      <c r="B13" s="138"/>
      <c r="C13" s="138"/>
      <c r="D13" s="138"/>
      <c r="E13" s="138"/>
      <c r="F13" s="138"/>
      <c r="G13" s="138"/>
      <c r="H13" s="138"/>
      <c r="I13" s="138"/>
      <c r="J13" s="138"/>
      <c r="K13" s="138"/>
      <c r="L13" s="857" t="s">
        <v>492</v>
      </c>
      <c r="M13" s="857" t="s">
        <v>59</v>
      </c>
      <c r="N13" s="858">
        <v>20.16</v>
      </c>
      <c r="O13" s="859">
        <v>5.7340693700000003</v>
      </c>
      <c r="P13" s="859">
        <v>0.39503895020392416</v>
      </c>
      <c r="Q13" s="859"/>
      <c r="T13" s="873" t="s">
        <v>67</v>
      </c>
      <c r="U13" s="874">
        <v>0.80360317028630124</v>
      </c>
      <c r="V13" s="874">
        <v>0.79682203237816351</v>
      </c>
      <c r="X13" s="873"/>
      <c r="Y13" s="873"/>
    </row>
    <row r="14" spans="1:25" ht="10.5" customHeight="1">
      <c r="A14" s="136"/>
      <c r="B14" s="138"/>
      <c r="C14" s="138"/>
      <c r="D14" s="138"/>
      <c r="E14" s="138"/>
      <c r="F14" s="138"/>
      <c r="G14" s="138"/>
      <c r="H14" s="138"/>
      <c r="I14" s="138"/>
      <c r="J14" s="138"/>
      <c r="K14" s="138"/>
      <c r="L14" s="857" t="s">
        <v>491</v>
      </c>
      <c r="M14" s="857" t="s">
        <v>59</v>
      </c>
      <c r="N14" s="858">
        <v>20.16</v>
      </c>
      <c r="O14" s="859">
        <v>5.6947082025000002</v>
      </c>
      <c r="P14" s="859">
        <v>0.39232722955935845</v>
      </c>
      <c r="Q14" s="859"/>
      <c r="T14" s="873" t="s">
        <v>75</v>
      </c>
      <c r="U14" s="874">
        <v>0.80171358060482389</v>
      </c>
      <c r="V14" s="874">
        <v>0.67549706102621576</v>
      </c>
      <c r="X14" s="873"/>
      <c r="Y14" s="873"/>
    </row>
    <row r="15" spans="1:25" ht="11.25" customHeight="1">
      <c r="A15" s="136"/>
      <c r="B15" s="138"/>
      <c r="C15" s="138"/>
      <c r="D15" s="138"/>
      <c r="E15" s="138"/>
      <c r="F15" s="138"/>
      <c r="G15" s="138"/>
      <c r="H15" s="138"/>
      <c r="I15" s="138"/>
      <c r="J15" s="138"/>
      <c r="K15" s="138"/>
      <c r="L15" s="857" t="s">
        <v>67</v>
      </c>
      <c r="M15" s="857" t="s">
        <v>59</v>
      </c>
      <c r="N15" s="858">
        <v>7.7450000000000001</v>
      </c>
      <c r="O15" s="859">
        <v>5.6798131400000003</v>
      </c>
      <c r="P15" s="859">
        <v>1</v>
      </c>
      <c r="Q15" s="859"/>
      <c r="T15" s="873" t="s">
        <v>513</v>
      </c>
      <c r="U15" s="874">
        <v>0.77921907572792848</v>
      </c>
      <c r="V15" s="874"/>
      <c r="X15" s="873"/>
      <c r="Y15" s="873"/>
    </row>
    <row r="16" spans="1:25" ht="11.25" customHeight="1">
      <c r="A16" s="136"/>
      <c r="B16" s="138"/>
      <c r="C16" s="138"/>
      <c r="D16" s="138"/>
      <c r="E16" s="138"/>
      <c r="F16" s="138"/>
      <c r="G16" s="138"/>
      <c r="H16" s="138"/>
      <c r="I16" s="138"/>
      <c r="J16" s="138"/>
      <c r="K16" s="138"/>
      <c r="L16" s="857" t="s">
        <v>70</v>
      </c>
      <c r="M16" s="857" t="s">
        <v>59</v>
      </c>
      <c r="N16" s="858">
        <v>9.5660000000000007</v>
      </c>
      <c r="O16" s="859">
        <v>5.5286384099999992</v>
      </c>
      <c r="P16" s="859">
        <v>0.80270379033382111</v>
      </c>
      <c r="Q16" s="859"/>
      <c r="T16" s="873" t="s">
        <v>65</v>
      </c>
      <c r="U16" s="874">
        <v>0.76981830413620589</v>
      </c>
      <c r="V16" s="874">
        <v>0.794259037928431</v>
      </c>
      <c r="X16" s="873"/>
      <c r="Y16" s="873"/>
    </row>
    <row r="17" spans="1:25" ht="11.25" customHeight="1">
      <c r="A17" s="136"/>
      <c r="B17" s="138"/>
      <c r="C17" s="138"/>
      <c r="D17" s="138"/>
      <c r="E17" s="138"/>
      <c r="F17" s="138"/>
      <c r="G17" s="138"/>
      <c r="H17" s="138"/>
      <c r="I17" s="138"/>
      <c r="J17" s="138"/>
      <c r="K17" s="138"/>
      <c r="L17" s="857" t="s">
        <v>58</v>
      </c>
      <c r="M17" s="857" t="s">
        <v>59</v>
      </c>
      <c r="N17" s="858">
        <v>19.966000000000001</v>
      </c>
      <c r="O17" s="859">
        <v>5.3805592100000004</v>
      </c>
      <c r="P17" s="859">
        <v>0.37428623173283471</v>
      </c>
      <c r="Q17" s="859"/>
      <c r="T17" s="873" t="s">
        <v>66</v>
      </c>
      <c r="U17" s="874">
        <v>0.76185422766450717</v>
      </c>
      <c r="V17" s="874">
        <v>0.78702231702984926</v>
      </c>
      <c r="X17" s="873"/>
      <c r="Y17" s="873"/>
    </row>
    <row r="18" spans="1:25">
      <c r="A18" s="136"/>
      <c r="B18" s="138"/>
      <c r="C18" s="138"/>
      <c r="D18" s="138"/>
      <c r="E18" s="138"/>
      <c r="F18" s="138"/>
      <c r="G18" s="138"/>
      <c r="H18" s="138"/>
      <c r="I18" s="138"/>
      <c r="J18" s="138"/>
      <c r="K18" s="138"/>
      <c r="L18" s="857" t="s">
        <v>493</v>
      </c>
      <c r="M18" s="857" t="s">
        <v>59</v>
      </c>
      <c r="N18" s="858">
        <v>20.16</v>
      </c>
      <c r="O18" s="859">
        <v>4.5843103900000006</v>
      </c>
      <c r="P18" s="859">
        <v>0.31582826209766318</v>
      </c>
      <c r="Q18" s="859"/>
      <c r="T18" s="873" t="s">
        <v>74</v>
      </c>
      <c r="U18" s="874">
        <v>0.71172597660887238</v>
      </c>
      <c r="V18" s="874">
        <v>0.82268752730746275</v>
      </c>
      <c r="X18" s="873"/>
      <c r="Y18" s="873"/>
    </row>
    <row r="19" spans="1:25">
      <c r="A19" s="136"/>
      <c r="B19" s="138"/>
      <c r="C19" s="138"/>
      <c r="D19" s="138"/>
      <c r="E19" s="138"/>
      <c r="F19" s="138"/>
      <c r="G19" s="138"/>
      <c r="H19" s="138"/>
      <c r="I19" s="138"/>
      <c r="J19" s="138"/>
      <c r="K19" s="138"/>
      <c r="L19" s="857" t="s">
        <v>61</v>
      </c>
      <c r="M19" s="857" t="s">
        <v>59</v>
      </c>
      <c r="N19" s="858">
        <v>19.966999999999999</v>
      </c>
      <c r="O19" s="859">
        <v>3.6369585575000003</v>
      </c>
      <c r="P19" s="859">
        <v>0.2529839900766821</v>
      </c>
      <c r="Q19" s="859"/>
      <c r="T19" s="873" t="s">
        <v>71</v>
      </c>
      <c r="U19" s="874">
        <v>0.71010240177283923</v>
      </c>
      <c r="V19" s="874">
        <v>0.84068418876948559</v>
      </c>
      <c r="X19" s="873"/>
      <c r="Y19" s="873"/>
    </row>
    <row r="20" spans="1:25">
      <c r="A20" s="136"/>
      <c r="B20" s="138"/>
      <c r="C20" s="138"/>
      <c r="D20" s="138"/>
      <c r="E20" s="138"/>
      <c r="F20" s="138"/>
      <c r="G20" s="138"/>
      <c r="H20" s="138"/>
      <c r="I20" s="138"/>
      <c r="J20" s="138"/>
      <c r="K20" s="138"/>
      <c r="L20" s="857" t="s">
        <v>72</v>
      </c>
      <c r="M20" s="857" t="s">
        <v>59</v>
      </c>
      <c r="N20" s="858">
        <v>5.67</v>
      </c>
      <c r="O20" s="859">
        <v>3.1279569275000001</v>
      </c>
      <c r="P20" s="859">
        <v>0.76620540062218312</v>
      </c>
      <c r="Q20" s="859"/>
      <c r="T20" s="873" t="s">
        <v>68</v>
      </c>
      <c r="U20" s="874">
        <v>0.70686604352589955</v>
      </c>
      <c r="V20" s="874">
        <v>0.6826617134352474</v>
      </c>
      <c r="X20" s="873"/>
      <c r="Y20" s="873"/>
    </row>
    <row r="21" spans="1:25">
      <c r="A21" s="136"/>
      <c r="B21" s="138"/>
      <c r="C21" s="138"/>
      <c r="D21" s="138"/>
      <c r="E21" s="138"/>
      <c r="F21" s="138"/>
      <c r="G21" s="138"/>
      <c r="H21" s="138"/>
      <c r="I21" s="138"/>
      <c r="J21" s="138"/>
      <c r="K21" s="138"/>
      <c r="L21" s="857" t="s">
        <v>65</v>
      </c>
      <c r="M21" s="857" t="s">
        <v>59</v>
      </c>
      <c r="N21" s="858">
        <v>10.222</v>
      </c>
      <c r="O21" s="859">
        <v>2.5327437475000001</v>
      </c>
      <c r="P21" s="859">
        <v>0.34413027287277992</v>
      </c>
      <c r="Q21" s="859"/>
      <c r="T21" s="873" t="s">
        <v>69</v>
      </c>
      <c r="U21" s="874">
        <v>0.70253064881991201</v>
      </c>
      <c r="V21" s="874">
        <v>0.66470650238248741</v>
      </c>
      <c r="X21" s="873"/>
      <c r="Y21" s="873"/>
    </row>
    <row r="22" spans="1:25">
      <c r="A22" s="136"/>
      <c r="B22" s="138"/>
      <c r="C22" s="138"/>
      <c r="D22" s="138"/>
      <c r="E22" s="138"/>
      <c r="F22" s="138"/>
      <c r="G22" s="138"/>
      <c r="H22" s="138"/>
      <c r="I22" s="138"/>
      <c r="J22" s="138"/>
      <c r="K22" s="138"/>
      <c r="L22" s="857" t="s">
        <v>75</v>
      </c>
      <c r="M22" s="857" t="s">
        <v>59</v>
      </c>
      <c r="N22" s="858">
        <v>3.964</v>
      </c>
      <c r="O22" s="859">
        <v>2.3144</v>
      </c>
      <c r="P22" s="859">
        <v>0.8109092947639871</v>
      </c>
      <c r="Q22" s="859"/>
      <c r="T22" s="873" t="s">
        <v>61</v>
      </c>
      <c r="U22" s="874">
        <v>0.69757106577948491</v>
      </c>
      <c r="V22" s="874">
        <v>0.69622168953312558</v>
      </c>
      <c r="X22" s="873"/>
      <c r="Y22" s="873"/>
    </row>
    <row r="23" spans="1:25">
      <c r="A23" s="136"/>
      <c r="B23" s="138"/>
      <c r="C23" s="138"/>
      <c r="D23" s="138"/>
      <c r="E23" s="138"/>
      <c r="F23" s="138"/>
      <c r="G23" s="138"/>
      <c r="H23" s="138"/>
      <c r="I23" s="138"/>
      <c r="J23" s="138"/>
      <c r="K23" s="138"/>
      <c r="L23" s="857" t="s">
        <v>66</v>
      </c>
      <c r="M23" s="857" t="s">
        <v>59</v>
      </c>
      <c r="N23" s="858">
        <v>9.85</v>
      </c>
      <c r="O23" s="859">
        <v>2.1812907025000001</v>
      </c>
      <c r="P23" s="859">
        <v>0.30757060102932887</v>
      </c>
      <c r="Q23" s="859"/>
      <c r="T23" s="873" t="s">
        <v>70</v>
      </c>
      <c r="U23" s="874">
        <v>0.69370181273580955</v>
      </c>
      <c r="V23" s="874">
        <v>0.73064262887060882</v>
      </c>
      <c r="X23" s="873"/>
      <c r="Y23" s="873"/>
    </row>
    <row r="24" spans="1:25">
      <c r="A24" s="136"/>
      <c r="B24" s="138"/>
      <c r="C24" s="138"/>
      <c r="D24" s="138"/>
      <c r="E24" s="138"/>
      <c r="F24" s="138"/>
      <c r="G24" s="138"/>
      <c r="H24" s="138"/>
      <c r="I24" s="138"/>
      <c r="J24" s="138"/>
      <c r="K24" s="138"/>
      <c r="L24" s="857" t="s">
        <v>68</v>
      </c>
      <c r="M24" s="857" t="s">
        <v>59</v>
      </c>
      <c r="N24" s="858">
        <v>7.4240000000000004</v>
      </c>
      <c r="O24" s="859">
        <v>1.9347021025</v>
      </c>
      <c r="P24" s="859">
        <v>0.3619458854353747</v>
      </c>
      <c r="Q24" s="859"/>
      <c r="T24" s="873" t="s">
        <v>506</v>
      </c>
      <c r="U24" s="874">
        <v>0.67445903522099415</v>
      </c>
      <c r="V24" s="874"/>
      <c r="X24" s="873"/>
      <c r="Y24" s="873"/>
    </row>
    <row r="25" spans="1:25">
      <c r="A25" s="136"/>
      <c r="B25" s="138"/>
      <c r="C25" s="138"/>
      <c r="D25" s="138"/>
      <c r="E25" s="138"/>
      <c r="F25" s="138"/>
      <c r="G25" s="138"/>
      <c r="H25" s="138"/>
      <c r="I25" s="138"/>
      <c r="J25" s="138"/>
      <c r="K25" s="138"/>
      <c r="L25" s="857" t="s">
        <v>74</v>
      </c>
      <c r="M25" s="857" t="s">
        <v>59</v>
      </c>
      <c r="N25" s="858">
        <v>3.91621</v>
      </c>
      <c r="O25" s="859">
        <v>1.8726233400000001</v>
      </c>
      <c r="P25" s="859">
        <v>0.66412826431677563</v>
      </c>
      <c r="Q25" s="859"/>
      <c r="T25" s="873" t="s">
        <v>494</v>
      </c>
      <c r="U25" s="874">
        <v>0.57291269567219161</v>
      </c>
      <c r="V25" s="874"/>
      <c r="X25" s="873"/>
      <c r="Y25" s="873"/>
    </row>
    <row r="26" spans="1:25">
      <c r="A26" s="136"/>
      <c r="B26" s="138"/>
      <c r="C26" s="138"/>
      <c r="D26" s="138"/>
      <c r="E26" s="138"/>
      <c r="F26" s="138"/>
      <c r="G26" s="138"/>
      <c r="H26" s="138"/>
      <c r="I26" s="138"/>
      <c r="J26" s="138"/>
      <c r="K26" s="138"/>
      <c r="L26" s="857" t="s">
        <v>69</v>
      </c>
      <c r="M26" s="857" t="s">
        <v>59</v>
      </c>
      <c r="N26" s="858">
        <v>6.9580000000000002</v>
      </c>
      <c r="O26" s="859">
        <v>1.6002257824999999</v>
      </c>
      <c r="P26" s="859">
        <v>0.31942164544808532</v>
      </c>
      <c r="Q26" s="859"/>
      <c r="T26" s="873" t="s">
        <v>73</v>
      </c>
      <c r="U26" s="874">
        <v>0.5722691557651195</v>
      </c>
      <c r="V26" s="874">
        <v>0.95700772038589355</v>
      </c>
      <c r="X26" s="873"/>
      <c r="Y26" s="873"/>
    </row>
    <row r="27" spans="1:25">
      <c r="A27" s="136"/>
      <c r="B27" s="138"/>
      <c r="C27" s="138"/>
      <c r="D27" s="138"/>
      <c r="E27" s="138"/>
      <c r="F27" s="138"/>
      <c r="G27" s="138"/>
      <c r="H27" s="138"/>
      <c r="I27" s="138"/>
      <c r="J27" s="138"/>
      <c r="K27" s="138"/>
      <c r="L27" s="857" t="s">
        <v>73</v>
      </c>
      <c r="M27" s="857" t="s">
        <v>59</v>
      </c>
      <c r="N27" s="858">
        <v>3.48</v>
      </c>
      <c r="O27" s="859">
        <v>1.2968324550000001</v>
      </c>
      <c r="P27" s="859">
        <v>0.51757361709770122</v>
      </c>
      <c r="Q27" s="859"/>
      <c r="T27" s="873" t="s">
        <v>491</v>
      </c>
      <c r="U27" s="874">
        <v>0.50945329199963818</v>
      </c>
      <c r="V27" s="874"/>
      <c r="X27" s="873"/>
      <c r="Y27" s="873"/>
    </row>
    <row r="28" spans="1:25">
      <c r="A28" s="136"/>
      <c r="B28" s="138"/>
      <c r="C28" s="138"/>
      <c r="D28" s="138"/>
      <c r="E28" s="138"/>
      <c r="F28" s="138"/>
      <c r="G28" s="138"/>
      <c r="H28" s="138"/>
      <c r="I28" s="138"/>
      <c r="J28" s="138"/>
      <c r="K28" s="138"/>
      <c r="L28" s="857" t="s">
        <v>71</v>
      </c>
      <c r="M28" s="857" t="s">
        <v>59</v>
      </c>
      <c r="N28" s="858">
        <v>5.1890000000000001</v>
      </c>
      <c r="O28" s="859">
        <v>0.64195259750000011</v>
      </c>
      <c r="P28" s="859">
        <v>0.1718251743806343</v>
      </c>
      <c r="Q28" s="859"/>
      <c r="T28" s="873" t="s">
        <v>492</v>
      </c>
      <c r="U28" s="874">
        <v>0.50178003632656076</v>
      </c>
      <c r="V28" s="874"/>
      <c r="X28" s="873"/>
      <c r="Y28" s="873"/>
    </row>
    <row r="29" spans="1:25">
      <c r="A29" s="136"/>
      <c r="B29" s="138"/>
      <c r="C29" s="138"/>
      <c r="D29" s="138"/>
      <c r="E29" s="138"/>
      <c r="F29" s="138"/>
      <c r="G29" s="138"/>
      <c r="H29" s="138"/>
      <c r="I29" s="138"/>
      <c r="J29" s="138"/>
      <c r="K29" s="138"/>
      <c r="L29" s="857" t="s">
        <v>494</v>
      </c>
      <c r="M29" s="857" t="s">
        <v>59</v>
      </c>
      <c r="N29" s="858">
        <v>0.7</v>
      </c>
      <c r="O29" s="859">
        <v>0.28858421249999999</v>
      </c>
      <c r="P29" s="859">
        <v>0.57258772321428575</v>
      </c>
      <c r="Q29" s="859"/>
      <c r="T29" s="873" t="s">
        <v>493</v>
      </c>
      <c r="U29" s="874">
        <v>0.46613436482586817</v>
      </c>
      <c r="V29" s="874"/>
      <c r="X29" s="873"/>
      <c r="Y29" s="873"/>
    </row>
    <row r="30" spans="1:25">
      <c r="A30" s="136"/>
      <c r="B30" s="138"/>
      <c r="C30" s="138"/>
      <c r="D30" s="138"/>
      <c r="E30" s="138"/>
      <c r="F30" s="138"/>
      <c r="G30" s="138"/>
      <c r="H30" s="138"/>
      <c r="I30" s="138"/>
      <c r="J30" s="138"/>
      <c r="K30" s="138"/>
      <c r="L30" s="857" t="s">
        <v>76</v>
      </c>
      <c r="M30" s="857" t="s">
        <v>59</v>
      </c>
      <c r="N30" s="858">
        <v>1.714</v>
      </c>
      <c r="O30" s="859">
        <v>0.1493651225</v>
      </c>
      <c r="P30" s="859">
        <v>0.12103358169648647</v>
      </c>
      <c r="Q30" s="859"/>
      <c r="T30" s="873" t="s">
        <v>76</v>
      </c>
      <c r="U30" s="874">
        <v>0.10902908671357751</v>
      </c>
      <c r="V30" s="874">
        <v>0.19354624083487521</v>
      </c>
      <c r="X30" s="873"/>
      <c r="Y30" s="873"/>
    </row>
    <row r="31" spans="1:25">
      <c r="A31" s="136"/>
      <c r="B31" s="138"/>
      <c r="C31" s="138"/>
      <c r="D31" s="138"/>
      <c r="E31" s="138"/>
      <c r="F31" s="138"/>
      <c r="G31" s="138"/>
      <c r="H31" s="138"/>
      <c r="I31" s="138"/>
      <c r="J31" s="138"/>
      <c r="K31" s="138"/>
      <c r="L31" s="857" t="s">
        <v>531</v>
      </c>
      <c r="M31" s="857" t="s">
        <v>225</v>
      </c>
      <c r="N31" s="858">
        <v>132.30000000000001</v>
      </c>
      <c r="O31" s="859">
        <v>52.934591932499998</v>
      </c>
      <c r="P31" s="859">
        <v>0.5557087420477449</v>
      </c>
      <c r="Q31" s="859"/>
      <c r="S31" s="873" t="s">
        <v>576</v>
      </c>
      <c r="T31" s="873" t="s">
        <v>79</v>
      </c>
      <c r="U31" s="874">
        <v>0.55914264202420005</v>
      </c>
      <c r="V31" s="874">
        <v>0.51365338755683121</v>
      </c>
      <c r="X31" s="873"/>
      <c r="Y31" s="873"/>
    </row>
    <row r="32" spans="1:25">
      <c r="A32" s="136"/>
      <c r="B32" s="138"/>
      <c r="C32" s="138"/>
      <c r="D32" s="138"/>
      <c r="E32" s="138"/>
      <c r="F32" s="138"/>
      <c r="G32" s="138"/>
      <c r="H32" s="138"/>
      <c r="I32" s="138"/>
      <c r="J32" s="138"/>
      <c r="K32" s="138"/>
      <c r="L32" s="857" t="s">
        <v>77</v>
      </c>
      <c r="M32" s="857" t="s">
        <v>225</v>
      </c>
      <c r="N32" s="858">
        <v>97.15</v>
      </c>
      <c r="O32" s="859">
        <v>39.74377037</v>
      </c>
      <c r="P32" s="859">
        <v>0.5681902323154342</v>
      </c>
      <c r="Q32" s="859"/>
      <c r="T32" s="873" t="s">
        <v>77</v>
      </c>
      <c r="U32" s="874">
        <v>0.54720170909716037</v>
      </c>
      <c r="V32" s="874">
        <v>0.53756890027738025</v>
      </c>
      <c r="X32" s="873"/>
      <c r="Y32" s="873"/>
    </row>
    <row r="33" spans="1:25">
      <c r="A33" s="136"/>
      <c r="B33" s="138"/>
      <c r="C33" s="138"/>
      <c r="D33" s="138"/>
      <c r="E33" s="138"/>
      <c r="F33" s="138"/>
      <c r="G33" s="138"/>
      <c r="H33" s="138"/>
      <c r="I33" s="138"/>
      <c r="J33" s="138"/>
      <c r="K33" s="138"/>
      <c r="L33" s="857" t="s">
        <v>78</v>
      </c>
      <c r="M33" s="857" t="s">
        <v>225</v>
      </c>
      <c r="N33" s="858">
        <v>83.15</v>
      </c>
      <c r="O33" s="859">
        <v>26.913110274999998</v>
      </c>
      <c r="P33" s="859">
        <v>0.4495408277376895</v>
      </c>
      <c r="Q33" s="859"/>
      <c r="T33" s="873" t="s">
        <v>531</v>
      </c>
      <c r="U33" s="874">
        <v>0.47574337307155307</v>
      </c>
      <c r="V33" s="874">
        <v>0.52475391965787177</v>
      </c>
      <c r="X33" s="873"/>
      <c r="Y33" s="873"/>
    </row>
    <row r="34" spans="1:25">
      <c r="B34" s="138"/>
      <c r="C34" s="138"/>
      <c r="D34" s="138"/>
      <c r="E34" s="138"/>
      <c r="F34" s="138"/>
      <c r="G34" s="138"/>
      <c r="H34" s="138"/>
      <c r="I34" s="138"/>
      <c r="J34" s="138"/>
      <c r="K34" s="138"/>
      <c r="L34" s="857" t="s">
        <v>80</v>
      </c>
      <c r="M34" s="857" t="s">
        <v>225</v>
      </c>
      <c r="N34" s="858">
        <v>30.86</v>
      </c>
      <c r="O34" s="859">
        <v>14.476991079999999</v>
      </c>
      <c r="P34" s="859">
        <v>0.65155320983653775</v>
      </c>
      <c r="Q34" s="859"/>
      <c r="T34" s="873" t="s">
        <v>78</v>
      </c>
      <c r="U34" s="874">
        <v>0.44701753976150832</v>
      </c>
      <c r="V34" s="874">
        <v>0.38791925631416746</v>
      </c>
      <c r="X34" s="873"/>
      <c r="Y34" s="873"/>
    </row>
    <row r="35" spans="1:25">
      <c r="A35" s="136"/>
      <c r="B35" s="138"/>
      <c r="C35" s="138"/>
      <c r="D35" s="138"/>
      <c r="E35" s="138"/>
      <c r="F35" s="138"/>
      <c r="G35" s="138"/>
      <c r="H35" s="138"/>
      <c r="I35" s="138"/>
      <c r="J35" s="138"/>
      <c r="K35" s="138"/>
      <c r="L35" s="857" t="s">
        <v>79</v>
      </c>
      <c r="M35" s="857" t="s">
        <v>225</v>
      </c>
      <c r="N35" s="858">
        <v>32</v>
      </c>
      <c r="O35" s="859">
        <v>13.713851442499999</v>
      </c>
      <c r="P35" s="859">
        <v>0.59521924663628467</v>
      </c>
      <c r="Q35" s="859"/>
      <c r="T35" s="873" t="s">
        <v>80</v>
      </c>
      <c r="U35" s="874">
        <v>0.38480913039670622</v>
      </c>
      <c r="V35" s="874">
        <v>0.38729033287546444</v>
      </c>
      <c r="X35" s="873"/>
      <c r="Y35" s="873"/>
    </row>
    <row r="36" spans="1:25">
      <c r="A36" s="136"/>
      <c r="B36" s="138"/>
      <c r="C36" s="138"/>
      <c r="D36" s="138"/>
      <c r="E36" s="138"/>
      <c r="F36" s="138"/>
      <c r="G36" s="138"/>
      <c r="H36" s="138"/>
      <c r="I36" s="138"/>
      <c r="J36" s="138"/>
      <c r="K36" s="138"/>
      <c r="L36" s="857" t="s">
        <v>532</v>
      </c>
      <c r="M36" s="857" t="s">
        <v>81</v>
      </c>
      <c r="N36" s="858">
        <v>144.47999999999999</v>
      </c>
      <c r="O36" s="859">
        <v>29.48771451</v>
      </c>
      <c r="P36" s="859">
        <v>0.28346594021087124</v>
      </c>
      <c r="Q36" s="859"/>
      <c r="S36" s="873" t="s">
        <v>557</v>
      </c>
      <c r="T36" s="873" t="s">
        <v>82</v>
      </c>
      <c r="U36" s="874">
        <v>0.30867903688996307</v>
      </c>
      <c r="V36" s="874">
        <v>0.31758468811147561</v>
      </c>
      <c r="X36" s="873"/>
      <c r="Y36" s="873"/>
    </row>
    <row r="37" spans="1:25">
      <c r="A37" s="136"/>
      <c r="B37" s="138"/>
      <c r="C37" s="138"/>
      <c r="D37" s="138"/>
      <c r="E37" s="138"/>
      <c r="F37" s="138"/>
      <c r="G37" s="138"/>
      <c r="H37" s="138"/>
      <c r="I37" s="138"/>
      <c r="J37" s="138"/>
      <c r="K37" s="138"/>
      <c r="L37" s="857" t="s">
        <v>533</v>
      </c>
      <c r="M37" s="857" t="s">
        <v>81</v>
      </c>
      <c r="N37" s="858">
        <v>44.54</v>
      </c>
      <c r="O37" s="859">
        <v>7.2596672949999999</v>
      </c>
      <c r="P37" s="859">
        <v>0.22637789050416604</v>
      </c>
      <c r="Q37" s="859"/>
      <c r="T37" s="873" t="s">
        <v>532</v>
      </c>
      <c r="U37" s="874">
        <v>0.29603227328455739</v>
      </c>
      <c r="V37" s="874">
        <v>0.24265428605086789</v>
      </c>
    </row>
    <row r="38" spans="1:25" ht="11.25" customHeight="1">
      <c r="A38" s="136"/>
      <c r="B38" s="138"/>
      <c r="C38" s="138"/>
      <c r="D38" s="138"/>
      <c r="E38" s="138"/>
      <c r="F38" s="138"/>
      <c r="G38" s="138"/>
      <c r="H38" s="138"/>
      <c r="I38" s="138"/>
      <c r="J38" s="138"/>
      <c r="K38" s="138"/>
      <c r="L38" s="861" t="s">
        <v>244</v>
      </c>
      <c r="M38" s="862" t="s">
        <v>81</v>
      </c>
      <c r="N38" s="858">
        <v>20</v>
      </c>
      <c r="O38" s="859">
        <v>3.4844144999999997</v>
      </c>
      <c r="P38" s="859">
        <v>0.24197322916666666</v>
      </c>
      <c r="Q38" s="861"/>
      <c r="T38" s="873" t="s">
        <v>244</v>
      </c>
      <c r="U38" s="874">
        <v>0.26827097269221922</v>
      </c>
      <c r="V38" s="874">
        <v>0.27724395102440152</v>
      </c>
    </row>
    <row r="39" spans="1:25">
      <c r="A39" s="136"/>
      <c r="B39" s="138"/>
      <c r="C39" s="138"/>
      <c r="D39" s="138"/>
      <c r="E39" s="138"/>
      <c r="F39" s="138"/>
      <c r="G39" s="138"/>
      <c r="H39" s="138"/>
      <c r="I39" s="138"/>
      <c r="J39" s="138"/>
      <c r="K39" s="138"/>
      <c r="L39" s="852" t="s">
        <v>245</v>
      </c>
      <c r="M39" s="863" t="s">
        <v>81</v>
      </c>
      <c r="N39" s="858">
        <v>20</v>
      </c>
      <c r="O39" s="859">
        <v>3.3033308000000003</v>
      </c>
      <c r="P39" s="859">
        <v>0.22939797222222225</v>
      </c>
      <c r="T39" s="873" t="s">
        <v>243</v>
      </c>
      <c r="U39" s="874">
        <v>0.26276105884553408</v>
      </c>
      <c r="V39" s="874">
        <v>0.27477797689341621</v>
      </c>
    </row>
    <row r="40" spans="1:25">
      <c r="A40" s="136"/>
      <c r="B40" s="138"/>
      <c r="C40" s="138"/>
      <c r="D40" s="138"/>
      <c r="E40" s="138"/>
      <c r="F40" s="138"/>
      <c r="G40" s="138"/>
      <c r="H40" s="138"/>
      <c r="I40" s="138"/>
      <c r="J40" s="138"/>
      <c r="K40" s="138"/>
      <c r="L40" s="852" t="s">
        <v>82</v>
      </c>
      <c r="M40" s="863" t="s">
        <v>81</v>
      </c>
      <c r="N40" s="858">
        <v>16</v>
      </c>
      <c r="O40" s="859">
        <v>3.2727369275</v>
      </c>
      <c r="P40" s="859">
        <v>0.28409174717881946</v>
      </c>
      <c r="T40" s="873" t="s">
        <v>245</v>
      </c>
      <c r="U40" s="874">
        <v>0.24399783684392268</v>
      </c>
      <c r="V40" s="874">
        <v>0.24209621011740329</v>
      </c>
    </row>
    <row r="41" spans="1:25">
      <c r="A41" s="136"/>
      <c r="B41" s="138"/>
      <c r="C41" s="138"/>
      <c r="D41" s="138"/>
      <c r="E41" s="138"/>
      <c r="F41" s="138"/>
      <c r="G41" s="138"/>
      <c r="H41" s="138"/>
      <c r="I41" s="138"/>
      <c r="J41" s="138"/>
      <c r="K41" s="138"/>
      <c r="L41" s="852" t="s">
        <v>83</v>
      </c>
      <c r="M41" s="863" t="s">
        <v>81</v>
      </c>
      <c r="N41" s="858">
        <v>20</v>
      </c>
      <c r="O41" s="859">
        <v>3.2226788800000001</v>
      </c>
      <c r="P41" s="859">
        <v>0.22379714444444443</v>
      </c>
      <c r="T41" s="873" t="s">
        <v>533</v>
      </c>
      <c r="U41" s="874">
        <v>0.23959179066801953</v>
      </c>
      <c r="V41" s="874">
        <v>0.22986766693795838</v>
      </c>
    </row>
    <row r="42" spans="1:25">
      <c r="A42" s="136"/>
      <c r="B42" s="138"/>
      <c r="C42" s="138"/>
      <c r="D42" s="138"/>
      <c r="E42" s="138"/>
      <c r="F42" s="138"/>
      <c r="G42" s="138"/>
      <c r="H42" s="138"/>
      <c r="I42" s="138"/>
      <c r="J42" s="138"/>
      <c r="K42" s="138"/>
      <c r="L42" s="852" t="s">
        <v>243</v>
      </c>
      <c r="M42" s="852" t="s">
        <v>81</v>
      </c>
      <c r="N42" s="858">
        <v>20</v>
      </c>
      <c r="O42" s="859">
        <v>2.8413957125000002</v>
      </c>
      <c r="P42" s="859">
        <v>0.19731914670138889</v>
      </c>
      <c r="T42" s="873" t="s">
        <v>83</v>
      </c>
      <c r="U42" s="874">
        <v>0.23503944406077346</v>
      </c>
      <c r="V42" s="874">
        <v>0.21361223480662983</v>
      </c>
    </row>
    <row r="43" spans="1:25" ht="36" customHeight="1">
      <c r="A43" s="916"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junio 2019.
Nota: Son consideradas las centrales con operación comercial</v>
      </c>
      <c r="B43" s="916"/>
      <c r="C43" s="916"/>
      <c r="D43" s="916"/>
      <c r="E43" s="916"/>
      <c r="F43" s="916"/>
      <c r="G43" s="916"/>
      <c r="H43" s="916"/>
      <c r="I43" s="916"/>
      <c r="J43" s="916"/>
      <c r="K43" s="916"/>
      <c r="L43" s="852" t="s">
        <v>84</v>
      </c>
      <c r="M43" s="852" t="s">
        <v>471</v>
      </c>
      <c r="N43" s="858">
        <v>12.74105</v>
      </c>
      <c r="O43" s="859">
        <v>7.837976995</v>
      </c>
      <c r="P43" s="859">
        <v>0.85440989241249532</v>
      </c>
      <c r="S43" s="873" t="s">
        <v>558</v>
      </c>
      <c r="T43" s="873" t="s">
        <v>85</v>
      </c>
      <c r="U43" s="874">
        <v>0.9016831376948955</v>
      </c>
      <c r="V43" s="874">
        <v>0.92064557214454268</v>
      </c>
    </row>
    <row r="44" spans="1:25" ht="18" customHeight="1">
      <c r="A44" s="136"/>
      <c r="B44" s="138"/>
      <c r="C44" s="138"/>
      <c r="D44" s="138"/>
      <c r="E44" s="138"/>
      <c r="F44" s="138"/>
      <c r="G44" s="138"/>
      <c r="H44" s="138"/>
      <c r="I44" s="138"/>
      <c r="J44" s="138"/>
      <c r="K44" s="138"/>
      <c r="L44" s="852" t="s">
        <v>85</v>
      </c>
      <c r="M44" s="852" t="s">
        <v>471</v>
      </c>
      <c r="N44" s="858">
        <v>4.2625000000000002</v>
      </c>
      <c r="O44" s="859">
        <v>2.5669731850000002</v>
      </c>
      <c r="P44" s="859">
        <v>0.8364200667970022</v>
      </c>
      <c r="T44" s="873" t="s">
        <v>84</v>
      </c>
      <c r="U44" s="874">
        <v>0.80351072979564497</v>
      </c>
      <c r="V44" s="874">
        <v>0.76577915966657362</v>
      </c>
    </row>
    <row r="45" spans="1:25" ht="12">
      <c r="A45" s="136"/>
      <c r="B45" s="138"/>
      <c r="C45" s="920" t="str">
        <f>"Factor de planta de las centrales RER  Acumulado al "&amp;'1. Resumen'!Q7&amp;" de "&amp;'1. Resumen'!Q4</f>
        <v>Factor de planta de las centrales RER  Acumulado al 30 de junio</v>
      </c>
      <c r="D45" s="920"/>
      <c r="E45" s="920"/>
      <c r="F45" s="920"/>
      <c r="G45" s="920"/>
      <c r="H45" s="920"/>
      <c r="I45" s="920"/>
      <c r="J45" s="138"/>
      <c r="K45" s="138"/>
      <c r="L45" s="852" t="s">
        <v>534</v>
      </c>
      <c r="M45" s="852" t="s">
        <v>471</v>
      </c>
      <c r="N45" s="858">
        <v>2.4</v>
      </c>
      <c r="O45" s="859">
        <v>1.3650215649999999</v>
      </c>
      <c r="P45" s="859">
        <v>0.78994303530092602</v>
      </c>
      <c r="T45" s="873" t="s">
        <v>534</v>
      </c>
      <c r="U45" s="874">
        <v>0.73220944645871766</v>
      </c>
      <c r="V45" s="874"/>
    </row>
    <row r="46" spans="1:25" ht="9.75" customHeight="1">
      <c r="A46" s="136"/>
      <c r="B46" s="138"/>
      <c r="C46" s="138"/>
      <c r="D46" s="138"/>
      <c r="E46" s="138"/>
      <c r="F46" s="138"/>
      <c r="G46" s="138"/>
      <c r="H46" s="138"/>
      <c r="I46" s="138"/>
      <c r="J46" s="138"/>
      <c r="K46" s="138"/>
      <c r="L46" s="852" t="s">
        <v>86</v>
      </c>
      <c r="M46" s="852" t="s">
        <v>471</v>
      </c>
      <c r="N46" s="858">
        <v>2.9537</v>
      </c>
      <c r="O46" s="859">
        <v>0.48780634250000005</v>
      </c>
      <c r="P46" s="859">
        <v>0.22937631073832065</v>
      </c>
      <c r="T46" s="873" t="s">
        <v>86</v>
      </c>
      <c r="U46" s="873">
        <v>0.56804366652282579</v>
      </c>
      <c r="V46" s="874">
        <v>0.45569663994330922</v>
      </c>
    </row>
    <row r="47" spans="1:25" ht="9.75" customHeight="1">
      <c r="A47" s="136"/>
      <c r="B47" s="138"/>
      <c r="C47" s="138"/>
      <c r="D47" s="138"/>
      <c r="E47" s="138"/>
      <c r="F47" s="138"/>
      <c r="G47" s="138"/>
      <c r="H47" s="138"/>
      <c r="I47" s="138"/>
      <c r="J47" s="138"/>
      <c r="K47" s="138"/>
      <c r="N47" s="858"/>
      <c r="O47" s="859"/>
      <c r="P47" s="859"/>
    </row>
    <row r="48" spans="1:25" ht="9.75" customHeight="1">
      <c r="A48" s="136"/>
      <c r="B48" s="138"/>
      <c r="C48" s="138"/>
      <c r="D48" s="138"/>
      <c r="E48" s="138"/>
      <c r="F48" s="138"/>
      <c r="G48" s="138"/>
      <c r="H48" s="138"/>
      <c r="I48" s="138"/>
      <c r="J48" s="138"/>
      <c r="K48" s="138"/>
    </row>
    <row r="49" spans="1:11" ht="9.75" customHeight="1">
      <c r="A49" s="136"/>
      <c r="B49" s="138"/>
      <c r="C49" s="138"/>
      <c r="D49" s="138"/>
      <c r="E49" s="138"/>
      <c r="F49" s="138"/>
      <c r="G49" s="138"/>
      <c r="H49" s="138"/>
      <c r="I49" s="138"/>
      <c r="J49" s="138"/>
      <c r="K49" s="138"/>
    </row>
    <row r="50" spans="1:11" ht="9.75" customHeight="1">
      <c r="A50" s="136"/>
      <c r="B50" s="138"/>
      <c r="C50" s="138"/>
      <c r="D50" s="138"/>
      <c r="E50" s="138"/>
      <c r="F50" s="138"/>
      <c r="G50" s="138"/>
      <c r="H50" s="138"/>
      <c r="I50" s="138"/>
      <c r="J50" s="138"/>
      <c r="K50" s="138"/>
    </row>
    <row r="51" spans="1:11" ht="9.75" customHeight="1">
      <c r="A51" s="136"/>
      <c r="B51" s="138"/>
      <c r="C51" s="138"/>
      <c r="D51" s="138"/>
      <c r="E51" s="138"/>
      <c r="F51" s="138"/>
      <c r="G51" s="138"/>
      <c r="H51" s="138"/>
      <c r="I51" s="138"/>
      <c r="J51" s="138"/>
      <c r="K51" s="138"/>
    </row>
    <row r="52" spans="1:11" ht="9.75" customHeight="1">
      <c r="A52" s="136"/>
      <c r="B52" s="138"/>
      <c r="C52" s="138"/>
      <c r="D52" s="138"/>
      <c r="E52" s="138"/>
      <c r="F52" s="138"/>
      <c r="G52" s="138"/>
      <c r="H52" s="138"/>
      <c r="I52" s="138"/>
      <c r="J52" s="138"/>
      <c r="K52" s="138"/>
    </row>
    <row r="53" spans="1:11" ht="9.75" customHeight="1">
      <c r="B53" s="138"/>
      <c r="C53" s="138"/>
      <c r="D53" s="138"/>
      <c r="E53" s="138"/>
      <c r="F53" s="138"/>
      <c r="G53" s="138"/>
      <c r="H53" s="138"/>
      <c r="I53" s="138"/>
      <c r="J53" s="138"/>
      <c r="K53" s="138"/>
    </row>
    <row r="54" spans="1:11" ht="9.75" customHeight="1"/>
    <row r="55" spans="1:11" ht="9.75" customHeight="1"/>
    <row r="56" spans="1:11" ht="9.75" customHeight="1"/>
    <row r="57" spans="1:11" ht="9.75" customHeight="1"/>
    <row r="58" spans="1:11" ht="9.75" customHeight="1"/>
    <row r="59" spans="1:11" ht="9.75" customHeight="1"/>
    <row r="60" spans="1:11" ht="9.75" customHeight="1"/>
    <row r="61" spans="1:11" ht="9.75" customHeight="1"/>
    <row r="62" spans="1:11" ht="9.75" customHeight="1"/>
    <row r="64" spans="1:11" ht="26.25" customHeight="1">
      <c r="A64" s="916"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junio.
Nota: Son consideradas las centrales con operación comercial</v>
      </c>
      <c r="B64" s="916"/>
      <c r="C64" s="916"/>
      <c r="D64" s="916"/>
      <c r="E64" s="916"/>
      <c r="F64" s="916"/>
      <c r="G64" s="916"/>
      <c r="H64" s="916"/>
      <c r="I64" s="916"/>
      <c r="J64" s="916"/>
      <c r="K64" s="916"/>
    </row>
  </sheetData>
  <mergeCells count="4">
    <mergeCell ref="A43:K43"/>
    <mergeCell ref="A2:K2"/>
    <mergeCell ref="C45:I45"/>
    <mergeCell ref="A64:K64"/>
  </mergeCells>
  <pageMargins left="0.70866141732283472" right="0.59055118110236227"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7A5"/>
  </sheetPr>
  <dimension ref="A1:N72"/>
  <sheetViews>
    <sheetView showGridLines="0" view="pageBreakPreview" topLeftCell="B1" zoomScale="130" zoomScaleNormal="100" zoomScaleSheetLayoutView="130" zoomScalePageLayoutView="145" workbookViewId="0">
      <selection activeCell="C12" sqref="C12"/>
    </sheetView>
  </sheetViews>
  <sheetFormatPr defaultColWidth="9.33203125" defaultRowHeight="11.25"/>
  <cols>
    <col min="1" max="1" width="30.1640625" customWidth="1"/>
    <col min="2"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17" t="s">
        <v>247</v>
      </c>
      <c r="B2" s="917"/>
      <c r="C2" s="917"/>
      <c r="D2" s="917"/>
      <c r="E2" s="917"/>
      <c r="F2" s="917"/>
      <c r="G2" s="917"/>
      <c r="H2" s="917"/>
      <c r="I2" s="917"/>
      <c r="J2" s="17"/>
    </row>
    <row r="3" spans="1:14" ht="6" customHeight="1">
      <c r="A3" s="17"/>
      <c r="B3" s="17"/>
      <c r="C3" s="17"/>
      <c r="D3" s="17"/>
      <c r="E3" s="17"/>
      <c r="F3" s="17"/>
      <c r="G3" s="17"/>
      <c r="H3" s="17"/>
      <c r="I3" s="17"/>
      <c r="J3" s="17"/>
      <c r="K3" s="358"/>
      <c r="L3" s="358"/>
    </row>
    <row r="4" spans="1:14" ht="11.25" customHeight="1">
      <c r="A4" s="923" t="s">
        <v>259</v>
      </c>
      <c r="B4" s="924" t="str">
        <f>+'1. Resumen'!Q4</f>
        <v>junio</v>
      </c>
      <c r="C4" s="925"/>
      <c r="D4" s="925"/>
      <c r="E4" s="138"/>
      <c r="F4" s="138"/>
      <c r="G4" s="926" t="s">
        <v>515</v>
      </c>
      <c r="H4" s="926"/>
      <c r="I4" s="926"/>
      <c r="J4" s="138"/>
      <c r="L4" s="359"/>
      <c r="M4" s="360">
        <v>2019</v>
      </c>
      <c r="N4" s="360">
        <v>2018</v>
      </c>
    </row>
    <row r="5" spans="1:14" ht="11.25" customHeight="1">
      <c r="A5" s="923"/>
      <c r="B5" s="535">
        <f>+'1. Resumen'!Q5</f>
        <v>2019</v>
      </c>
      <c r="C5" s="536">
        <f>+B5-1</f>
        <v>2018</v>
      </c>
      <c r="D5" s="536" t="s">
        <v>35</v>
      </c>
      <c r="E5" s="138"/>
      <c r="F5" s="138"/>
      <c r="G5" s="138"/>
      <c r="H5" s="138"/>
      <c r="I5" s="138"/>
      <c r="J5" s="138"/>
      <c r="K5" s="361"/>
      <c r="L5" s="365" t="s">
        <v>248</v>
      </c>
      <c r="M5" s="363">
        <v>0</v>
      </c>
      <c r="N5" s="363">
        <v>0</v>
      </c>
    </row>
    <row r="6" spans="1:14" ht="10.5" customHeight="1">
      <c r="A6" s="428" t="s">
        <v>486</v>
      </c>
      <c r="B6" s="445">
        <v>715.561220585</v>
      </c>
      <c r="C6" s="446">
        <v>786.8584679999999</v>
      </c>
      <c r="D6" s="429">
        <f>IF(C6=0,"",B6/C6-1)</f>
        <v>-9.0610002070918738E-2</v>
      </c>
      <c r="E6" s="138"/>
      <c r="F6" s="138"/>
      <c r="G6" s="138"/>
      <c r="H6" s="138"/>
      <c r="I6" s="138"/>
      <c r="J6" s="138"/>
      <c r="K6" s="364"/>
      <c r="L6" s="365" t="s">
        <v>257</v>
      </c>
      <c r="M6" s="363">
        <v>0</v>
      </c>
      <c r="N6" s="363">
        <v>6.0849242749999997</v>
      </c>
    </row>
    <row r="7" spans="1:14" ht="10.5" customHeight="1">
      <c r="A7" s="430" t="s">
        <v>89</v>
      </c>
      <c r="B7" s="447">
        <v>606.7002686525002</v>
      </c>
      <c r="C7" s="447">
        <v>544.87119004249973</v>
      </c>
      <c r="D7" s="431">
        <f t="shared" ref="D7:D63" si="0">IF(C7=0,"",B7/C7-1)</f>
        <v>0.11347467023385449</v>
      </c>
      <c r="E7" s="441"/>
      <c r="F7" s="138"/>
      <c r="G7" s="138"/>
      <c r="H7" s="138"/>
      <c r="I7" s="138"/>
      <c r="J7" s="138"/>
      <c r="L7" s="363" t="s">
        <v>120</v>
      </c>
      <c r="M7" s="363">
        <v>0.1493651225</v>
      </c>
      <c r="N7" s="363">
        <v>0.22080923250000001</v>
      </c>
    </row>
    <row r="8" spans="1:14" ht="10.5" customHeight="1">
      <c r="A8" s="428" t="s">
        <v>90</v>
      </c>
      <c r="B8" s="446">
        <v>605.81295895749997</v>
      </c>
      <c r="C8" s="446">
        <v>598.12826639999992</v>
      </c>
      <c r="D8" s="429">
        <f t="shared" si="0"/>
        <v>1.2847900674804347E-2</v>
      </c>
      <c r="E8" s="138"/>
      <c r="F8" s="138"/>
      <c r="G8" s="138"/>
      <c r="H8" s="138"/>
      <c r="I8" s="138"/>
      <c r="J8" s="138"/>
      <c r="L8" s="365" t="s">
        <v>490</v>
      </c>
      <c r="M8" s="363">
        <v>0.22750075</v>
      </c>
      <c r="N8" s="363"/>
    </row>
    <row r="9" spans="1:14" ht="10.5" customHeight="1">
      <c r="A9" s="430" t="s">
        <v>88</v>
      </c>
      <c r="B9" s="447">
        <v>532.56405460499991</v>
      </c>
      <c r="C9" s="447">
        <v>403.38102654750008</v>
      </c>
      <c r="D9" s="431">
        <f t="shared" si="0"/>
        <v>0.32025063043536051</v>
      </c>
      <c r="E9" s="138"/>
      <c r="F9" s="138"/>
      <c r="G9" s="138"/>
      <c r="H9" s="138"/>
      <c r="I9" s="138"/>
      <c r="J9" s="138"/>
      <c r="L9" s="365" t="s">
        <v>121</v>
      </c>
      <c r="M9" s="363">
        <v>0.26427637250000002</v>
      </c>
      <c r="N9" s="363">
        <v>0</v>
      </c>
    </row>
    <row r="10" spans="1:14" ht="10.5" customHeight="1">
      <c r="A10" s="428" t="s">
        <v>252</v>
      </c>
      <c r="B10" s="446">
        <v>392.351498795</v>
      </c>
      <c r="C10" s="446">
        <v>297.505063495</v>
      </c>
      <c r="D10" s="429">
        <f t="shared" si="0"/>
        <v>0.31880612109848694</v>
      </c>
      <c r="E10" s="138"/>
      <c r="F10" s="138"/>
      <c r="G10" s="138"/>
      <c r="H10" s="138"/>
      <c r="I10" s="138"/>
      <c r="J10" s="138"/>
      <c r="K10" s="361"/>
      <c r="L10" s="363" t="s">
        <v>119</v>
      </c>
      <c r="M10" s="363">
        <v>0.39942037250000001</v>
      </c>
      <c r="N10" s="363">
        <v>0.15993093250000001</v>
      </c>
    </row>
    <row r="11" spans="1:14" ht="10.5" customHeight="1">
      <c r="A11" s="430" t="s">
        <v>91</v>
      </c>
      <c r="B11" s="447">
        <v>159.56987290249998</v>
      </c>
      <c r="C11" s="447">
        <v>168.53192788999996</v>
      </c>
      <c r="D11" s="431">
        <f t="shared" si="0"/>
        <v>-5.317719377986041E-2</v>
      </c>
      <c r="E11" s="138"/>
      <c r="F11" s="138"/>
      <c r="G11" s="138"/>
      <c r="H11" s="138"/>
      <c r="I11" s="138"/>
      <c r="J11" s="138"/>
      <c r="K11" s="364"/>
      <c r="L11" s="363" t="s">
        <v>256</v>
      </c>
      <c r="M11" s="363">
        <v>0.57651218999999998</v>
      </c>
      <c r="N11" s="363">
        <v>0.48878449500000004</v>
      </c>
    </row>
    <row r="12" spans="1:14" ht="10.5" customHeight="1">
      <c r="A12" s="428" t="s">
        <v>254</v>
      </c>
      <c r="B12" s="446">
        <v>133.59416018249999</v>
      </c>
      <c r="C12" s="446">
        <v>127.26680268749999</v>
      </c>
      <c r="D12" s="429">
        <f t="shared" si="0"/>
        <v>4.9717266100702151E-2</v>
      </c>
      <c r="E12" s="138"/>
      <c r="F12" s="138"/>
      <c r="G12" s="138"/>
      <c r="H12" s="138"/>
      <c r="I12" s="138"/>
      <c r="J12" s="138"/>
      <c r="K12" s="364"/>
      <c r="L12" s="363" t="s">
        <v>115</v>
      </c>
      <c r="M12" s="363">
        <v>0.64195259750000011</v>
      </c>
      <c r="N12" s="363">
        <v>2.9469849999999997</v>
      </c>
    </row>
    <row r="13" spans="1:14" ht="10.5" customHeight="1">
      <c r="A13" s="430" t="s">
        <v>101</v>
      </c>
      <c r="B13" s="447">
        <v>125.52103481249999</v>
      </c>
      <c r="C13" s="447">
        <v>209.3633454925</v>
      </c>
      <c r="D13" s="432">
        <f t="shared" si="0"/>
        <v>-0.4004631779396336</v>
      </c>
      <c r="E13" s="138"/>
      <c r="F13" s="138"/>
      <c r="G13" s="138"/>
      <c r="H13" s="138"/>
      <c r="I13" s="138"/>
      <c r="J13" s="138"/>
      <c r="K13" s="364"/>
      <c r="L13" s="365" t="s">
        <v>118</v>
      </c>
      <c r="M13" s="363">
        <v>1.2968324550000001</v>
      </c>
      <c r="N13" s="363">
        <v>2.1166320000000001</v>
      </c>
    </row>
    <row r="14" spans="1:14" ht="10.5" customHeight="1">
      <c r="A14" s="428" t="s">
        <v>249</v>
      </c>
      <c r="B14" s="446">
        <v>103.07324302250001</v>
      </c>
      <c r="C14" s="446">
        <v>136.1380875875</v>
      </c>
      <c r="D14" s="429">
        <f t="shared" si="0"/>
        <v>-0.24287725170039742</v>
      </c>
      <c r="E14" s="138"/>
      <c r="F14" s="138"/>
      <c r="G14" s="138"/>
      <c r="H14" s="138"/>
      <c r="I14" s="138"/>
      <c r="J14" s="138"/>
      <c r="K14" s="364"/>
      <c r="L14" s="365" t="s">
        <v>116</v>
      </c>
      <c r="M14" s="363">
        <v>1.8726233400000001</v>
      </c>
      <c r="N14" s="363">
        <v>1.8361374774999999</v>
      </c>
    </row>
    <row r="15" spans="1:14" ht="10.5" customHeight="1">
      <c r="A15" s="430" t="s">
        <v>93</v>
      </c>
      <c r="B15" s="447">
        <v>92.365385545000009</v>
      </c>
      <c r="C15" s="447">
        <v>106.34385157500002</v>
      </c>
      <c r="D15" s="431">
        <f t="shared" si="0"/>
        <v>-0.13144592586193438</v>
      </c>
      <c r="E15" s="138"/>
      <c r="F15" s="138"/>
      <c r="G15" s="138"/>
      <c r="H15" s="138"/>
      <c r="I15" s="138"/>
      <c r="J15" s="138"/>
      <c r="K15" s="364"/>
      <c r="L15" s="363" t="s">
        <v>117</v>
      </c>
      <c r="M15" s="363">
        <v>2.3144</v>
      </c>
      <c r="N15" s="363">
        <v>2.3473999999999999</v>
      </c>
    </row>
    <row r="16" spans="1:14" ht="10.5" customHeight="1">
      <c r="A16" s="428" t="s">
        <v>99</v>
      </c>
      <c r="B16" s="446">
        <v>82.422306442500002</v>
      </c>
      <c r="C16" s="446">
        <v>78.292552915000002</v>
      </c>
      <c r="D16" s="429">
        <f t="shared" si="0"/>
        <v>5.2747718317265102E-2</v>
      </c>
      <c r="E16" s="138"/>
      <c r="F16" s="138"/>
      <c r="G16" s="138"/>
      <c r="H16" s="138"/>
      <c r="I16" s="138"/>
      <c r="J16" s="138" t="s">
        <v>8</v>
      </c>
      <c r="K16" s="364"/>
      <c r="L16" s="363" t="s">
        <v>110</v>
      </c>
      <c r="M16" s="363">
        <v>2.8413957125000002</v>
      </c>
      <c r="N16" s="363">
        <v>2.4277436750000003</v>
      </c>
    </row>
    <row r="17" spans="1:14" ht="10.5" customHeight="1">
      <c r="A17" s="430" t="s">
        <v>95</v>
      </c>
      <c r="B17" s="447">
        <v>70.613938875000002</v>
      </c>
      <c r="C17" s="447">
        <v>68.740639257499993</v>
      </c>
      <c r="D17" s="431">
        <f t="shared" si="0"/>
        <v>2.7251704926436471E-2</v>
      </c>
      <c r="E17" s="138"/>
      <c r="F17" s="138"/>
      <c r="G17" s="138"/>
      <c r="H17" s="138"/>
      <c r="I17" s="138"/>
      <c r="J17" s="138"/>
      <c r="K17" s="364"/>
      <c r="L17" s="363" t="s">
        <v>113</v>
      </c>
      <c r="M17" s="363">
        <v>3.2226788800000001</v>
      </c>
      <c r="N17" s="363">
        <v>3.1964405375</v>
      </c>
    </row>
    <row r="18" spans="1:14" ht="10.5" customHeight="1">
      <c r="A18" s="428" t="s">
        <v>92</v>
      </c>
      <c r="B18" s="446">
        <v>69.812027057500003</v>
      </c>
      <c r="C18" s="446">
        <v>70.980623924999975</v>
      </c>
      <c r="D18" s="429">
        <f t="shared" si="0"/>
        <v>-1.6463603767906343E-2</v>
      </c>
      <c r="E18" s="138"/>
      <c r="F18" s="138"/>
      <c r="G18" s="138"/>
      <c r="H18" s="138"/>
      <c r="I18" s="138"/>
      <c r="J18" s="138"/>
      <c r="K18" s="367"/>
      <c r="L18" s="363" t="s">
        <v>111</v>
      </c>
      <c r="M18" s="363">
        <v>3.2727369275</v>
      </c>
      <c r="N18" s="363">
        <v>2.8485134675000001</v>
      </c>
    </row>
    <row r="19" spans="1:14" ht="10.5" customHeight="1">
      <c r="A19" s="430" t="s">
        <v>97</v>
      </c>
      <c r="B19" s="447">
        <v>58.869007142500003</v>
      </c>
      <c r="C19" s="447">
        <v>32.5163646675</v>
      </c>
      <c r="D19" s="431">
        <f t="shared" si="0"/>
        <v>0.81044245703577622</v>
      </c>
      <c r="E19" s="138"/>
      <c r="F19" s="138"/>
      <c r="G19" s="138"/>
      <c r="H19" s="138"/>
      <c r="I19" s="138"/>
      <c r="J19" s="138"/>
      <c r="K19" s="364"/>
      <c r="L19" s="365" t="s">
        <v>112</v>
      </c>
      <c r="M19" s="363">
        <v>3.3033308000000003</v>
      </c>
      <c r="N19" s="363">
        <v>3.2023002125</v>
      </c>
    </row>
    <row r="20" spans="1:14" ht="10.5" customHeight="1">
      <c r="A20" s="428" t="s">
        <v>94</v>
      </c>
      <c r="B20" s="446">
        <v>55.464974492499998</v>
      </c>
      <c r="C20" s="446">
        <v>88.618326199999998</v>
      </c>
      <c r="D20" s="429">
        <f t="shared" si="0"/>
        <v>-0.37411394605532511</v>
      </c>
      <c r="E20" s="138"/>
      <c r="F20" s="138"/>
      <c r="G20" s="138"/>
      <c r="H20" s="138"/>
      <c r="I20" s="138"/>
      <c r="J20" s="138"/>
      <c r="K20" s="364"/>
      <c r="L20" s="363" t="s">
        <v>108</v>
      </c>
      <c r="M20" s="363">
        <v>3.4844144999999997</v>
      </c>
      <c r="N20" s="363">
        <v>3.0811972500000002</v>
      </c>
    </row>
    <row r="21" spans="1:14" ht="10.5" customHeight="1">
      <c r="A21" s="430" t="s">
        <v>96</v>
      </c>
      <c r="B21" s="447">
        <v>53.306523067499995</v>
      </c>
      <c r="C21" s="447">
        <v>53.2285688025</v>
      </c>
      <c r="D21" s="431">
        <f t="shared" si="0"/>
        <v>1.4645192751516767E-3</v>
      </c>
      <c r="E21" s="138"/>
      <c r="F21" s="138"/>
      <c r="G21" s="138"/>
      <c r="H21" s="138"/>
      <c r="I21" s="138"/>
      <c r="J21" s="138"/>
      <c r="K21" s="364"/>
      <c r="L21" s="365" t="s">
        <v>536</v>
      </c>
      <c r="M21" s="363">
        <v>4.3704773724999999</v>
      </c>
      <c r="N21" s="363"/>
    </row>
    <row r="22" spans="1:14" ht="10.5" customHeight="1">
      <c r="A22" s="428" t="s">
        <v>535</v>
      </c>
      <c r="B22" s="446">
        <v>48.274155284999999</v>
      </c>
      <c r="C22" s="446">
        <v>51.050703927499995</v>
      </c>
      <c r="D22" s="429">
        <f t="shared" si="0"/>
        <v>-5.4388057928508315E-2</v>
      </c>
      <c r="E22" s="138"/>
      <c r="F22" s="138"/>
      <c r="G22" s="138"/>
      <c r="H22" s="138"/>
      <c r="I22" s="138"/>
      <c r="J22" s="138"/>
      <c r="K22" s="367"/>
      <c r="L22" s="363" t="s">
        <v>487</v>
      </c>
      <c r="M22" s="363">
        <v>4.4198010925000002</v>
      </c>
      <c r="N22" s="363">
        <v>2.8349443750000001</v>
      </c>
    </row>
    <row r="23" spans="1:14" ht="10.5" customHeight="1">
      <c r="A23" s="430" t="s">
        <v>98</v>
      </c>
      <c r="B23" s="447">
        <v>41.390101354999999</v>
      </c>
      <c r="C23" s="447">
        <v>29.465877312500002</v>
      </c>
      <c r="D23" s="431">
        <f t="shared" si="0"/>
        <v>0.40467907729465469</v>
      </c>
      <c r="E23" s="138"/>
      <c r="F23" s="138"/>
      <c r="G23" s="138"/>
      <c r="H23" s="138"/>
      <c r="I23" s="138"/>
      <c r="J23" s="138"/>
      <c r="K23" s="364"/>
      <c r="L23" s="365" t="s">
        <v>123</v>
      </c>
      <c r="M23" s="363">
        <v>5.6257770449999995</v>
      </c>
      <c r="N23" s="363">
        <v>0</v>
      </c>
    </row>
    <row r="24" spans="1:14" ht="10.5" customHeight="1">
      <c r="A24" s="428" t="s">
        <v>100</v>
      </c>
      <c r="B24" s="446">
        <v>39.74377037</v>
      </c>
      <c r="C24" s="446">
        <v>33.693526752499999</v>
      </c>
      <c r="D24" s="429">
        <f t="shared" si="0"/>
        <v>0.17956694358363912</v>
      </c>
      <c r="E24" s="138"/>
      <c r="F24" s="138"/>
      <c r="G24" s="138"/>
      <c r="H24" s="138"/>
      <c r="I24" s="138"/>
      <c r="J24" s="138"/>
      <c r="K24" s="364"/>
      <c r="L24" s="365" t="s">
        <v>122</v>
      </c>
      <c r="M24" s="363">
        <v>5.9306113324999998</v>
      </c>
      <c r="N24" s="363">
        <v>8.0265881674999999</v>
      </c>
    </row>
    <row r="25" spans="1:14" ht="10.5" customHeight="1">
      <c r="A25" s="430" t="s">
        <v>250</v>
      </c>
      <c r="B25" s="447">
        <v>32.757448444999994</v>
      </c>
      <c r="C25" s="447">
        <v>32.194336284999999</v>
      </c>
      <c r="D25" s="431">
        <f t="shared" si="0"/>
        <v>1.7491031808050117E-2</v>
      </c>
      <c r="E25" s="138"/>
      <c r="F25" s="138"/>
      <c r="G25" s="138"/>
      <c r="H25" s="138"/>
      <c r="I25" s="138"/>
      <c r="J25" s="138"/>
      <c r="K25" s="364"/>
      <c r="L25" s="365" t="s">
        <v>105</v>
      </c>
      <c r="M25" s="363">
        <v>7.2777289625000003</v>
      </c>
      <c r="N25" s="363">
        <v>8.957812517499999</v>
      </c>
    </row>
    <row r="26" spans="1:14" ht="10.5" customHeight="1">
      <c r="A26" s="428" t="s">
        <v>106</v>
      </c>
      <c r="B26" s="446">
        <v>22.282443610000001</v>
      </c>
      <c r="C26" s="446">
        <v>21.7707488225</v>
      </c>
      <c r="D26" s="429">
        <f t="shared" si="0"/>
        <v>2.3503775256970894E-2</v>
      </c>
      <c r="E26" s="138"/>
      <c r="F26" s="138"/>
      <c r="G26" s="138"/>
      <c r="H26" s="138"/>
      <c r="I26" s="138"/>
      <c r="J26" s="138"/>
      <c r="K26" s="364"/>
      <c r="L26" s="363" t="s">
        <v>107</v>
      </c>
      <c r="M26" s="363">
        <v>7.837976995</v>
      </c>
      <c r="N26" s="363">
        <v>7.0497050225000004</v>
      </c>
    </row>
    <row r="27" spans="1:14" ht="10.5" customHeight="1">
      <c r="A27" s="430" t="s">
        <v>109</v>
      </c>
      <c r="B27" s="447">
        <v>21.692901102500002</v>
      </c>
      <c r="C27" s="447">
        <v>4.2412612075</v>
      </c>
      <c r="D27" s="431">
        <f t="shared" si="0"/>
        <v>4.1147288604011312</v>
      </c>
      <c r="E27" s="138"/>
      <c r="F27" s="138"/>
      <c r="G27" s="138"/>
      <c r="H27" s="138"/>
      <c r="I27" s="138"/>
      <c r="J27" s="138"/>
      <c r="K27" s="364"/>
      <c r="L27" s="365" t="s">
        <v>500</v>
      </c>
      <c r="M27" s="363">
        <v>8.1348132374999995</v>
      </c>
      <c r="N27" s="363"/>
    </row>
    <row r="28" spans="1:14" ht="10.5" customHeight="1">
      <c r="A28" s="433" t="s">
        <v>103</v>
      </c>
      <c r="B28" s="446">
        <v>20.5833899675</v>
      </c>
      <c r="C28" s="446">
        <v>20.364055325000002</v>
      </c>
      <c r="D28" s="429">
        <f t="shared" si="0"/>
        <v>1.0770676026927273E-2</v>
      </c>
      <c r="E28" s="138"/>
      <c r="F28" s="138"/>
      <c r="G28" s="138"/>
      <c r="H28" s="138"/>
      <c r="I28" s="138"/>
      <c r="J28" s="138"/>
      <c r="K28" s="364"/>
      <c r="L28" s="365" t="s">
        <v>507</v>
      </c>
      <c r="M28" s="363">
        <v>8.2182454450000009</v>
      </c>
      <c r="N28" s="363"/>
    </row>
    <row r="29" spans="1:14" ht="10.5" customHeight="1">
      <c r="A29" s="434" t="s">
        <v>102</v>
      </c>
      <c r="B29" s="447">
        <v>20.231141337500002</v>
      </c>
      <c r="C29" s="447">
        <v>23.362932664999999</v>
      </c>
      <c r="D29" s="431">
        <f t="shared" si="0"/>
        <v>-0.1340495806929124</v>
      </c>
      <c r="E29" s="138"/>
      <c r="F29" s="138"/>
      <c r="G29" s="138"/>
      <c r="H29" s="138"/>
      <c r="I29" s="138"/>
      <c r="J29" s="138"/>
      <c r="K29" s="364"/>
      <c r="L29" s="365" t="s">
        <v>258</v>
      </c>
      <c r="M29" s="363">
        <v>8.2489623349999999</v>
      </c>
      <c r="N29" s="363">
        <v>10.03550667</v>
      </c>
    </row>
    <row r="30" spans="1:14" ht="10.5" customHeight="1">
      <c r="A30" s="435" t="s">
        <v>114</v>
      </c>
      <c r="B30" s="446">
        <v>17.974134992499998</v>
      </c>
      <c r="C30" s="446">
        <v>3.855760225</v>
      </c>
      <c r="D30" s="429">
        <f t="shared" si="0"/>
        <v>3.6616319334276026</v>
      </c>
      <c r="E30" s="138"/>
      <c r="F30" s="138"/>
      <c r="G30" s="138"/>
      <c r="H30" s="138"/>
      <c r="I30" s="138"/>
      <c r="J30" s="138"/>
      <c r="K30" s="364"/>
      <c r="L30" s="363" t="s">
        <v>585</v>
      </c>
      <c r="M30" s="363">
        <v>8.2740776750000009</v>
      </c>
      <c r="N30" s="363"/>
    </row>
    <row r="31" spans="1:14" ht="10.5" customHeight="1">
      <c r="A31" s="434" t="s">
        <v>470</v>
      </c>
      <c r="B31" s="447">
        <v>14.4065407175</v>
      </c>
      <c r="C31" s="447">
        <v>13.33211028</v>
      </c>
      <c r="D31" s="431">
        <f t="shared" si="0"/>
        <v>8.0589675222818569E-2</v>
      </c>
      <c r="E31" s="138"/>
      <c r="F31" s="138"/>
      <c r="G31" s="138"/>
      <c r="H31" s="138"/>
      <c r="I31" s="138"/>
      <c r="J31" s="138"/>
      <c r="K31" s="364"/>
      <c r="L31" s="363" t="s">
        <v>251</v>
      </c>
      <c r="M31" s="363">
        <v>9.0175177675000011</v>
      </c>
      <c r="N31" s="363">
        <v>12.1945528225</v>
      </c>
    </row>
    <row r="32" spans="1:14" ht="10.5" customHeight="1">
      <c r="A32" s="435" t="s">
        <v>255</v>
      </c>
      <c r="B32" s="446">
        <v>13.713851442499999</v>
      </c>
      <c r="C32" s="446">
        <v>12.388405689999999</v>
      </c>
      <c r="D32" s="429">
        <f t="shared" si="0"/>
        <v>0.1069908255886316</v>
      </c>
      <c r="E32" s="138"/>
      <c r="F32" s="138"/>
      <c r="G32" s="138"/>
      <c r="H32" s="138"/>
      <c r="I32" s="138"/>
      <c r="J32" s="138"/>
      <c r="K32" s="364"/>
      <c r="L32" s="363" t="s">
        <v>253</v>
      </c>
      <c r="M32" s="363">
        <v>12.1263112175</v>
      </c>
      <c r="N32" s="363">
        <v>12.470861017500001</v>
      </c>
    </row>
    <row r="33" spans="1:14" ht="23.25" customHeight="1">
      <c r="A33" s="841" t="s">
        <v>514</v>
      </c>
      <c r="B33" s="447">
        <v>13.1436509125</v>
      </c>
      <c r="C33" s="447">
        <v>13.50304633</v>
      </c>
      <c r="D33" s="431">
        <f t="shared" si="0"/>
        <v>-2.6615876796743487E-2</v>
      </c>
      <c r="E33" s="138"/>
      <c r="F33" s="138"/>
      <c r="G33" s="138"/>
      <c r="H33" s="138"/>
      <c r="I33" s="138"/>
      <c r="J33" s="138"/>
      <c r="K33" s="364"/>
      <c r="L33" s="365" t="s">
        <v>104</v>
      </c>
      <c r="M33" s="363">
        <v>12.212356</v>
      </c>
      <c r="N33" s="363">
        <v>12.405006</v>
      </c>
    </row>
    <row r="34" spans="1:14" ht="12" customHeight="1">
      <c r="A34" s="607" t="s">
        <v>104</v>
      </c>
      <c r="B34" s="446">
        <v>12.212356</v>
      </c>
      <c r="C34" s="446">
        <v>12.405006</v>
      </c>
      <c r="D34" s="429">
        <f t="shared" si="0"/>
        <v>-1.5530020702932412E-2</v>
      </c>
      <c r="E34" s="138"/>
      <c r="F34" s="138"/>
      <c r="G34" s="138"/>
      <c r="H34" s="138"/>
      <c r="I34" s="138"/>
      <c r="J34" s="138"/>
      <c r="K34" s="368"/>
      <c r="L34" s="365" t="s">
        <v>514</v>
      </c>
      <c r="M34" s="363">
        <v>13.1436509125</v>
      </c>
      <c r="N34" s="363">
        <v>13.50304633</v>
      </c>
    </row>
    <row r="35" spans="1:14" ht="10.5" customHeight="1">
      <c r="A35" s="434" t="s">
        <v>253</v>
      </c>
      <c r="B35" s="447">
        <v>12.1263112175</v>
      </c>
      <c r="C35" s="447">
        <v>12.470861017500001</v>
      </c>
      <c r="D35" s="431">
        <f t="shared" si="0"/>
        <v>-2.7628389051606361E-2</v>
      </c>
      <c r="E35" s="138"/>
      <c r="F35" s="138"/>
      <c r="G35" s="138"/>
      <c r="H35" s="138"/>
      <c r="I35" s="138"/>
      <c r="J35" s="138"/>
      <c r="K35" s="368"/>
      <c r="L35" s="365" t="s">
        <v>255</v>
      </c>
      <c r="M35" s="363">
        <v>13.713851442499999</v>
      </c>
      <c r="N35" s="363">
        <v>12.388405689999999</v>
      </c>
    </row>
    <row r="36" spans="1:14" ht="11.25" customHeight="1">
      <c r="A36" s="607" t="s">
        <v>251</v>
      </c>
      <c r="B36" s="446">
        <v>9.0175177675000011</v>
      </c>
      <c r="C36" s="446">
        <v>12.1945528225</v>
      </c>
      <c r="D36" s="429">
        <f t="shared" si="0"/>
        <v>-0.26052903302350672</v>
      </c>
      <c r="E36" s="138"/>
      <c r="F36" s="138"/>
      <c r="G36" s="138"/>
      <c r="H36" s="138"/>
      <c r="I36" s="138"/>
      <c r="J36" s="138"/>
      <c r="K36" s="367"/>
      <c r="L36" s="365" t="s">
        <v>470</v>
      </c>
      <c r="M36" s="363">
        <v>14.4065407175</v>
      </c>
      <c r="N36" s="363">
        <v>13.33211028</v>
      </c>
    </row>
    <row r="37" spans="1:14" ht="10.5" customHeight="1">
      <c r="A37" s="434" t="s">
        <v>585</v>
      </c>
      <c r="B37" s="447">
        <v>8.2740776750000009</v>
      </c>
      <c r="C37" s="447"/>
      <c r="D37" s="431" t="str">
        <f t="shared" si="0"/>
        <v/>
      </c>
      <c r="E37" s="138"/>
      <c r="F37" s="138"/>
      <c r="G37" s="138"/>
      <c r="H37" s="138"/>
      <c r="I37" s="138"/>
      <c r="J37" s="138"/>
      <c r="K37" s="367"/>
      <c r="L37" s="363" t="s">
        <v>114</v>
      </c>
      <c r="M37" s="363">
        <v>17.974134992499998</v>
      </c>
      <c r="N37" s="363">
        <v>3.855760225</v>
      </c>
    </row>
    <row r="38" spans="1:14" ht="10.5" customHeight="1">
      <c r="A38" s="435" t="s">
        <v>258</v>
      </c>
      <c r="B38" s="446">
        <v>8.2489623349999999</v>
      </c>
      <c r="C38" s="446">
        <v>10.03550667</v>
      </c>
      <c r="D38" s="429">
        <f t="shared" si="0"/>
        <v>-0.17802233546819024</v>
      </c>
      <c r="E38" s="138"/>
      <c r="F38" s="138"/>
      <c r="G38" s="138"/>
      <c r="H38" s="138"/>
      <c r="I38" s="138"/>
      <c r="J38" s="138"/>
      <c r="K38" s="367"/>
      <c r="L38" s="365" t="s">
        <v>102</v>
      </c>
      <c r="M38" s="363">
        <v>20.231141337500002</v>
      </c>
      <c r="N38" s="363">
        <v>23.362932664999999</v>
      </c>
    </row>
    <row r="39" spans="1:14" ht="10.5" customHeight="1">
      <c r="A39" s="434" t="s">
        <v>507</v>
      </c>
      <c r="B39" s="447">
        <v>8.2182454450000009</v>
      </c>
      <c r="C39" s="447"/>
      <c r="D39" s="431" t="str">
        <f t="shared" si="0"/>
        <v/>
      </c>
      <c r="E39" s="138"/>
      <c r="F39" s="138"/>
      <c r="G39" s="138"/>
      <c r="H39" s="138"/>
      <c r="I39" s="138"/>
      <c r="J39" s="138"/>
      <c r="K39" s="368"/>
      <c r="L39" s="363" t="s">
        <v>103</v>
      </c>
      <c r="M39" s="363">
        <v>20.5833899675</v>
      </c>
      <c r="N39" s="363">
        <v>20.364055325000002</v>
      </c>
    </row>
    <row r="40" spans="1:14" ht="10.5" customHeight="1">
      <c r="A40" s="435" t="s">
        <v>500</v>
      </c>
      <c r="B40" s="446">
        <v>8.1348132374999995</v>
      </c>
      <c r="C40" s="446"/>
      <c r="D40" s="429" t="str">
        <f t="shared" si="0"/>
        <v/>
      </c>
      <c r="E40" s="138"/>
      <c r="F40" s="138"/>
      <c r="G40" s="138"/>
      <c r="H40" s="138"/>
      <c r="I40" s="138"/>
      <c r="J40" s="138"/>
      <c r="K40" s="368"/>
      <c r="L40" s="365" t="s">
        <v>109</v>
      </c>
      <c r="M40" s="363">
        <v>21.692901102500002</v>
      </c>
      <c r="N40" s="363">
        <v>4.2412612075</v>
      </c>
    </row>
    <row r="41" spans="1:14" ht="10.5" customHeight="1">
      <c r="A41" s="434" t="s">
        <v>107</v>
      </c>
      <c r="B41" s="447">
        <v>7.837976995</v>
      </c>
      <c r="C41" s="447">
        <v>7.0497050225000004</v>
      </c>
      <c r="D41" s="431">
        <f t="shared" si="0"/>
        <v>0.1118163057864312</v>
      </c>
      <c r="E41" s="138"/>
      <c r="F41" s="138"/>
      <c r="G41" s="138"/>
      <c r="H41" s="138"/>
      <c r="I41" s="138"/>
      <c r="J41" s="138"/>
      <c r="K41" s="368"/>
      <c r="L41" s="363" t="s">
        <v>106</v>
      </c>
      <c r="M41" s="363">
        <v>22.282443610000001</v>
      </c>
      <c r="N41" s="363">
        <v>21.7707488225</v>
      </c>
    </row>
    <row r="42" spans="1:14" ht="10.5" customHeight="1">
      <c r="A42" s="435" t="s">
        <v>105</v>
      </c>
      <c r="B42" s="446">
        <v>7.2777289625000003</v>
      </c>
      <c r="C42" s="446">
        <v>8.957812517499999</v>
      </c>
      <c r="D42" s="429">
        <f t="shared" si="0"/>
        <v>-0.18755511479144982</v>
      </c>
      <c r="E42" s="138"/>
      <c r="F42" s="138"/>
      <c r="G42" s="138"/>
      <c r="H42" s="138"/>
      <c r="I42" s="138"/>
      <c r="J42" s="138"/>
      <c r="L42" s="365" t="s">
        <v>250</v>
      </c>
      <c r="M42" s="363">
        <v>32.757448444999994</v>
      </c>
      <c r="N42" s="363">
        <v>32.194336284999999</v>
      </c>
    </row>
    <row r="43" spans="1:14" ht="10.5" customHeight="1">
      <c r="A43" s="434" t="s">
        <v>122</v>
      </c>
      <c r="B43" s="447">
        <v>5.9306113324999998</v>
      </c>
      <c r="C43" s="447">
        <v>8.0265881674999999</v>
      </c>
      <c r="D43" s="431">
        <f t="shared" si="0"/>
        <v>-0.26112923589211923</v>
      </c>
      <c r="E43" s="138"/>
      <c r="F43" s="138"/>
      <c r="G43" s="138"/>
      <c r="H43" s="138"/>
      <c r="I43" s="138"/>
      <c r="J43" s="138"/>
      <c r="L43" s="365" t="s">
        <v>100</v>
      </c>
      <c r="M43" s="363">
        <v>39.74377037</v>
      </c>
      <c r="N43" s="363">
        <v>33.693526752499999</v>
      </c>
    </row>
    <row r="44" spans="1:14" ht="10.5" customHeight="1">
      <c r="A44" s="435" t="s">
        <v>123</v>
      </c>
      <c r="B44" s="446">
        <v>5.6257770449999995</v>
      </c>
      <c r="C44" s="446">
        <v>0</v>
      </c>
      <c r="D44" s="429" t="str">
        <f t="shared" si="0"/>
        <v/>
      </c>
      <c r="E44" s="138"/>
      <c r="F44" s="138"/>
      <c r="G44" s="138"/>
      <c r="H44" s="138"/>
      <c r="I44" s="138"/>
      <c r="J44" s="138"/>
      <c r="L44" s="366" t="s">
        <v>98</v>
      </c>
      <c r="M44" s="363">
        <v>41.390101354999999</v>
      </c>
      <c r="N44" s="363">
        <v>29.465877312500002</v>
      </c>
    </row>
    <row r="45" spans="1:14" ht="10.5" customHeight="1">
      <c r="A45" s="434" t="s">
        <v>487</v>
      </c>
      <c r="B45" s="447">
        <v>4.4198010925000002</v>
      </c>
      <c r="C45" s="447">
        <v>2.8349443750000001</v>
      </c>
      <c r="D45" s="431">
        <f t="shared" si="0"/>
        <v>0.55904332073534957</v>
      </c>
      <c r="E45" s="138"/>
      <c r="F45" s="138"/>
      <c r="G45" s="138"/>
      <c r="H45" s="138"/>
      <c r="I45" s="138"/>
      <c r="J45" s="138"/>
      <c r="L45" s="365" t="s">
        <v>535</v>
      </c>
      <c r="M45" s="363">
        <v>48.274155284999999</v>
      </c>
      <c r="N45" s="363">
        <v>51.050703927499995</v>
      </c>
    </row>
    <row r="46" spans="1:14" ht="10.5" customHeight="1">
      <c r="A46" s="435" t="s">
        <v>536</v>
      </c>
      <c r="B46" s="446">
        <v>4.3704773724999999</v>
      </c>
      <c r="C46" s="446"/>
      <c r="D46" s="429" t="str">
        <f t="shared" si="0"/>
        <v/>
      </c>
      <c r="E46" s="138"/>
      <c r="F46" s="138"/>
      <c r="G46" s="138"/>
      <c r="H46" s="138"/>
      <c r="I46" s="138"/>
      <c r="J46" s="138"/>
      <c r="L46" s="365" t="s">
        <v>96</v>
      </c>
      <c r="M46" s="363">
        <v>53.306523067499995</v>
      </c>
      <c r="N46" s="363">
        <v>53.2285688025</v>
      </c>
    </row>
    <row r="47" spans="1:14" ht="10.5" customHeight="1">
      <c r="A47" s="434" t="s">
        <v>108</v>
      </c>
      <c r="B47" s="447">
        <v>3.4844144999999997</v>
      </c>
      <c r="C47" s="447">
        <v>3.0811972500000002</v>
      </c>
      <c r="D47" s="431">
        <f t="shared" si="0"/>
        <v>0.13086382249627149</v>
      </c>
      <c r="E47" s="138"/>
      <c r="F47" s="138"/>
      <c r="G47" s="138"/>
      <c r="H47" s="138"/>
      <c r="I47" s="138"/>
      <c r="J47" s="138"/>
      <c r="L47" s="365" t="s">
        <v>94</v>
      </c>
      <c r="M47" s="363">
        <v>55.464974492499998</v>
      </c>
      <c r="N47" s="363">
        <v>88.618326199999998</v>
      </c>
    </row>
    <row r="48" spans="1:14" ht="10.5" customHeight="1">
      <c r="A48" s="435" t="s">
        <v>112</v>
      </c>
      <c r="B48" s="446">
        <v>3.3033308000000003</v>
      </c>
      <c r="C48" s="446">
        <v>3.2023002125</v>
      </c>
      <c r="D48" s="429">
        <f t="shared" si="0"/>
        <v>3.1549380381524772E-2</v>
      </c>
      <c r="E48" s="138"/>
      <c r="F48" s="138"/>
      <c r="G48" s="138"/>
      <c r="H48" s="138"/>
      <c r="I48" s="138"/>
      <c r="J48" s="138"/>
      <c r="L48" s="363" t="s">
        <v>97</v>
      </c>
      <c r="M48" s="363">
        <v>58.869007142500003</v>
      </c>
      <c r="N48" s="363">
        <v>32.5163646675</v>
      </c>
    </row>
    <row r="49" spans="1:14" ht="10.5" customHeight="1">
      <c r="A49" s="434" t="s">
        <v>111</v>
      </c>
      <c r="B49" s="447">
        <v>3.2727369275</v>
      </c>
      <c r="C49" s="447">
        <v>2.8485134675000001</v>
      </c>
      <c r="D49" s="431">
        <f t="shared" si="0"/>
        <v>0.14892801625836083</v>
      </c>
      <c r="E49" s="138"/>
      <c r="F49" s="138"/>
      <c r="G49" s="138"/>
      <c r="H49" s="138"/>
      <c r="I49" s="138"/>
      <c r="J49" s="138"/>
      <c r="L49" s="362" t="s">
        <v>92</v>
      </c>
      <c r="M49" s="363">
        <v>69.812027057500003</v>
      </c>
      <c r="N49" s="363">
        <v>70.980623924999975</v>
      </c>
    </row>
    <row r="50" spans="1:14" ht="10.5" customHeight="1">
      <c r="A50" s="435" t="s">
        <v>113</v>
      </c>
      <c r="B50" s="446">
        <v>3.2226788800000001</v>
      </c>
      <c r="C50" s="446">
        <v>3.1964405375</v>
      </c>
      <c r="D50" s="429">
        <f t="shared" si="0"/>
        <v>8.2086127341263193E-3</v>
      </c>
      <c r="E50" s="138"/>
      <c r="F50" s="138"/>
      <c r="G50" s="138"/>
      <c r="H50" s="138"/>
      <c r="I50" s="138"/>
      <c r="J50" s="138"/>
      <c r="L50" s="365" t="s">
        <v>95</v>
      </c>
      <c r="M50" s="363">
        <v>70.613938875000002</v>
      </c>
      <c r="N50" s="363">
        <v>68.740639257499993</v>
      </c>
    </row>
    <row r="51" spans="1:14" ht="10.5" customHeight="1">
      <c r="A51" s="434" t="s">
        <v>110</v>
      </c>
      <c r="B51" s="447">
        <v>2.8413957125000002</v>
      </c>
      <c r="C51" s="447">
        <v>2.4277436750000003</v>
      </c>
      <c r="D51" s="431">
        <f t="shared" si="0"/>
        <v>0.1703853836628777</v>
      </c>
      <c r="E51" s="138"/>
      <c r="F51" s="138"/>
      <c r="G51" s="138"/>
      <c r="H51" s="138"/>
      <c r="I51" s="138"/>
      <c r="J51" s="138"/>
      <c r="L51" s="365" t="s">
        <v>99</v>
      </c>
      <c r="M51" s="363">
        <v>82.422306442500002</v>
      </c>
      <c r="N51" s="363">
        <v>78.292552915000002</v>
      </c>
    </row>
    <row r="52" spans="1:14" ht="10.5" customHeight="1">
      <c r="A52" s="435" t="s">
        <v>117</v>
      </c>
      <c r="B52" s="446">
        <v>2.3144</v>
      </c>
      <c r="C52" s="446">
        <v>2.3473999999999999</v>
      </c>
      <c r="D52" s="429">
        <f t="shared" si="0"/>
        <v>-1.4058106841612017E-2</v>
      </c>
      <c r="E52" s="138"/>
      <c r="F52" s="138"/>
      <c r="G52" s="138"/>
      <c r="H52" s="138"/>
      <c r="I52" s="138"/>
      <c r="J52" s="138"/>
      <c r="L52" s="365" t="s">
        <v>93</v>
      </c>
      <c r="M52" s="363">
        <v>92.365385545000009</v>
      </c>
      <c r="N52" s="363">
        <v>106.34385157500002</v>
      </c>
    </row>
    <row r="53" spans="1:14" ht="10.5" customHeight="1">
      <c r="A53" s="434" t="s">
        <v>116</v>
      </c>
      <c r="B53" s="447">
        <v>1.8726233400000001</v>
      </c>
      <c r="C53" s="447">
        <v>1.8361374774999999</v>
      </c>
      <c r="D53" s="431">
        <f t="shared" si="0"/>
        <v>1.9870986212686903E-2</v>
      </c>
      <c r="E53" s="138"/>
      <c r="F53" s="138"/>
      <c r="G53" s="138"/>
      <c r="H53" s="138"/>
      <c r="I53" s="138"/>
      <c r="J53" s="138"/>
      <c r="L53" s="365" t="s">
        <v>249</v>
      </c>
      <c r="M53" s="363">
        <v>103.07324302250001</v>
      </c>
      <c r="N53" s="363">
        <v>136.1380875875</v>
      </c>
    </row>
    <row r="54" spans="1:14" ht="10.5" customHeight="1">
      <c r="A54" s="435" t="s">
        <v>118</v>
      </c>
      <c r="B54" s="446">
        <v>1.2968324550000001</v>
      </c>
      <c r="C54" s="446">
        <v>2.1166320000000001</v>
      </c>
      <c r="D54" s="429">
        <f t="shared" si="0"/>
        <v>-0.38731321505108107</v>
      </c>
      <c r="E54" s="138"/>
      <c r="F54" s="138"/>
      <c r="G54" s="138"/>
      <c r="H54" s="138"/>
      <c r="I54" s="138"/>
      <c r="J54" s="138"/>
      <c r="L54" s="365" t="s">
        <v>101</v>
      </c>
      <c r="M54" s="363">
        <v>125.52103481249999</v>
      </c>
      <c r="N54" s="363">
        <v>209.3633454925</v>
      </c>
    </row>
    <row r="55" spans="1:14" ht="10.5" customHeight="1">
      <c r="A55" s="434" t="s">
        <v>115</v>
      </c>
      <c r="B55" s="447">
        <v>0.64195259750000011</v>
      </c>
      <c r="C55" s="447">
        <v>2.9469849999999997</v>
      </c>
      <c r="D55" s="431">
        <f t="shared" si="0"/>
        <v>-0.78216631659136371</v>
      </c>
      <c r="E55" s="138"/>
      <c r="F55" s="138"/>
      <c r="G55" s="138"/>
      <c r="H55" s="138"/>
      <c r="I55" s="138"/>
      <c r="J55" s="138"/>
      <c r="L55" s="365" t="s">
        <v>254</v>
      </c>
      <c r="M55" s="363">
        <v>133.59416018249999</v>
      </c>
      <c r="N55" s="363">
        <v>127.26680268749999</v>
      </c>
    </row>
    <row r="56" spans="1:14" ht="10.5" customHeight="1">
      <c r="A56" s="435" t="s">
        <v>256</v>
      </c>
      <c r="B56" s="446">
        <v>0.57651218999999998</v>
      </c>
      <c r="C56" s="446">
        <v>0.48878449500000004</v>
      </c>
      <c r="D56" s="429">
        <f t="shared" si="0"/>
        <v>0.1794813376803206</v>
      </c>
      <c r="E56" s="138"/>
      <c r="F56" s="138"/>
      <c r="G56" s="138"/>
      <c r="H56" s="138"/>
      <c r="I56" s="138"/>
      <c r="J56" s="138"/>
      <c r="L56" s="363" t="s">
        <v>91</v>
      </c>
      <c r="M56" s="363">
        <v>159.56987290249998</v>
      </c>
      <c r="N56" s="363">
        <v>168.53192788999996</v>
      </c>
    </row>
    <row r="57" spans="1:14" ht="10.5" customHeight="1">
      <c r="A57" s="434" t="s">
        <v>119</v>
      </c>
      <c r="B57" s="447">
        <v>0.39942037250000001</v>
      </c>
      <c r="C57" s="447">
        <v>0.15993093250000001</v>
      </c>
      <c r="D57" s="431">
        <f t="shared" si="0"/>
        <v>1.4974554093842976</v>
      </c>
      <c r="E57" s="138"/>
      <c r="F57" s="138"/>
      <c r="G57" s="138"/>
      <c r="H57" s="138"/>
      <c r="I57" s="138"/>
      <c r="J57" s="138"/>
      <c r="L57" s="365" t="s">
        <v>252</v>
      </c>
      <c r="M57" s="363">
        <v>392.351498795</v>
      </c>
      <c r="N57" s="363">
        <v>297.505063495</v>
      </c>
    </row>
    <row r="58" spans="1:14" ht="10.5" customHeight="1">
      <c r="A58" s="435" t="s">
        <v>121</v>
      </c>
      <c r="B58" s="446">
        <v>0.26427637250000002</v>
      </c>
      <c r="C58" s="446">
        <v>0</v>
      </c>
      <c r="D58" s="429" t="str">
        <f t="shared" si="0"/>
        <v/>
      </c>
      <c r="E58" s="138"/>
      <c r="F58" s="138"/>
      <c r="G58" s="138"/>
      <c r="H58" s="138"/>
      <c r="I58" s="138"/>
      <c r="J58" s="138"/>
      <c r="L58" s="365" t="s">
        <v>88</v>
      </c>
      <c r="M58" s="363">
        <v>532.56405460499991</v>
      </c>
      <c r="N58" s="363">
        <v>403.38102654750008</v>
      </c>
    </row>
    <row r="59" spans="1:14" ht="10.5" customHeight="1">
      <c r="A59" s="434" t="s">
        <v>490</v>
      </c>
      <c r="B59" s="447">
        <v>0.22750075</v>
      </c>
      <c r="C59" s="447"/>
      <c r="D59" s="431" t="str">
        <f t="shared" si="0"/>
        <v/>
      </c>
      <c r="E59" s="138"/>
      <c r="F59" s="138"/>
      <c r="G59" s="138"/>
      <c r="H59" s="138"/>
      <c r="I59" s="138"/>
      <c r="J59" s="138"/>
      <c r="L59" s="363" t="s">
        <v>90</v>
      </c>
      <c r="M59" s="363">
        <v>605.81295895749997</v>
      </c>
      <c r="N59" s="363">
        <v>598.12826639999992</v>
      </c>
    </row>
    <row r="60" spans="1:14" ht="10.5" customHeight="1">
      <c r="A60" s="435" t="s">
        <v>120</v>
      </c>
      <c r="B60" s="448">
        <v>0.1493651225</v>
      </c>
      <c r="C60" s="448">
        <v>0.22080923250000001</v>
      </c>
      <c r="D60" s="436">
        <f t="shared" si="0"/>
        <v>-0.323555809651211</v>
      </c>
      <c r="E60" s="138"/>
      <c r="F60" s="138"/>
      <c r="G60" s="138"/>
      <c r="H60" s="138"/>
      <c r="I60" s="138"/>
      <c r="J60" s="138"/>
      <c r="L60" s="365" t="s">
        <v>89</v>
      </c>
      <c r="M60" s="363">
        <v>606.7002686525002</v>
      </c>
      <c r="N60" s="363">
        <v>544.87119004249973</v>
      </c>
    </row>
    <row r="61" spans="1:14" ht="10.5" customHeight="1">
      <c r="A61" s="437" t="s">
        <v>248</v>
      </c>
      <c r="B61" s="447">
        <v>0</v>
      </c>
      <c r="C61" s="447">
        <v>0</v>
      </c>
      <c r="D61" s="431" t="str">
        <f t="shared" si="0"/>
        <v/>
      </c>
      <c r="E61" s="138"/>
      <c r="F61" s="138"/>
      <c r="G61" s="138"/>
      <c r="H61" s="138"/>
      <c r="I61" s="138"/>
      <c r="J61" s="138"/>
      <c r="L61" s="365" t="s">
        <v>486</v>
      </c>
      <c r="M61" s="363">
        <v>715.561220585</v>
      </c>
      <c r="N61" s="363">
        <v>786.8584679999999</v>
      </c>
    </row>
    <row r="62" spans="1:14" ht="10.5" customHeight="1">
      <c r="A62" s="435" t="s">
        <v>257</v>
      </c>
      <c r="B62" s="448">
        <v>0</v>
      </c>
      <c r="C62" s="448">
        <v>6.0849242749999997</v>
      </c>
      <c r="D62" s="436">
        <f t="shared" si="0"/>
        <v>-1</v>
      </c>
      <c r="E62" s="138"/>
      <c r="F62" s="138"/>
      <c r="G62" s="138"/>
      <c r="H62" s="138"/>
      <c r="I62" s="138"/>
      <c r="J62" s="138"/>
      <c r="L62" s="365"/>
      <c r="M62" s="363"/>
      <c r="N62" s="363"/>
    </row>
    <row r="63" spans="1:14" ht="12" customHeight="1">
      <c r="A63" s="400" t="s">
        <v>43</v>
      </c>
      <c r="B63" s="638">
        <f>SUM(B6:B62)</f>
        <v>4289.3581011725</v>
      </c>
      <c r="C63" s="638">
        <f>SUM(C6:C62)</f>
        <v>4134.9206454549994</v>
      </c>
      <c r="D63" s="401">
        <f t="shared" si="0"/>
        <v>3.7349557333646644E-2</v>
      </c>
      <c r="E63" s="138"/>
      <c r="F63" s="138"/>
      <c r="G63" s="138"/>
      <c r="H63" s="138"/>
      <c r="I63" s="138"/>
      <c r="J63" s="138"/>
    </row>
    <row r="64" spans="1:14" ht="36" customHeight="1">
      <c r="A64" s="928" t="str">
        <f>"Cuadro N° 6: Participación de las empresas generadoras del COES en la producción de energía eléctrica (GWh) en "&amp;'1. Resumen'!Q4</f>
        <v>Cuadro N° 6: Participación de las empresas generadoras del COES en la producción de energía eléctrica (GWh) en junio</v>
      </c>
      <c r="B64" s="928"/>
      <c r="C64" s="928"/>
      <c r="D64" s="150"/>
      <c r="E64" s="927" t="str">
        <f>"Gráfico N° 10: Comparación de producción energética (GWh) de las empresas generadoras del COES en "&amp;'1. Resumen'!Q4</f>
        <v>Gráfico N° 10: Comparación de producción energética (GWh) de las empresas generadoras del COES en junio</v>
      </c>
      <c r="F64" s="927"/>
      <c r="G64" s="927"/>
      <c r="H64" s="927"/>
      <c r="I64" s="927"/>
      <c r="J64" s="927"/>
    </row>
    <row r="65" spans="1:10" ht="12.75" customHeight="1">
      <c r="A65" s="929"/>
      <c r="B65" s="929"/>
      <c r="C65" s="929"/>
      <c r="D65" s="929"/>
      <c r="E65" s="929"/>
      <c r="F65" s="929"/>
      <c r="G65" s="929"/>
      <c r="H65" s="929"/>
      <c r="I65" s="929"/>
      <c r="J65" s="929"/>
    </row>
    <row r="66" spans="1:10" ht="12.75" customHeight="1">
      <c r="A66" s="929"/>
      <c r="B66" s="929"/>
      <c r="C66" s="929"/>
      <c r="D66" s="929"/>
      <c r="E66" s="929"/>
      <c r="F66" s="929"/>
      <c r="G66" s="929"/>
      <c r="H66" s="929"/>
      <c r="I66" s="929"/>
      <c r="J66" s="929"/>
    </row>
    <row r="67" spans="1:10" ht="12.75" customHeight="1">
      <c r="A67" s="929"/>
      <c r="B67" s="929"/>
      <c r="C67" s="929"/>
      <c r="D67" s="929"/>
      <c r="E67" s="929"/>
      <c r="F67" s="929"/>
      <c r="G67" s="929"/>
      <c r="H67" s="929"/>
      <c r="I67" s="929"/>
      <c r="J67" s="929"/>
    </row>
    <row r="68" spans="1:10">
      <c r="A68" s="929"/>
      <c r="B68" s="929"/>
      <c r="C68" s="929"/>
      <c r="D68" s="929"/>
      <c r="E68" s="929"/>
      <c r="F68" s="929"/>
      <c r="G68" s="929"/>
      <c r="H68" s="929"/>
      <c r="I68" s="929"/>
      <c r="J68" s="929"/>
    </row>
    <row r="69" spans="1:10">
      <c r="A69" s="921"/>
      <c r="B69" s="921"/>
      <c r="C69" s="921"/>
      <c r="D69" s="921"/>
      <c r="E69" s="921"/>
      <c r="F69" s="921"/>
      <c r="G69" s="921"/>
      <c r="H69" s="921"/>
      <c r="I69" s="921"/>
      <c r="J69" s="921"/>
    </row>
    <row r="70" spans="1:10">
      <c r="A70" s="922"/>
      <c r="B70" s="922"/>
      <c r="C70" s="922"/>
      <c r="D70" s="922"/>
      <c r="E70" s="922"/>
      <c r="F70" s="922"/>
      <c r="G70" s="922"/>
      <c r="H70" s="922"/>
      <c r="I70" s="922"/>
      <c r="J70" s="922"/>
    </row>
    <row r="71" spans="1:10">
      <c r="A71" s="921"/>
      <c r="B71" s="921"/>
      <c r="C71" s="921"/>
      <c r="D71" s="921"/>
      <c r="E71" s="921"/>
      <c r="F71" s="921"/>
      <c r="G71" s="921"/>
      <c r="H71" s="921"/>
      <c r="I71" s="921"/>
      <c r="J71" s="921"/>
    </row>
    <row r="72" spans="1:10">
      <c r="A72" s="922"/>
      <c r="B72" s="922"/>
      <c r="C72" s="922"/>
      <c r="D72" s="922"/>
      <c r="E72" s="922"/>
      <c r="F72" s="922"/>
      <c r="G72" s="922"/>
      <c r="H72" s="922"/>
      <c r="I72" s="922"/>
      <c r="J72" s="922"/>
    </row>
  </sheetData>
  <mergeCells count="14">
    <mergeCell ref="A69:J69"/>
    <mergeCell ref="A70:J70"/>
    <mergeCell ref="A71:J71"/>
    <mergeCell ref="A72:J72"/>
    <mergeCell ref="A2:I2"/>
    <mergeCell ref="A4:A5"/>
    <mergeCell ref="B4:D4"/>
    <mergeCell ref="G4:I4"/>
    <mergeCell ref="E64:J64"/>
    <mergeCell ref="A64:C64"/>
    <mergeCell ref="A67:J67"/>
    <mergeCell ref="A68:J68"/>
    <mergeCell ref="A65:J65"/>
    <mergeCell ref="A66:J66"/>
  </mergeCells>
  <pageMargins left="0.70866141732283472" right="0.59055118110236227" top="1.4311417322834645" bottom="0.62992125984251968" header="0.31496062992125984" footer="0.31496062992125984"/>
  <pageSetup paperSize="9" scale="95" orientation="portrait" r:id="rId1"/>
  <headerFooter>
    <oddHeader>&amp;R&amp;7Informe de la Operación Mensual - Junio 2019
INFSGI-MES-06-2019
10/07/2019
Versión: 01</oddHeader>
    <oddFooter>&amp;L&amp;7COES, 2019&amp;C7&amp;R&amp;7Dirección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20</vt:i4>
      </vt:variant>
    </vt:vector>
  </HeadingPairs>
  <TitlesOfParts>
    <vt:vector size="50"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'21. ANEXOII-1'!Print_Area</vt:lpstr>
      <vt:lpstr>'23. ANEXOII-3'!Print_Area</vt:lpstr>
      <vt:lpstr>'25.ANEXO III -1'!Print_Area</vt:lpstr>
      <vt:lpstr>'26.ANEXO III -2'!Print_Area</vt:lpstr>
      <vt:lpstr>'27.ANEXO III - 3'!Print_Area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Edgar Egusquiza</cp:lastModifiedBy>
  <cp:lastPrinted>2019-07-15T14:27:17Z</cp:lastPrinted>
  <dcterms:created xsi:type="dcterms:W3CDTF">2018-02-13T14:18:17Z</dcterms:created>
  <dcterms:modified xsi:type="dcterms:W3CDTF">2019-07-15T14:27:25Z</dcterms:modified>
</cp:coreProperties>
</file>