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6.xml" ContentType="application/vnd.openxmlformats-officedocument.drawingml.chart+xml"/>
  <Override PartName="/xl/drawings/drawing6.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drawings/drawing7.xml" ContentType="application/vnd.openxmlformats-officedocument.drawing+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drawings/drawing8.xml" ContentType="application/vnd.openxmlformats-officedocument.drawing+xml"/>
  <Override PartName="/xl/charts/chart14.xml" ContentType="application/vnd.openxmlformats-officedocument.drawingml.chart+xml"/>
  <Override PartName="/xl/drawings/drawing9.xml" ContentType="application/vnd.openxmlformats-officedocument.drawing+xml"/>
  <Override PartName="/xl/charts/chart15.xml" ContentType="application/vnd.openxmlformats-officedocument.drawingml.chart+xml"/>
  <Override PartName="/xl/drawings/drawing10.xml" ContentType="application/vnd.openxmlformats-officedocument.drawing+xml"/>
  <Override PartName="/xl/charts/chart16.xml" ContentType="application/vnd.openxmlformats-officedocument.drawingml.chart+xml"/>
  <Override PartName="/xl/drawings/drawing11.xml" ContentType="application/vnd.openxmlformats-officedocument.drawing+xml"/>
  <Override PartName="/xl/charts/chart17.xml" ContentType="application/vnd.openxmlformats-officedocument.drawingml.chart+xml"/>
  <Override PartName="/xl/drawings/drawing12.xml" ContentType="application/vnd.openxmlformats-officedocument.drawing+xml"/>
  <Override PartName="/xl/charts/chart18.xml" ContentType="application/vnd.openxmlformats-officedocument.drawingml.chart+xml"/>
  <Override PartName="/xl/charts/chart19.xml" ContentType="application/vnd.openxmlformats-officedocument.drawingml.chart+xml"/>
  <Override PartName="/xl/drawings/drawing13.xml" ContentType="application/vnd.openxmlformats-officedocument.drawing+xml"/>
  <Override PartName="/xl/charts/chart20.xml" ContentType="application/vnd.openxmlformats-officedocument.drawingml.chart+xml"/>
  <Override PartName="/xl/drawings/drawing14.xml" ContentType="application/vnd.openxmlformats-officedocument.drawing+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drawings/drawing15.xml" ContentType="application/vnd.openxmlformats-officedocument.drawing+xml"/>
  <Override PartName="/xl/charts/chart24.xml" ContentType="application/vnd.openxmlformats-officedocument.drawingml.chart+xml"/>
  <Override PartName="/xl/charts/chart25.xml" ContentType="application/vnd.openxmlformats-officedocument.drawingml.chart+xml"/>
  <Override PartName="/xl/charts/style5.xml" ContentType="application/vnd.ms-office.chartstyle+xml"/>
  <Override PartName="/xl/charts/colors5.xml" ContentType="application/vnd.ms-office.chartcolorstyle+xml"/>
  <Override PartName="/xl/charts/chart2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6.xml" ContentType="application/vnd.openxmlformats-officedocument.drawing+xml"/>
  <Override PartName="/xl/drawings/drawing17.xml" ContentType="application/vnd.openxmlformats-officedocument.drawing+xml"/>
  <Override PartName="/xl/charts/chart27.xml" ContentType="application/vnd.openxmlformats-officedocument.drawingml.chart+xml"/>
  <Override PartName="/xl/drawings/drawing18.xml" ContentType="application/vnd.openxmlformats-officedocument.drawing+xml"/>
  <Override PartName="/xl/charts/chart28.xml" ContentType="application/vnd.openxmlformats-officedocument.drawingml.chart+xml"/>
  <Override PartName="/xl/charts/chart29.xml" ContentType="application/vnd.openxmlformats-officedocument.drawingml.chart+xml"/>
  <Override PartName="/xl/charts/chart30.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9.xml" ContentType="application/vnd.openxmlformats-officedocument.drawingml.chartshapes+xml"/>
  <Override PartName="/xl/drawings/drawing20.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130"/>
  <workbookPr codeName="ThisWorkbook" defaultThemeVersion="166925"/>
  <mc:AlternateContent xmlns:mc="http://schemas.openxmlformats.org/markup-compatibility/2006">
    <mc:Choice Requires="x15">
      <x15ac:absPath xmlns:x15ac="http://schemas.microsoft.com/office/spreadsheetml/2010/11/ac" url="\\fs\Areas\SGI\1-SGI_IE   Informes - Estadistica\INFORMES\03 Informe Mensual\2019\"/>
    </mc:Choice>
  </mc:AlternateContent>
  <xr:revisionPtr revIDLastSave="0" documentId="13_ncr:1_{C1FCFF9B-CD8A-487B-9F01-31DC5FD63D99}" xr6:coauthVersionLast="45" xr6:coauthVersionMax="45" xr10:uidLastSave="{00000000-0000-0000-0000-000000000000}"/>
  <bookViews>
    <workbookView xWindow="7680" yWindow="0" windowWidth="21105" windowHeight="15570" tabRatio="1000" xr2:uid="{00000000-000D-0000-FFFF-FFFF00000000}"/>
  </bookViews>
  <sheets>
    <sheet name="Portada " sheetId="61" r:id="rId1"/>
    <sheet name="Índice" sheetId="2" r:id="rId2"/>
    <sheet name="1. Resumen" sheetId="4" r:id="rId3"/>
    <sheet name="2. Oferta de generación" sheetId="6" r:id="rId4"/>
    <sheet name="3. Tipo Generación" sheetId="7" r:id="rId5"/>
    <sheet name="4. Tipo Recurso" sheetId="8" r:id="rId6"/>
    <sheet name="5. RER" sheetId="9" r:id="rId7"/>
    <sheet name="6. FP RER" sheetId="10" r:id="rId8"/>
    <sheet name="7. Generacion empresa" sheetId="11" r:id="rId9"/>
    <sheet name="8. Max Potencia" sheetId="12" r:id="rId10"/>
    <sheet name="9. Pot. Empresa" sheetId="13" r:id="rId11"/>
    <sheet name="10. Volúmenes" sheetId="14" r:id="rId12"/>
    <sheet name="11. Volúmenes" sheetId="15" r:id="rId13"/>
    <sheet name="12.Caudales" sheetId="16" r:id="rId14"/>
    <sheet name="13.Caudales" sheetId="17" r:id="rId15"/>
    <sheet name="14. CMg" sheetId="18" r:id="rId16"/>
    <sheet name="15. Mapa CMg" sheetId="19" r:id="rId17"/>
    <sheet name="16. Congestiones" sheetId="21" r:id="rId18"/>
    <sheet name="17. Eventos" sheetId="22" r:id="rId19"/>
    <sheet name="18. ANEXOI-1" sheetId="23" r:id="rId20"/>
    <sheet name="19. ANEXOI-2" sheetId="37" r:id="rId21"/>
    <sheet name="20. ANEXOI-3" sheetId="38" r:id="rId22"/>
    <sheet name="21. ANEXOII-1" sheetId="36" r:id="rId23"/>
    <sheet name="22. ANEXOII-2" sheetId="45" r:id="rId24"/>
    <sheet name="23. ANEXOII-3" sheetId="46" r:id="rId25"/>
    <sheet name="24. ANEXOII-4" sheetId="44" r:id="rId26"/>
    <sheet name="25.ANEXO III -1" sheetId="47" r:id="rId27"/>
    <sheet name="26.ANEXO III -2" sheetId="48" r:id="rId28"/>
    <sheet name="27.ANEXO III - 3" sheetId="49" r:id="rId29"/>
    <sheet name="Contraportada" sheetId="59" r:id="rId30"/>
  </sheets>
  <definedNames>
    <definedName name="_xlnm._FilterDatabase" localSheetId="7" hidden="1">'6. FP RER'!$T$51:$V$54</definedName>
    <definedName name="_xlnm._FilterDatabase" localSheetId="8" hidden="1">'7. Generacion empresa'!$L$4:$N$61</definedName>
    <definedName name="_xlnm._FilterDatabase" localSheetId="10" hidden="1">'9. Pot. Empresa'!$L$6:$N$61</definedName>
    <definedName name="_xlnm.Print_Area" localSheetId="2">'1. Resumen'!$A$1:$M$50</definedName>
    <definedName name="_xlnm.Print_Area" localSheetId="11">'10. Volúmenes'!$A$1:$I$60</definedName>
    <definedName name="_xlnm.Print_Area" localSheetId="12">'11. Volúmenes'!$A$1:$L$63</definedName>
    <definedName name="_xlnm.Print_Area" localSheetId="13">'12.Caudales'!$A$1:$I$64</definedName>
    <definedName name="_xlnm.Print_Area" localSheetId="14">'13.Caudales'!$A$1:$L$65</definedName>
    <definedName name="_xlnm.Print_Area" localSheetId="15">'14. CMg'!$A$1:$I$59</definedName>
    <definedName name="_xlnm.Print_Area" localSheetId="16">'15. Mapa CMg'!$A$1:$L$63</definedName>
    <definedName name="_xlnm.Print_Area" localSheetId="3">'2. Oferta de generación'!$A$1:$J$58</definedName>
    <definedName name="_xlnm.Print_Area" localSheetId="21">'20. ANEXOI-3'!$A$1:$G$52</definedName>
    <definedName name="_xlnm.Print_Area" localSheetId="22">'21. ANEXOII-1'!$A$1:$F$81</definedName>
    <definedName name="_xlnm.Print_Area" localSheetId="24">'23. ANEXOII-3'!$A$1:$F$56</definedName>
    <definedName name="_xlnm.Print_Area" localSheetId="26">'25.ANEXO III -1'!$A$1:$F$13</definedName>
    <definedName name="_xlnm.Print_Area" localSheetId="27">'26.ANEXO III -2'!$A$1:$F$14</definedName>
    <definedName name="_xlnm.Print_Area" localSheetId="28">'27.ANEXO III - 3'!$A$1:$F$14</definedName>
    <definedName name="_xlnm.Print_Area" localSheetId="6">'5. RER'!$A$1:$K$61</definedName>
    <definedName name="_xlnm.Print_Area" localSheetId="7">'6. FP RER'!$A$1:$K$64</definedName>
    <definedName name="_xlnm.Print_Area" localSheetId="8">'7. Generacion empresa'!$A$1:$J$68</definedName>
    <definedName name="_xlnm.Print_Area" localSheetId="9">'8. Max Potencia'!$A$1:$K$62</definedName>
    <definedName name="_xlnm.Print_Area" localSheetId="10">'9. Pot. Empresa'!$A$1:$J$69</definedName>
    <definedName name="_xlnm.Print_Area" localSheetId="1">Índice!$A$1:$L$45</definedName>
    <definedName name="_xlnm.Print_Area" localSheetId="0">'Portada '!$A$1:$L$71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39" i="6" l="1"/>
  <c r="M20" i="6"/>
  <c r="I15" i="6"/>
  <c r="H15" i="6"/>
  <c r="I12" i="22" l="1"/>
  <c r="I11" i="22"/>
  <c r="I10" i="22"/>
  <c r="I9" i="22"/>
  <c r="I8" i="22"/>
  <c r="F11" i="21"/>
  <c r="E11" i="21"/>
  <c r="D11" i="21"/>
  <c r="G7" i="21"/>
  <c r="E5" i="36" l="1"/>
  <c r="F39" i="46" l="1"/>
  <c r="F38" i="46"/>
  <c r="F37" i="46"/>
  <c r="F36" i="46"/>
  <c r="F35" i="46"/>
  <c r="F34" i="46"/>
  <c r="F33" i="46"/>
  <c r="F32" i="46"/>
  <c r="F31" i="46"/>
  <c r="F30" i="46"/>
  <c r="F29" i="46"/>
  <c r="F28" i="46"/>
  <c r="F27" i="46"/>
  <c r="F26" i="46"/>
  <c r="F25" i="46"/>
  <c r="F24" i="46"/>
  <c r="F23" i="46"/>
  <c r="F22" i="46"/>
  <c r="F21" i="46"/>
  <c r="F20" i="46"/>
  <c r="F19" i="46"/>
  <c r="F18" i="46"/>
  <c r="F17" i="46"/>
  <c r="F16" i="46"/>
  <c r="F15" i="46"/>
  <c r="F14" i="46"/>
  <c r="F13" i="46"/>
  <c r="F12" i="46"/>
  <c r="F11" i="46"/>
  <c r="F10" i="46"/>
  <c r="F9" i="46"/>
  <c r="F8" i="46"/>
  <c r="F7" i="46"/>
  <c r="F6" i="46"/>
  <c r="F5" i="46"/>
  <c r="F81" i="36"/>
  <c r="F80" i="36"/>
  <c r="F79" i="36"/>
  <c r="F78" i="36"/>
  <c r="F77" i="36"/>
  <c r="F76" i="36"/>
  <c r="F75" i="36"/>
  <c r="F74" i="36"/>
  <c r="F73" i="36"/>
  <c r="F72" i="36"/>
  <c r="F71" i="36"/>
  <c r="F70" i="36"/>
  <c r="F69" i="36"/>
  <c r="F68" i="36"/>
  <c r="F67" i="36"/>
  <c r="F66" i="36"/>
  <c r="F65" i="36"/>
  <c r="F64" i="36"/>
  <c r="F63" i="36"/>
  <c r="F62" i="36"/>
  <c r="F61" i="36"/>
  <c r="F60" i="36"/>
  <c r="F59" i="36"/>
  <c r="F58" i="36"/>
  <c r="F57" i="36"/>
  <c r="F56" i="36"/>
  <c r="F55" i="36"/>
  <c r="F54" i="36"/>
  <c r="F53" i="36"/>
  <c r="F52" i="36"/>
  <c r="F51" i="36"/>
  <c r="F50" i="36"/>
  <c r="F49" i="36"/>
  <c r="F48" i="36"/>
  <c r="F47" i="36"/>
  <c r="F46" i="36"/>
  <c r="F45" i="36"/>
  <c r="F44" i="36"/>
  <c r="F43" i="36"/>
  <c r="F42" i="36"/>
  <c r="F41" i="36"/>
  <c r="F40" i="36"/>
  <c r="F39" i="36"/>
  <c r="F38" i="36"/>
  <c r="F37" i="36"/>
  <c r="F36" i="36"/>
  <c r="F35" i="36"/>
  <c r="F34" i="36"/>
  <c r="F33" i="36"/>
  <c r="F32" i="36"/>
  <c r="F31" i="36"/>
  <c r="F30" i="36"/>
  <c r="F29" i="36"/>
  <c r="F28" i="36"/>
  <c r="F27" i="36"/>
  <c r="F26" i="36"/>
  <c r="F25" i="36"/>
  <c r="F24" i="36"/>
  <c r="F23" i="36"/>
  <c r="F22" i="36"/>
  <c r="F21" i="36"/>
  <c r="F20" i="36"/>
  <c r="F19" i="36"/>
  <c r="F18" i="36"/>
  <c r="F17" i="36"/>
  <c r="F16" i="36"/>
  <c r="F15" i="36"/>
  <c r="F14" i="36"/>
  <c r="F13" i="36"/>
  <c r="F12" i="36"/>
  <c r="F11" i="36"/>
  <c r="F10" i="36"/>
  <c r="F9" i="36"/>
  <c r="F8" i="36"/>
  <c r="F7" i="36"/>
  <c r="F73" i="45"/>
  <c r="F72" i="45"/>
  <c r="F71" i="45"/>
  <c r="F70" i="45"/>
  <c r="F69" i="45"/>
  <c r="F68" i="45"/>
  <c r="F67" i="45"/>
  <c r="F66" i="45"/>
  <c r="F65" i="45"/>
  <c r="F64" i="45"/>
  <c r="F63" i="45"/>
  <c r="F62" i="45"/>
  <c r="F61" i="45"/>
  <c r="F60" i="45"/>
  <c r="F59" i="45"/>
  <c r="F58" i="45"/>
  <c r="F57" i="45"/>
  <c r="F56" i="45"/>
  <c r="F55" i="45"/>
  <c r="F54" i="45"/>
  <c r="F53" i="45"/>
  <c r="F52" i="45"/>
  <c r="F51" i="45"/>
  <c r="F50" i="45"/>
  <c r="F49" i="45"/>
  <c r="F48" i="45"/>
  <c r="F47" i="45"/>
  <c r="F46" i="45"/>
  <c r="F45" i="45"/>
  <c r="F44" i="45"/>
  <c r="F43" i="45"/>
  <c r="F42" i="45"/>
  <c r="F41" i="45"/>
  <c r="F40" i="45"/>
  <c r="F39" i="45"/>
  <c r="F38" i="45"/>
  <c r="F37" i="45"/>
  <c r="F36" i="45"/>
  <c r="F35" i="45"/>
  <c r="F34" i="45"/>
  <c r="F33" i="45"/>
  <c r="F32" i="45"/>
  <c r="F31" i="45"/>
  <c r="F30" i="45"/>
  <c r="F29" i="45"/>
  <c r="F28" i="45"/>
  <c r="F27" i="45"/>
  <c r="F26" i="45"/>
  <c r="F25" i="45"/>
  <c r="F24" i="45"/>
  <c r="F23" i="45"/>
  <c r="F22" i="45"/>
  <c r="F21" i="45"/>
  <c r="F20" i="45"/>
  <c r="F19" i="45"/>
  <c r="F18" i="45"/>
  <c r="F17" i="45"/>
  <c r="F16" i="45"/>
  <c r="F15" i="45"/>
  <c r="F14" i="45"/>
  <c r="F13" i="45"/>
  <c r="F12" i="45"/>
  <c r="F11" i="45"/>
  <c r="F10" i="45"/>
  <c r="F9" i="45"/>
  <c r="F8" i="45"/>
  <c r="F7" i="45"/>
  <c r="F6" i="45"/>
  <c r="D63" i="13" l="1"/>
  <c r="D62" i="13"/>
  <c r="D61" i="13"/>
  <c r="D60" i="13"/>
  <c r="D59" i="13"/>
  <c r="D58" i="13"/>
  <c r="D57" i="13"/>
  <c r="D56" i="13"/>
  <c r="D55" i="13"/>
  <c r="D54" i="13"/>
  <c r="D53" i="13"/>
  <c r="D52" i="13"/>
  <c r="D51" i="13"/>
  <c r="D50" i="13"/>
  <c r="D49" i="13"/>
  <c r="D48" i="13"/>
  <c r="D47" i="13"/>
  <c r="D46" i="13"/>
  <c r="D45" i="13"/>
  <c r="D44" i="13"/>
  <c r="D43" i="13"/>
  <c r="D42" i="13"/>
  <c r="D41" i="13"/>
  <c r="D40" i="13"/>
  <c r="D39" i="13"/>
  <c r="D38" i="13"/>
  <c r="D37" i="13"/>
  <c r="D36" i="13"/>
  <c r="D35" i="13"/>
  <c r="D34" i="13"/>
  <c r="D33" i="13"/>
  <c r="D32" i="13"/>
  <c r="D31" i="13"/>
  <c r="D30" i="13"/>
  <c r="D29" i="13"/>
  <c r="D28" i="13"/>
  <c r="D27" i="13"/>
  <c r="D26" i="13"/>
  <c r="D25" i="13"/>
  <c r="D24" i="13"/>
  <c r="D23" i="13"/>
  <c r="D22" i="13"/>
  <c r="D21" i="13"/>
  <c r="D20" i="13"/>
  <c r="D19" i="13"/>
  <c r="D18" i="13"/>
  <c r="D17" i="13"/>
  <c r="D16" i="13"/>
  <c r="D15" i="13"/>
  <c r="D14" i="13"/>
  <c r="D13" i="13"/>
  <c r="D12" i="13"/>
  <c r="D11" i="13"/>
  <c r="D10" i="13"/>
  <c r="D9" i="13"/>
  <c r="D8" i="13"/>
  <c r="C64" i="13"/>
  <c r="B64" i="13"/>
  <c r="E7" i="12"/>
  <c r="C7" i="12"/>
  <c r="D7" i="12"/>
  <c r="B7" i="12"/>
  <c r="B63" i="11"/>
  <c r="C63" i="11"/>
  <c r="D62" i="11"/>
  <c r="D61" i="11"/>
  <c r="D60" i="11"/>
  <c r="D59" i="11"/>
  <c r="D58" i="11"/>
  <c r="D57" i="11"/>
  <c r="D56" i="11"/>
  <c r="D55" i="11"/>
  <c r="D54" i="11"/>
  <c r="D53" i="11"/>
  <c r="D52" i="11"/>
  <c r="D51" i="11"/>
  <c r="D50" i="11"/>
  <c r="D49" i="11"/>
  <c r="D48" i="11"/>
  <c r="D47" i="11"/>
  <c r="D46" i="11"/>
  <c r="D45" i="11"/>
  <c r="D44" i="11"/>
  <c r="D43" i="11"/>
  <c r="D42" i="11"/>
  <c r="D41" i="11"/>
  <c r="D40" i="11"/>
  <c r="D39" i="11"/>
  <c r="D38" i="11"/>
  <c r="D37" i="11"/>
  <c r="D36" i="11"/>
  <c r="D35" i="11"/>
  <c r="D34" i="11"/>
  <c r="D33" i="11"/>
  <c r="D32" i="11"/>
  <c r="D31" i="11"/>
  <c r="D30" i="11"/>
  <c r="D29" i="11"/>
  <c r="D28" i="11"/>
  <c r="D27" i="11"/>
  <c r="D26" i="11"/>
  <c r="D25" i="11"/>
  <c r="D24" i="11"/>
  <c r="D23" i="11"/>
  <c r="D22" i="11"/>
  <c r="D21" i="11"/>
  <c r="D20" i="11"/>
  <c r="D19" i="11"/>
  <c r="D18" i="11"/>
  <c r="D17" i="11"/>
  <c r="D16" i="11"/>
  <c r="D15" i="11"/>
  <c r="D14" i="11"/>
  <c r="D13" i="11"/>
  <c r="D12" i="11"/>
  <c r="D11" i="11"/>
  <c r="D10" i="11"/>
  <c r="D9" i="11"/>
  <c r="D8" i="11"/>
  <c r="D7" i="11"/>
  <c r="B11" i="9" l="1"/>
  <c r="C11" i="9"/>
  <c r="D11" i="9"/>
  <c r="E11" i="9"/>
  <c r="D38" i="6" l="1"/>
  <c r="M19" i="6"/>
  <c r="D7" i="13" l="1"/>
  <c r="K12" i="12" l="1"/>
  <c r="K11" i="12"/>
  <c r="G40" i="38" l="1"/>
  <c r="E45" i="46" l="1"/>
  <c r="D43" i="46" l="1"/>
  <c r="D45" i="46" s="1"/>
  <c r="C43" i="46"/>
  <c r="C45" i="46" s="1"/>
  <c r="F45" i="46" l="1"/>
  <c r="F40" i="46"/>
  <c r="B13" i="22" l="1"/>
  <c r="I7" i="22" l="1"/>
  <c r="J13" i="22"/>
  <c r="I13" i="22" l="1"/>
  <c r="E4" i="45" l="1"/>
  <c r="E4" i="46" s="1"/>
  <c r="E3" i="45" l="1"/>
  <c r="E3" i="46" s="1"/>
  <c r="C13" i="22"/>
  <c r="D13" i="22"/>
  <c r="E13" i="22"/>
  <c r="F13" i="22"/>
  <c r="G13" i="22"/>
  <c r="H13" i="22"/>
  <c r="B14" i="12" l="1"/>
  <c r="F14" i="8"/>
  <c r="F40" i="38"/>
  <c r="A64" i="10" l="1"/>
  <c r="A43" i="10"/>
  <c r="N14" i="18" l="1"/>
  <c r="J11" i="9" l="1"/>
  <c r="H11" i="9"/>
  <c r="G11" i="9"/>
  <c r="D6" i="16" l="1"/>
  <c r="C28" i="14" l="1"/>
  <c r="A38" i="22" l="1"/>
  <c r="F6" i="36" l="1"/>
  <c r="F5" i="45"/>
  <c r="A64" i="11" l="1"/>
  <c r="F41" i="46" l="1"/>
  <c r="F22" i="8" l="1"/>
  <c r="B19" i="8"/>
  <c r="C19" i="8"/>
  <c r="D19" i="8"/>
  <c r="E19" i="8"/>
  <c r="F19" i="8" s="1"/>
  <c r="J12" i="7"/>
  <c r="H12" i="7"/>
  <c r="G12" i="7"/>
  <c r="E12" i="7"/>
  <c r="D12" i="7"/>
  <c r="C12" i="7"/>
  <c r="B12" i="7"/>
  <c r="I18" i="12" l="1"/>
  <c r="F18" i="12"/>
  <c r="J14" i="12"/>
  <c r="H14" i="12"/>
  <c r="G14" i="12"/>
  <c r="E14" i="12"/>
  <c r="D14" i="12"/>
  <c r="C14" i="12"/>
  <c r="F14" i="12" l="1"/>
  <c r="I14" i="12"/>
  <c r="K14" i="12"/>
  <c r="F14" i="7" l="1"/>
  <c r="I14" i="7"/>
  <c r="K14" i="7"/>
  <c r="F15" i="7"/>
  <c r="I15" i="7"/>
  <c r="K15" i="7"/>
  <c r="C3" i="4"/>
  <c r="F42" i="46" l="1"/>
  <c r="F7" i="16" l="1"/>
  <c r="F8" i="16"/>
  <c r="F9" i="16"/>
  <c r="F10" i="16"/>
  <c r="F11" i="16"/>
  <c r="F12" i="16"/>
  <c r="F13" i="16"/>
  <c r="F14" i="16"/>
  <c r="F15" i="16"/>
  <c r="F16" i="16"/>
  <c r="F17" i="16"/>
  <c r="F18" i="16"/>
  <c r="F19" i="16"/>
  <c r="F20" i="16"/>
  <c r="F21" i="16"/>
  <c r="F22" i="16"/>
  <c r="F23" i="16"/>
  <c r="F24" i="16"/>
  <c r="F25" i="16"/>
  <c r="F26" i="16"/>
  <c r="F27" i="16"/>
  <c r="F28" i="16"/>
  <c r="F29" i="16"/>
  <c r="F30" i="16"/>
  <c r="F10" i="7"/>
  <c r="F12" i="7"/>
  <c r="D6" i="11" l="1"/>
  <c r="D12" i="9" l="1"/>
  <c r="B47" i="4" l="1"/>
  <c r="A9" i="4"/>
  <c r="A49" i="21" l="1"/>
  <c r="A61" i="9" l="1"/>
  <c r="A34" i="9"/>
  <c r="A63" i="8"/>
  <c r="B49" i="4" l="1"/>
  <c r="F2" i="38" l="1"/>
  <c r="F9" i="8" l="1"/>
  <c r="D64" i="13" l="1"/>
  <c r="N29" i="18"/>
  <c r="N28" i="18"/>
  <c r="N27" i="18"/>
  <c r="N26" i="18"/>
  <c r="N25" i="18"/>
  <c r="N24" i="18"/>
  <c r="N23" i="18"/>
  <c r="N20" i="18"/>
  <c r="N19" i="18"/>
  <c r="N18" i="18"/>
  <c r="N17" i="18"/>
  <c r="N16" i="18"/>
  <c r="N15" i="18"/>
  <c r="N12" i="18"/>
  <c r="N11" i="18"/>
  <c r="N10" i="18"/>
  <c r="N9" i="18"/>
  <c r="N8" i="18"/>
  <c r="H47" i="4" l="1"/>
  <c r="B32" i="6" l="1"/>
  <c r="A54" i="22" l="1"/>
  <c r="B58" i="18"/>
  <c r="B40" i="18"/>
  <c r="B21" i="18"/>
  <c r="A58" i="12"/>
  <c r="F65" i="13"/>
  <c r="B18" i="12" l="1"/>
  <c r="B20" i="12" s="1"/>
  <c r="C18" i="12"/>
  <c r="D18" i="12"/>
  <c r="E18" i="12"/>
  <c r="E20" i="12" s="1"/>
  <c r="G18" i="12"/>
  <c r="H18" i="12"/>
  <c r="H20" i="12" s="1"/>
  <c r="J18" i="12"/>
  <c r="F39" i="6" l="1"/>
  <c r="F41" i="6"/>
  <c r="F11" i="14" l="1"/>
  <c r="F40" i="6" l="1"/>
  <c r="F38" i="6"/>
  <c r="A58" i="7" l="1"/>
  <c r="E37" i="6"/>
  <c r="E64" i="11" l="1"/>
  <c r="C45" i="10"/>
  <c r="D3" i="36" l="1"/>
  <c r="D2" i="45" s="1"/>
  <c r="D2" i="46" s="1"/>
  <c r="C3" i="36"/>
  <c r="C2" i="45" s="1"/>
  <c r="C2" i="46" s="1"/>
  <c r="F2" i="37"/>
  <c r="F3" i="23"/>
  <c r="C2" i="23"/>
  <c r="C1" i="37" s="1"/>
  <c r="C1" i="38" s="1"/>
  <c r="E17" i="22"/>
  <c r="A17" i="22"/>
  <c r="A14" i="22"/>
  <c r="A12" i="21"/>
  <c r="F6" i="21"/>
  <c r="E6" i="21"/>
  <c r="D6" i="21"/>
  <c r="B47" i="18"/>
  <c r="B28" i="18"/>
  <c r="B10" i="18"/>
  <c r="C31" i="16"/>
  <c r="E6" i="16"/>
  <c r="A65" i="13"/>
  <c r="B3" i="13"/>
  <c r="B5" i="11"/>
  <c r="C5" i="11" s="1"/>
  <c r="B4" i="11"/>
  <c r="G6" i="7"/>
  <c r="G4" i="8" s="1"/>
  <c r="G4" i="9" s="1"/>
  <c r="D7" i="7"/>
  <c r="E7" i="7" s="1"/>
  <c r="A58" i="6"/>
  <c r="B43" i="6"/>
  <c r="D5" i="8" l="1"/>
  <c r="C7" i="7"/>
  <c r="B7" i="7" s="1"/>
  <c r="B5" i="8" s="1"/>
  <c r="D4" i="46"/>
  <c r="C4" i="46"/>
  <c r="D3" i="46"/>
  <c r="C3" i="46"/>
  <c r="D4" i="45"/>
  <c r="C4" i="45"/>
  <c r="D3" i="45"/>
  <c r="C3" i="45"/>
  <c r="D4" i="36"/>
  <c r="D5" i="36"/>
  <c r="C5" i="36"/>
  <c r="C4" i="36"/>
  <c r="C6" i="13" l="1"/>
  <c r="B6" i="13"/>
  <c r="C5" i="13"/>
  <c r="B5" i="13"/>
  <c r="C5" i="8" l="1"/>
  <c r="C5" i="9" s="1"/>
  <c r="D5" i="9"/>
  <c r="B5" i="9"/>
  <c r="J23" i="8"/>
  <c r="E23" i="8"/>
  <c r="D23" i="8"/>
  <c r="C23" i="8"/>
  <c r="B23" i="8"/>
  <c r="K22" i="8"/>
  <c r="K21" i="8"/>
  <c r="I21" i="8"/>
  <c r="F21" i="8"/>
  <c r="F8" i="8"/>
  <c r="A2" i="8"/>
  <c r="A4" i="7"/>
  <c r="D37" i="6"/>
  <c r="D42" i="6"/>
  <c r="F39" i="9" l="1"/>
  <c r="F42" i="6"/>
  <c r="B12" i="9"/>
  <c r="G23" i="8"/>
  <c r="H23" i="8"/>
  <c r="I22" i="8"/>
  <c r="I20" i="4" l="1"/>
  <c r="C20" i="4"/>
  <c r="F27" i="14"/>
  <c r="F26" i="14"/>
  <c r="F25" i="14"/>
  <c r="F24" i="14"/>
  <c r="F23" i="14"/>
  <c r="F22" i="14"/>
  <c r="F21" i="14"/>
  <c r="F20" i="14"/>
  <c r="F19" i="14"/>
  <c r="F18" i="14"/>
  <c r="F17" i="14"/>
  <c r="F16" i="14"/>
  <c r="F15" i="14"/>
  <c r="F14" i="14"/>
  <c r="F13" i="14"/>
  <c r="F12" i="14"/>
  <c r="F10" i="14"/>
  <c r="F9" i="14"/>
  <c r="F8" i="14"/>
  <c r="F7" i="14"/>
  <c r="K16" i="12"/>
  <c r="K13" i="12"/>
  <c r="I13" i="12"/>
  <c r="F13" i="12"/>
  <c r="I12" i="12"/>
  <c r="F12" i="12"/>
  <c r="I11" i="12"/>
  <c r="F11" i="12"/>
  <c r="K10" i="12"/>
  <c r="I10" i="12"/>
  <c r="D20" i="12"/>
  <c r="C20" i="12"/>
  <c r="K10" i="9"/>
  <c r="I10" i="9"/>
  <c r="F10" i="9"/>
  <c r="K9" i="9"/>
  <c r="I9" i="9"/>
  <c r="F9" i="9"/>
  <c r="K8" i="9"/>
  <c r="I8" i="9"/>
  <c r="F8" i="9"/>
  <c r="I7" i="9"/>
  <c r="F7" i="9"/>
  <c r="K6" i="9"/>
  <c r="F6" i="9"/>
  <c r="K18" i="8"/>
  <c r="I18" i="8"/>
  <c r="F18" i="8"/>
  <c r="K17" i="8"/>
  <c r="I17" i="8"/>
  <c r="F17" i="8"/>
  <c r="K16" i="8"/>
  <c r="I16" i="8"/>
  <c r="F16" i="8"/>
  <c r="K15" i="8"/>
  <c r="I15" i="8"/>
  <c r="F15" i="8"/>
  <c r="K14" i="8"/>
  <c r="I14" i="8"/>
  <c r="K13" i="8"/>
  <c r="I13" i="8"/>
  <c r="F13" i="8"/>
  <c r="K12" i="8"/>
  <c r="I12" i="8"/>
  <c r="F12" i="8"/>
  <c r="K11" i="8"/>
  <c r="I11" i="8"/>
  <c r="F11" i="8"/>
  <c r="K10" i="8"/>
  <c r="I10" i="8"/>
  <c r="F10" i="8"/>
  <c r="K9" i="8"/>
  <c r="I9" i="8"/>
  <c r="K8" i="8"/>
  <c r="I8" i="8"/>
  <c r="K7" i="8"/>
  <c r="I7" i="8"/>
  <c r="K6" i="8"/>
  <c r="I6" i="8"/>
  <c r="F6" i="8"/>
  <c r="K13" i="7"/>
  <c r="K11" i="7"/>
  <c r="I11" i="7"/>
  <c r="F11" i="7"/>
  <c r="K10" i="7"/>
  <c r="I10" i="7"/>
  <c r="K9" i="7"/>
  <c r="I9" i="7"/>
  <c r="F9" i="7"/>
  <c r="K8" i="7"/>
  <c r="I8" i="7"/>
  <c r="F8" i="7"/>
  <c r="K18" i="12" l="1"/>
  <c r="G20" i="12"/>
  <c r="J20" i="12"/>
  <c r="F10" i="12"/>
  <c r="K17" i="12"/>
  <c r="E12" i="9"/>
  <c r="C12" i="9"/>
  <c r="K7" i="9"/>
  <c r="I6" i="9"/>
  <c r="G19" i="8"/>
  <c r="F7" i="8"/>
  <c r="H19" i="8"/>
  <c r="J19" i="8"/>
  <c r="I12" i="7"/>
  <c r="E5" i="8"/>
  <c r="E5" i="9" s="1"/>
  <c r="I19" i="8" l="1"/>
  <c r="I20" i="12"/>
  <c r="K20" i="12"/>
  <c r="F40" i="9"/>
  <c r="M39" i="9" s="1"/>
  <c r="F20" i="12"/>
  <c r="K19" i="8"/>
  <c r="J12" i="9"/>
  <c r="G12" i="9"/>
  <c r="K12" i="7"/>
  <c r="I11" i="9"/>
  <c r="H12" i="9"/>
  <c r="F11" i="9"/>
  <c r="K11" i="9"/>
  <c r="D63" i="11"/>
</calcChain>
</file>

<file path=xl/sharedStrings.xml><?xml version="1.0" encoding="utf-8"?>
<sst xmlns="http://schemas.openxmlformats.org/spreadsheetml/2006/main" count="1650" uniqueCount="769">
  <si>
    <t>CONTENIDO</t>
  </si>
  <si>
    <t>Página N°</t>
  </si>
  <si>
    <t>2</t>
  </si>
  <si>
    <t>3</t>
  </si>
  <si>
    <t>4</t>
  </si>
  <si>
    <t>5</t>
  </si>
  <si>
    <t>6</t>
  </si>
  <si>
    <t>7</t>
  </si>
  <si>
    <t xml:space="preserve">                   </t>
  </si>
  <si>
    <t>8</t>
  </si>
  <si>
    <t>9</t>
  </si>
  <si>
    <t>10</t>
  </si>
  <si>
    <t>12</t>
  </si>
  <si>
    <t>14</t>
  </si>
  <si>
    <t>15</t>
  </si>
  <si>
    <t>16</t>
  </si>
  <si>
    <t>17</t>
  </si>
  <si>
    <t>I. PRODUCCIÓN DE ELECTRICIDAD MENSUAL POR EMPRESA Y TIPO DE GENERACIÓN</t>
  </si>
  <si>
    <t>18</t>
  </si>
  <si>
    <t>21</t>
  </si>
  <si>
    <t>III. LISTADO DE EVENTOS Y FALLAS</t>
  </si>
  <si>
    <t>25</t>
  </si>
  <si>
    <t>INFORME DE LA OPERACIÓN MENSUAL</t>
  </si>
  <si>
    <t>-</t>
  </si>
  <si>
    <t>Hidro</t>
  </si>
  <si>
    <t>Gas Natural</t>
  </si>
  <si>
    <t>Carbón</t>
  </si>
  <si>
    <t>Diesel2/Residual500/Residual 6</t>
  </si>
  <si>
    <t>Bagazo / Biogás</t>
  </si>
  <si>
    <t>Eólico</t>
  </si>
  <si>
    <t>Solar</t>
  </si>
  <si>
    <t>RECURSO</t>
  </si>
  <si>
    <t>Por tipo de Generación</t>
  </si>
  <si>
    <t>últimos 3 meses</t>
  </si>
  <si>
    <t>Año Anterior</t>
  </si>
  <si>
    <t>Var (%)</t>
  </si>
  <si>
    <t>Hidroeléctrica</t>
  </si>
  <si>
    <t>Termoeléctrica</t>
  </si>
  <si>
    <t>Eólica</t>
  </si>
  <si>
    <t>Importación</t>
  </si>
  <si>
    <t>Exportación</t>
  </si>
  <si>
    <t>Intercambios Internacionales</t>
  </si>
  <si>
    <t>Var (%)
2018/2017</t>
  </si>
  <si>
    <t>Total</t>
  </si>
  <si>
    <t xml:space="preserve">Por tipo de Recurso Energético </t>
  </si>
  <si>
    <t>Agua</t>
  </si>
  <si>
    <t>Residual 500</t>
  </si>
  <si>
    <t>Residual 6</t>
  </si>
  <si>
    <t>Diesel 2</t>
  </si>
  <si>
    <t>Bagazo</t>
  </si>
  <si>
    <t>Biogás</t>
  </si>
  <si>
    <t>G.N. de Camisea</t>
  </si>
  <si>
    <t>G.N. de Malacas</t>
  </si>
  <si>
    <t>G.N. de Aguaytía</t>
  </si>
  <si>
    <t>G.N. de La Isla</t>
  </si>
  <si>
    <t>CENTRAL</t>
  </si>
  <si>
    <t>Producción (GWh)</t>
  </si>
  <si>
    <t>Factor de planta</t>
  </si>
  <si>
    <t>C.H. RUNATULLO III</t>
  </si>
  <si>
    <t>AGUA</t>
  </si>
  <si>
    <t>C.H. YARUCAYA</t>
  </si>
  <si>
    <t>C.H. RUNATULLO II</t>
  </si>
  <si>
    <t>C.H. LAS PIZARRAS</t>
  </si>
  <si>
    <t>C.H. CARHUAQUERO IV</t>
  </si>
  <si>
    <t>C.H. POTRERO</t>
  </si>
  <si>
    <t>C.H. HUASAHUASI II</t>
  </si>
  <si>
    <t>C.H. HUASAHUASI I</t>
  </si>
  <si>
    <t>C.H. LA JOYA</t>
  </si>
  <si>
    <t>C.H. SANTA CRUZ II</t>
  </si>
  <si>
    <t>C.H. SANTA CRUZ I</t>
  </si>
  <si>
    <t>C.H. POECHOS II</t>
  </si>
  <si>
    <t>C.H. CANCHAYLLO</t>
  </si>
  <si>
    <t>C.H. CAÑA BRAVA</t>
  </si>
  <si>
    <t>C.H. RONCADOR</t>
  </si>
  <si>
    <t>C.H. YANAPAMPA</t>
  </si>
  <si>
    <t>C.H. IMPERIAL</t>
  </si>
  <si>
    <t>C.H. PURMACANA</t>
  </si>
  <si>
    <t>C.E. TRES HERMANAS</t>
  </si>
  <si>
    <t>C.E. CUPISNIQUE</t>
  </si>
  <si>
    <t>C.E. MARCONA</t>
  </si>
  <si>
    <t>C.E. TALARA</t>
  </si>
  <si>
    <t>SOLAR</t>
  </si>
  <si>
    <t>C.S. MOQUEGUA FV</t>
  </si>
  <si>
    <t>C.S. REPARTICION</t>
  </si>
  <si>
    <t>C.T. PARAMONGA</t>
  </si>
  <si>
    <t>C.T. HUAYCOLORO</t>
  </si>
  <si>
    <t>C.T. LA GRINGA</t>
  </si>
  <si>
    <t>C.T. MAPLE ETANOL</t>
  </si>
  <si>
    <t>ENGIE</t>
  </si>
  <si>
    <t>ENEL GENERACION PERU</t>
  </si>
  <si>
    <t>ELECTROPERU</t>
  </si>
  <si>
    <t>STATKRAFT</t>
  </si>
  <si>
    <t>EGASA</t>
  </si>
  <si>
    <t>EGEMSA</t>
  </si>
  <si>
    <t>CHINANGO</t>
  </si>
  <si>
    <t>CELEPSA</t>
  </si>
  <si>
    <t>SAN GABAN</t>
  </si>
  <si>
    <t>ENEL GENERACION PIURA</t>
  </si>
  <si>
    <t>ENERGÍA EÓLICA</t>
  </si>
  <si>
    <t>ENEL GREEN POWER PERU</t>
  </si>
  <si>
    <t>P.E. TRES HERMANAS</t>
  </si>
  <si>
    <t>TERMOCHILCA</t>
  </si>
  <si>
    <t>EGESUR</t>
  </si>
  <si>
    <t>SDF ENERGIA</t>
  </si>
  <si>
    <t>HIDROELECTRICA HUANCHOR</t>
  </si>
  <si>
    <t>RIO DOBLE</t>
  </si>
  <si>
    <t>TERMOSELVA</t>
  </si>
  <si>
    <t>AIPSA</t>
  </si>
  <si>
    <t>PANAMERICANA SOLAR</t>
  </si>
  <si>
    <t>GEPSA</t>
  </si>
  <si>
    <t>TACNA SOLAR</t>
  </si>
  <si>
    <t>MOQUEGUA FV</t>
  </si>
  <si>
    <t>GTS MAJES</t>
  </si>
  <si>
    <t>GTS REPARTICION</t>
  </si>
  <si>
    <t>SINERSA</t>
  </si>
  <si>
    <t>EGECSAC</t>
  </si>
  <si>
    <t>ELECTRICA YANAPAMPA</t>
  </si>
  <si>
    <t>HIDROCAÑETE</t>
  </si>
  <si>
    <t>MAJA ENERGIA</t>
  </si>
  <si>
    <t>IYEPSA</t>
  </si>
  <si>
    <t>SHOUGESA</t>
  </si>
  <si>
    <t>AGUA AZUL</t>
  </si>
  <si>
    <t>AGROAURORA</t>
  </si>
  <si>
    <t>Var 
(%)</t>
  </si>
  <si>
    <t>Por Empresa Integrante  (MW)</t>
  </si>
  <si>
    <t>LAGUNA/ EMBALSE</t>
  </si>
  <si>
    <t>VARIACION
%</t>
  </si>
  <si>
    <t>Represa Aguada Blanca</t>
  </si>
  <si>
    <t>Represa El Frayle</t>
  </si>
  <si>
    <t>Represa El Pañe</t>
  </si>
  <si>
    <t>Represa Pillones</t>
  </si>
  <si>
    <t xml:space="preserve">Represa Bamputañe </t>
  </si>
  <si>
    <t>Represa Challhuanca</t>
  </si>
  <si>
    <t>Laguna Sibinacocha</t>
  </si>
  <si>
    <t>Laguna Aricota</t>
  </si>
  <si>
    <t>Lagunas San Gaban</t>
  </si>
  <si>
    <t>Lago Junín</t>
  </si>
  <si>
    <t>Lagunas ELECTROPERU</t>
  </si>
  <si>
    <t>Lago Viconga</t>
  </si>
  <si>
    <t>Lagunas STATKRAFT</t>
  </si>
  <si>
    <t>Pomacocha</t>
  </si>
  <si>
    <t>Lagunas Cullicocha (ORAZUL)</t>
  </si>
  <si>
    <t>Lagunas Aguashcocha (ORAZUL)</t>
  </si>
  <si>
    <t>Lagunas ENEL</t>
  </si>
  <si>
    <t>Laguna Yuracmayo</t>
  </si>
  <si>
    <t>Laguna Paucarcocha</t>
  </si>
  <si>
    <t>Gallito Ciego</t>
  </si>
  <si>
    <t>CAUDAL PROMEDIO</t>
  </si>
  <si>
    <t>Natural San Gaban</t>
  </si>
  <si>
    <t>Descargado Lagunas San Gaban</t>
  </si>
  <si>
    <t>Descarga Upamayo</t>
  </si>
  <si>
    <t>Mejorada- Ingreso Tablachaca</t>
  </si>
  <si>
    <t>Descargado Paucarcocha</t>
  </si>
  <si>
    <t>Natural Cañete</t>
  </si>
  <si>
    <t>Natural Tarma + Natural Yanango</t>
  </si>
  <si>
    <t>Natural Tulumayo</t>
  </si>
  <si>
    <t>Descarga Lagunas STATKRAFT</t>
  </si>
  <si>
    <t>Descarga Lagunas ENEL</t>
  </si>
  <si>
    <t>Descargado Yuracmayo (Rimac)</t>
  </si>
  <si>
    <t>Descargado Viconga</t>
  </si>
  <si>
    <t>Ingreso Toma Cahua (Pativilca)</t>
  </si>
  <si>
    <t>Descargado Pomacocha</t>
  </si>
  <si>
    <t>Natural Santa</t>
  </si>
  <si>
    <t>Natural Chancay</t>
  </si>
  <si>
    <t>Ingreso Toma Tamboraque</t>
  </si>
  <si>
    <t>Natural Jequetepeque</t>
  </si>
  <si>
    <t>Descargado Gallito Ciego</t>
  </si>
  <si>
    <t>BARRA</t>
  </si>
  <si>
    <t>PIURA OESTE 220</t>
  </si>
  <si>
    <t>CHICLAYO 220</t>
  </si>
  <si>
    <t>CHIMBOTE1 138</t>
  </si>
  <si>
    <t>TRUJILLO 220</t>
  </si>
  <si>
    <t>CAJAMARCA 220</t>
  </si>
  <si>
    <t>Cmg (USD/MWh)</t>
  </si>
  <si>
    <t>SANTA ROSA 220</t>
  </si>
  <si>
    <t>SAN JUAN 220</t>
  </si>
  <si>
    <t>INDEPENDENCIA 220</t>
  </si>
  <si>
    <t>CARABAYLLO 220</t>
  </si>
  <si>
    <t>POMACOCHA 220</t>
  </si>
  <si>
    <t>OROYA NUEVA 50</t>
  </si>
  <si>
    <t>TINTAYA NUEVA 220</t>
  </si>
  <si>
    <t>PUNO 138</t>
  </si>
  <si>
    <t>SOCABAYA 220</t>
  </si>
  <si>
    <t>MOQUEGUA 138</t>
  </si>
  <si>
    <t>DOLORESPATA 138</t>
  </si>
  <si>
    <t>COTARUSE 220</t>
  </si>
  <si>
    <t>SAN GABAN 138</t>
  </si>
  <si>
    <t>ÁREA OPERATIVA</t>
  </si>
  <si>
    <t>EQUIPO DE TRANSMISIÓN</t>
  </si>
  <si>
    <t>DESCRIPCIÓN</t>
  </si>
  <si>
    <t>SUR</t>
  </si>
  <si>
    <t>CENTRO</t>
  </si>
  <si>
    <t>TOTAL HORAS DE CONGESTIÓN EN EL SEIN</t>
  </si>
  <si>
    <t>TIPO DE EQUIPO</t>
  </si>
  <si>
    <t>FENOMENOS AMBIENTALES</t>
  </si>
  <si>
    <t>FALLAS DE EQUIPO</t>
  </si>
  <si>
    <t>FALLA EXTERNA</t>
  </si>
  <si>
    <t>OTRAS CAUSA DISTINTAS A LAS ANTERIORES</t>
  </si>
  <si>
    <t>FALLAS CUYA CAUSA NO FUE IDENTIFICADA</t>
  </si>
  <si>
    <t>FALLA DEL SISTEMA DE PROTECCIÓN</t>
  </si>
  <si>
    <t>FALLA HUMANA</t>
  </si>
  <si>
    <t>TOTAL</t>
  </si>
  <si>
    <t>ENERGÍA INTERRUMPIDA APROXIMADA</t>
  </si>
  <si>
    <t>FNA</t>
  </si>
  <si>
    <t>FEC</t>
  </si>
  <si>
    <t>EXT</t>
  </si>
  <si>
    <t>OTR</t>
  </si>
  <si>
    <t>FNI</t>
  </si>
  <si>
    <t>FEP</t>
  </si>
  <si>
    <t>FHU</t>
  </si>
  <si>
    <t>MWh</t>
  </si>
  <si>
    <t>NOTA: El valor de la estimación de la energía interrumpida es obtenida  con los registros de potencia de las interrupciones y/o disminuciones de carga por su respectivo periodo de interrupción.</t>
  </si>
  <si>
    <t>La estadística de fallas corresponde a los eventos y fallas que ocasionaron interrupción y/o disminución del suministro eléctrico.</t>
  </si>
  <si>
    <t>ANEXOS</t>
  </si>
  <si>
    <t>mes:</t>
  </si>
  <si>
    <t>año:</t>
  </si>
  <si>
    <t>Empresa</t>
  </si>
  <si>
    <t>Tipo de Generación</t>
  </si>
  <si>
    <t>Recurso Energético</t>
  </si>
  <si>
    <t>Tipo de Tecnologia</t>
  </si>
  <si>
    <t>Central</t>
  </si>
  <si>
    <t>Unidad</t>
  </si>
  <si>
    <t>HIDROELÉCTRICA</t>
  </si>
  <si>
    <t>TERMOELÉCTRICA</t>
  </si>
  <si>
    <t>EÓLICA</t>
  </si>
  <si>
    <t>Tensión  
(kV)</t>
  </si>
  <si>
    <t>Operación Comercial</t>
  </si>
  <si>
    <t>Central Solar</t>
  </si>
  <si>
    <t>POTENCIA INSTALADA (MW)</t>
  </si>
  <si>
    <t>Potencia Instalada (MW)</t>
  </si>
  <si>
    <t>VARIACIÓN
 (%)</t>
  </si>
  <si>
    <t>Cuadro N° 3: Producción de energía eléctrica (GWh) por tipo de generación en el SEIN.</t>
  </si>
  <si>
    <t>3. PRODUCCIÓN DE ENERGÍA ELÉCTRICA EN EL SEIN (GWh)</t>
  </si>
  <si>
    <t>Cuadro N° 4: Producción de energía eléctrica (GWh) por tipo de recurso energético en el SEIN.</t>
  </si>
  <si>
    <t>Total RER</t>
  </si>
  <si>
    <t>Participación en el SEIN (%)</t>
  </si>
  <si>
    <t>Cuadro N° 5: Producción de energía eléctrica (GWh) con recursos energético renovables en el SEIN.</t>
  </si>
  <si>
    <r>
      <t xml:space="preserve">Recursos Energéticos Renovables (RER) </t>
    </r>
    <r>
      <rPr>
        <b/>
        <vertAlign val="superscript"/>
        <sz val="8"/>
        <color theme="0"/>
        <rFont val="Arial"/>
        <family val="2"/>
      </rPr>
      <t>(*)</t>
    </r>
  </si>
  <si>
    <t>GWh</t>
  </si>
  <si>
    <t xml:space="preserve">  PRODUCCIÓN TOTAL  SEIN :</t>
  </si>
  <si>
    <t xml:space="preserve">  PRODUCCIÓN TOTAL RER : </t>
  </si>
  <si>
    <t>3.3. PRODUCCIÓN POR RECURSOS ENERGÉTICOS RENOVABLES (GWh)</t>
  </si>
  <si>
    <t>C.S. TACNA SOLAR</t>
  </si>
  <si>
    <t>C.S. PANAMERICANA SOLAR</t>
  </si>
  <si>
    <t>C.S. MAJES SOLAR</t>
  </si>
  <si>
    <t>3.4. FACTOR DE PLANTA DE LAS CENTRALES RER DEL SEIN</t>
  </si>
  <si>
    <t>3.5. PARTICIPACIÓN DE LA PRODUCCIÓN (GWh) POR EMPRESAS INTEGRANTES</t>
  </si>
  <si>
    <t>CERRO VERDE</t>
  </si>
  <si>
    <t>EMGE HUALLAGA</t>
  </si>
  <si>
    <t>EMGE HUANZA</t>
  </si>
  <si>
    <t>FENIX POWER</t>
  </si>
  <si>
    <t>HUAURA POWER</t>
  </si>
  <si>
    <t>ORAZUL ENERGY PERÚ</t>
  </si>
  <si>
    <t>P.E. MARCONA</t>
  </si>
  <si>
    <t>PLANTA  ETEN</t>
  </si>
  <si>
    <t>SAMAY I</t>
  </si>
  <si>
    <t>Empresa Integrante  (GWh)</t>
  </si>
  <si>
    <t>4. MÁXIMA POTENCIA COINCIDENTE A NIVEL DE GENERACIÓN EN EL SEIN (MW)</t>
  </si>
  <si>
    <t>Total Máxima Potencia</t>
  </si>
  <si>
    <t>Máxima Potencia Anual</t>
  </si>
  <si>
    <t>Últimos 3 meses</t>
  </si>
  <si>
    <t>EMPRESA</t>
  </si>
  <si>
    <t>4.2. PARTICIPACIÓN DE LAS EMPRESAS INTEGRANTES EN LA MÁXIMA POTENCIA COINCIDENTE (MW)</t>
  </si>
  <si>
    <t>5. HIDROLOGÍA PARA LA OPERACIÓN DEL SEIN</t>
  </si>
  <si>
    <t xml:space="preserve">Natural Paucartambo </t>
  </si>
  <si>
    <t>Natural Vilcanota</t>
  </si>
  <si>
    <t>Turbinado de la C.H. Charcani V</t>
  </si>
  <si>
    <t>Tubinado de la C.H. Platanal</t>
  </si>
  <si>
    <t>Turbinado de la C.H. Aricota</t>
  </si>
  <si>
    <t>Hidrología EDEGEL</t>
  </si>
  <si>
    <t>Volumen Lagunas Edegel (Santa Eulalia y Marca)</t>
  </si>
  <si>
    <t>Volumen Útil del Lago Junín Electroperú</t>
  </si>
  <si>
    <t>VOLUMEN UTIL RESERVORIOS EGASA ( (El Frayle, Pañe, Pillones,  Aguada Blanca, Chalhuanca y Bamputañe)</t>
  </si>
  <si>
    <t>SEMANA</t>
  </si>
  <si>
    <t>PATIVILCA</t>
  </si>
  <si>
    <t>SANTA</t>
  </si>
  <si>
    <t>CHANCAY</t>
  </si>
  <si>
    <t>RÍMAC</t>
  </si>
  <si>
    <t>SANTA EULALIA</t>
  </si>
  <si>
    <t>MANTARO</t>
  </si>
  <si>
    <t>TULUMAYO</t>
  </si>
  <si>
    <t>TARMA</t>
  </si>
  <si>
    <t>TURBINADO CHARCANI V</t>
  </si>
  <si>
    <t>INGRESO ARICOTA</t>
  </si>
  <si>
    <t>VILCANOTA</t>
  </si>
  <si>
    <t>SAN GABÁN</t>
  </si>
  <si>
    <t>ANEXO I: PRODUCCIÓN DE ELECTRICIDAD MENSUAL POR EMPRESA Y TIPO DE GENERACIÓN EN EL SEIN</t>
  </si>
  <si>
    <t>ANUAL</t>
  </si>
  <si>
    <t>GENERACIÓN</t>
  </si>
  <si>
    <t xml:space="preserve">ACUMULADO </t>
  </si>
  <si>
    <t>RER (*)</t>
  </si>
  <si>
    <t>(MWh)</t>
  </si>
  <si>
    <t>AGROAURORA Total</t>
  </si>
  <si>
    <t>AGUA AZUL Total</t>
  </si>
  <si>
    <t>AIPSA Total</t>
  </si>
  <si>
    <t>C.H. PLATANAL</t>
  </si>
  <si>
    <t>CELEPSA Total</t>
  </si>
  <si>
    <t>C.T. RECKA</t>
  </si>
  <si>
    <t>CERRO VERDE Total</t>
  </si>
  <si>
    <t>C.H. CHIMAY</t>
  </si>
  <si>
    <t>C.H. YANANGO</t>
  </si>
  <si>
    <t>CHINANGO Total</t>
  </si>
  <si>
    <t>C.H. CHARCANI I</t>
  </si>
  <si>
    <t>C.H. CHARCANI II</t>
  </si>
  <si>
    <t>C.H. CHARCANI III</t>
  </si>
  <si>
    <t>C.H. CHARCANI IV</t>
  </si>
  <si>
    <t>C.H. CHARCANI V</t>
  </si>
  <si>
    <t>C.H. CHARCANI VI</t>
  </si>
  <si>
    <t>C.T. CHILINA DIESEL</t>
  </si>
  <si>
    <t>C.T. MOLLENDO DIESEL</t>
  </si>
  <si>
    <t>C.T. PISCO</t>
  </si>
  <si>
    <t>EGASA Total</t>
  </si>
  <si>
    <t>EGECSAC Total</t>
  </si>
  <si>
    <t>C.H. MACHUPICCHU</t>
  </si>
  <si>
    <t>EGEMSA Total</t>
  </si>
  <si>
    <t>C.H. ARICOTA I</t>
  </si>
  <si>
    <t>C.H. ARICOTA II</t>
  </si>
  <si>
    <t>C.T. INDEPENDENCIA</t>
  </si>
  <si>
    <t>EGESUR Total</t>
  </si>
  <si>
    <t>ELECTRICA YANAPAMPA Total</t>
  </si>
  <si>
    <t>C.H. MANTARO</t>
  </si>
  <si>
    <t>C.H. RESTITUCION</t>
  </si>
  <si>
    <t>C.T. TUMBES</t>
  </si>
  <si>
    <t>ELECTROPERU Total</t>
  </si>
  <si>
    <t>C.H. CHAGLLA</t>
  </si>
  <si>
    <t>P.C.H CHAGLLA</t>
  </si>
  <si>
    <t>EMGE HUALLAGA Total</t>
  </si>
  <si>
    <t>C.H. HUANZA</t>
  </si>
  <si>
    <t>EMGE HUANZA Total</t>
  </si>
  <si>
    <t>C.H. HUAMPANI</t>
  </si>
  <si>
    <t>C.H. HUINCO</t>
  </si>
  <si>
    <t>C.H. MATUCANA</t>
  </si>
  <si>
    <t>C.H. MOYOPAMPA</t>
  </si>
  <si>
    <t>C.T. SANTA ROSA</t>
  </si>
  <si>
    <t>C.T. SANTA ROSA II</t>
  </si>
  <si>
    <t>C.T. VENTANILLA</t>
  </si>
  <si>
    <t>ENEL GENERACION PERU Total</t>
  </si>
  <si>
    <t>C.T. MALACAS 1</t>
  </si>
  <si>
    <t>C.T. MALACAS 2</t>
  </si>
  <si>
    <t>C.T. R.F. DE GENERACION TALARA</t>
  </si>
  <si>
    <t>ENEL GENERACION PIURA Total</t>
  </si>
  <si>
    <t>ENEL GREEN POWER PERU Total</t>
  </si>
  <si>
    <t>ENERGÍA EÓLICA Total</t>
  </si>
  <si>
    <t>C.H. QUITARACSA</t>
  </si>
  <si>
    <t>C.H. YUNCAN</t>
  </si>
  <si>
    <t>C.T. CHILCA 1</t>
  </si>
  <si>
    <t>C.T. CHILCA 2</t>
  </si>
  <si>
    <t>C.T. ILO 2</t>
  </si>
  <si>
    <t>C.T. NEPI</t>
  </si>
  <si>
    <t>C.T. R.F. PLANTA ILO</t>
  </si>
  <si>
    <t>ENGIE Total</t>
  </si>
  <si>
    <t>C.T. FENIX</t>
  </si>
  <si>
    <t>FENIX POWER Total</t>
  </si>
  <si>
    <t>GEPSA Total</t>
  </si>
  <si>
    <t>GTS MAJES Total</t>
  </si>
  <si>
    <t>GTS REPARTICION Total</t>
  </si>
  <si>
    <t>HIDROCAÑETE Total</t>
  </si>
  <si>
    <t>C.H. HUANCHOR</t>
  </si>
  <si>
    <t>HIDROELECTRICA HUANCHOR Total</t>
  </si>
  <si>
    <t>C.H. MARAÑON</t>
  </si>
  <si>
    <t>HUAURA POWER Total</t>
  </si>
  <si>
    <t>C.T. R.F. PTO MALDONADO</t>
  </si>
  <si>
    <t>C.T. R.F. PUCALLPA</t>
  </si>
  <si>
    <t>IYEPSA Total</t>
  </si>
  <si>
    <t>C.T. KALLPA</t>
  </si>
  <si>
    <t>C.T. LAS FLORES</t>
  </si>
  <si>
    <t>M.C.H. CERRO DEL AGUILA</t>
  </si>
  <si>
    <t>KALLPA Total</t>
  </si>
  <si>
    <t>MAJA ENERGIA Total</t>
  </si>
  <si>
    <t>MOQUEGUA FV Total</t>
  </si>
  <si>
    <t>C.H. CAÑON DEL PATO</t>
  </si>
  <si>
    <t>C.H. CARHUAQUERO</t>
  </si>
  <si>
    <t>ORAZUL ENERGY PERÚ Total</t>
  </si>
  <si>
    <t>P.E. MARCONA Total</t>
  </si>
  <si>
    <t>P.E. TRES HERMANAS Total</t>
  </si>
  <si>
    <t>PANAMERICANA SOLAR Total</t>
  </si>
  <si>
    <t>PETRAMAS Total</t>
  </si>
  <si>
    <t>C.T. R. F. GENERACION ETEN</t>
  </si>
  <si>
    <t>PLANTA  ETEN Total</t>
  </si>
  <si>
    <t>RIO DOBLE Total</t>
  </si>
  <si>
    <t>C.T. PUERTO BRAVO</t>
  </si>
  <si>
    <t>SAMAY I Total</t>
  </si>
  <si>
    <t>C.H. SAN GABAN II</t>
  </si>
  <si>
    <t>SAN GABAN Total</t>
  </si>
  <si>
    <t>C.T. OQUENDO</t>
  </si>
  <si>
    <t>SDF ENERGIA Total</t>
  </si>
  <si>
    <t>C.T. SAN NICOLAS</t>
  </si>
  <si>
    <t>SHOUGESA Total</t>
  </si>
  <si>
    <t>SINERSA Total</t>
  </si>
  <si>
    <t>C.H. CAHUA</t>
  </si>
  <si>
    <t>C.H. CHEVES</t>
  </si>
  <si>
    <t>C.H. GALLITO CIEGO</t>
  </si>
  <si>
    <t>C.H. HUAYLLACHO</t>
  </si>
  <si>
    <t>C.H. MALPASO</t>
  </si>
  <si>
    <t>C.H. MISAPUQUIO</t>
  </si>
  <si>
    <t>C.H. OROYA</t>
  </si>
  <si>
    <t>C.H. PACHACHACA</t>
  </si>
  <si>
    <t>C.H. PARIAC</t>
  </si>
  <si>
    <t>C.H. SAN ANTONIO</t>
  </si>
  <si>
    <t>C.H. SAN IGNACIO</t>
  </si>
  <si>
    <t>C.H. YAUPI</t>
  </si>
  <si>
    <t>STATKRAFT Total</t>
  </si>
  <si>
    <t>TACNA SOLAR Total</t>
  </si>
  <si>
    <t>TERMOCHILCA Total</t>
  </si>
  <si>
    <t>C.T. AGUAYTIA</t>
  </si>
  <si>
    <t>TERMOSELVA Total</t>
  </si>
  <si>
    <t>IMPORTACIÓN</t>
  </si>
  <si>
    <t>EXPORTACIÓN</t>
  </si>
  <si>
    <t>Variación</t>
  </si>
  <si>
    <t>%</t>
  </si>
  <si>
    <t xml:space="preserve">ANEXO II: MÁXIMA POTENCIA COINCIDENTE MENSUAL </t>
  </si>
  <si>
    <t>MÁXIMA POTENCIA COINCIDENTE (MW)</t>
  </si>
  <si>
    <t>FECHA</t>
  </si>
  <si>
    <t>HFP</t>
  </si>
  <si>
    <t>HP</t>
  </si>
  <si>
    <t>HORA</t>
  </si>
  <si>
    <t>HH:MM</t>
  </si>
  <si>
    <t>MW</t>
  </si>
  <si>
    <t>DEMANDA
 SEIN</t>
  </si>
  <si>
    <t>MÁXIMA DEMANDA MENSUAL</t>
  </si>
  <si>
    <t>Fecha:</t>
  </si>
  <si>
    <t>Hora:</t>
  </si>
  <si>
    <t>ANEXO III: LISTADO DE EVENTOS Y FALLAS QUE OCASIONARON INTERRUPCIÓN Y DISMINUCIÓN DE SUMINISTRO ELÉCTRICO</t>
  </si>
  <si>
    <t>EQUIPO</t>
  </si>
  <si>
    <t>DESCRIPCIÓN DEL EVENTO</t>
  </si>
  <si>
    <t>INTERRUPCIÓN
(MW)</t>
  </si>
  <si>
    <t>DISMINUCIÓN 
(MW)</t>
  </si>
  <si>
    <t>HIDRANDINA</t>
  </si>
  <si>
    <t>3.1. Producción por tipo de Generación</t>
  </si>
  <si>
    <t>3.3. Producción por Recursos Energéticos Renovables</t>
  </si>
  <si>
    <t>3.4. Factor de planta de las centrales RER</t>
  </si>
  <si>
    <t>3.5. Participación de la producción por empresas Integrantes</t>
  </si>
  <si>
    <t>5.2. Evolución de volúmenes de embalses y lagunas</t>
  </si>
  <si>
    <t>6.2. Ubicación geográfica de las principales barras en el SEIN.</t>
  </si>
  <si>
    <t>7. HORAS DE CONGESTIÓN EN LAS PRINCIPALES EQUIPOS DE TRANSMISIÓN DEL SEIN (Horas)</t>
  </si>
  <si>
    <t>8. EVENTOS Y FALLAS QUE OCASIONARON DISMINUCIÓN O INTERRUPCIÓN DE SUMINISTROS</t>
  </si>
  <si>
    <t>8.1. Fallas por tipo de equipo y causa según clasificación CIER</t>
  </si>
  <si>
    <t>3.2. Producción por tipo de Recurso Energético</t>
  </si>
  <si>
    <t>5.4. Evolución de los caudales</t>
  </si>
  <si>
    <t>2.2. Potencia Instalada en el SEIN</t>
  </si>
  <si>
    <t>2.2. POTENCIA INSTALADA EN EL SEIN</t>
  </si>
  <si>
    <t>4.1. MÁXIMA POTENCIA COINCIDENTE POR TIPO DE GENERACIÓN (MW)</t>
  </si>
  <si>
    <t>5.3. PROMEDIO MENSUAL DE LOS CAUDALES (m3/s)</t>
  </si>
  <si>
    <t>5.4. EVOLUCIÓN DE LOS CAUDALES</t>
  </si>
  <si>
    <t>6. COSTOS MARGINALES PROMEDIO MENSUAL DEL SEIN</t>
  </si>
  <si>
    <t>6.1.- PRINCIPALES BARRAS EN EL SEIN (US$/MWh)</t>
  </si>
  <si>
    <t>6.1.1. Área Norte</t>
  </si>
  <si>
    <t>6.1.2. Área Centro</t>
  </si>
  <si>
    <t>6.1.3. Área Sur</t>
  </si>
  <si>
    <t>7. HORAS DE CONGESTIÓN DE LOS PRINCIPALES EQUIPOS DE TRANSMISIÓN DEL SEIN (Horas)</t>
  </si>
  <si>
    <t>6.2.- UBICACIÓN GEOGRÁFICA DE LAS PRINCIPALES BARRAS EN EL SEIN.</t>
  </si>
  <si>
    <t>4. MÁXIMA POTENCIA COINCIDENTE A NIVEL DE GENERACIÓN EN EL SEIN</t>
  </si>
  <si>
    <t>3. PRODUCCIÓN DE ENERGÍA ELÉCTRICA EN EL SEIN</t>
  </si>
  <si>
    <t>4.1 Máxima Potencia Coincidente Por tipo de generación</t>
  </si>
  <si>
    <t>5.3. Promedio mensual de los caudales</t>
  </si>
  <si>
    <t xml:space="preserve">5.1. Volumen útil de los embalses y lagunas </t>
  </si>
  <si>
    <t>6.1. Costos Marginales Promedio Mensual del SEIN</t>
  </si>
  <si>
    <t>7.1. Horas de congestión por Área Operativa</t>
  </si>
  <si>
    <t>II. MÁXIMA POTENCIA COINCIDENTE MENSUAL</t>
  </si>
  <si>
    <t>LINEA DE TRANSMISION</t>
  </si>
  <si>
    <t>1. RESUMEN</t>
  </si>
  <si>
    <t>Var. (2018/2017)</t>
  </si>
  <si>
    <t>SANTA ANA</t>
  </si>
  <si>
    <t>BIOCOMBUSTIBLE</t>
  </si>
  <si>
    <t>SANTA ANA Total</t>
  </si>
  <si>
    <t>TOTAL MÁXIMA POTENCIA COINCIDENTE</t>
  </si>
  <si>
    <t>Cuadro N°7 : Máxima potencia coincidente (MW) por tipo de generación en el SEIN.</t>
  </si>
  <si>
    <t>11:45</t>
  </si>
  <si>
    <t>11:30</t>
  </si>
  <si>
    <t>C.H. RENOVANDES H1</t>
  </si>
  <si>
    <t>G1</t>
  </si>
  <si>
    <t>Central Hidroeléctrica</t>
  </si>
  <si>
    <t>Gráfico N°24: Porcentaje de participación por tipo de causa en el número de fallas.</t>
  </si>
  <si>
    <t>Gráfico N°25: Comparación en el número de fallas por tipo de equipo.</t>
  </si>
  <si>
    <t xml:space="preserve">Potencia Efectiva  (MW) </t>
  </si>
  <si>
    <t>ENLACE CENTRO - SUR</t>
  </si>
  <si>
    <t>Central Eólica</t>
  </si>
  <si>
    <t>Máxima Demanda:</t>
  </si>
  <si>
    <t>KALLPA</t>
  </si>
  <si>
    <t>PETRAMAS</t>
  </si>
  <si>
    <t>12:00</t>
  </si>
  <si>
    <t>HYDRO PATAPO</t>
  </si>
  <si>
    <t>C.H. ÁNGEL II</t>
  </si>
  <si>
    <t>C.H. ÁNGEL III</t>
  </si>
  <si>
    <t>C.H. ÁNGEL I</t>
  </si>
  <si>
    <t>C.H. HER 1</t>
  </si>
  <si>
    <t>HYDRO PATAPO Total</t>
  </si>
  <si>
    <t>Lagunas Rajucolta (ORAZUL)</t>
  </si>
  <si>
    <t>Central a Biogás</t>
  </si>
  <si>
    <t>ANDEAN POWER</t>
  </si>
  <si>
    <t>ANDEAN POWER Total</t>
  </si>
  <si>
    <t>8. EVENTOS Y FALLAS QUE OCASIONARON INTERRUPCIÓN Y DISMINUCIÓN DE SUMINISTRO ELÉCTRICO</t>
  </si>
  <si>
    <t>Turbina Francis</t>
  </si>
  <si>
    <t>C.H. CARHUAC</t>
  </si>
  <si>
    <t>ELECTRO ZAÑA</t>
  </si>
  <si>
    <t>ELECTRO ZAÑA Total</t>
  </si>
  <si>
    <t>HIDROMARAÑON/ CELEPSA RENOVABLES Total</t>
  </si>
  <si>
    <t>C.H. Zaña</t>
  </si>
  <si>
    <t>TOTAL MWh</t>
  </si>
  <si>
    <t>Var (%)
2019/2018</t>
  </si>
  <si>
    <t>C.H. ZAÑA</t>
  </si>
  <si>
    <t>HIDROMARAÑON/ CELEPSA RENOVABLES</t>
  </si>
  <si>
    <t>Variación 2019/2018 (GWh)</t>
  </si>
  <si>
    <t>Variación 2019/2018 (MW)</t>
  </si>
  <si>
    <t>00:15</t>
  </si>
  <si>
    <t>2. MODIFICACION DE LA OFERTA DE GENERACIÓN ELÉCTRICA DEL SEIN EN EL 2019</t>
  </si>
  <si>
    <t>Gráfico N°13: Evolución semanal del volumen de las lagunas de ENEL durante los años 2016 - 2019</t>
  </si>
  <si>
    <t>Gráfico N°14: Evolución semanal del volumen del lago JUNÍN durante los años 2016 - 2019</t>
  </si>
  <si>
    <t>Gráfico N°15: Evolución semanal del volumen de los embalses de EGASA durante los años 2016 - 2019.</t>
  </si>
  <si>
    <t>Gráfico N°16: Evolución del promedio semanal de caudales de los ríos SANTA, CHANCAY y PATIVILCA en los años 2016 - 2019.</t>
  </si>
  <si>
    <t>Gráfico N°17: Evolución del promedio semanal de caudales de los ríos RÍMAC y SANTA EULALIA en los años 2016 - 2019.</t>
  </si>
  <si>
    <t>Gráfico N°18: Evolución del promedio semanal de caudales de los ríos MANTARO, TULUMAYO y TARMA  en los años 2016 - 2019.</t>
  </si>
  <si>
    <t>Gráfico N°19: Evolución del promedio semanal de caudales de las cuencas CHILI, ARICOTA, VILCANOTA Y SAN GABÁN en los años 2016 - 2019.</t>
  </si>
  <si>
    <t>19:00</t>
  </si>
  <si>
    <t>TRANSFORMADOR 3D</t>
  </si>
  <si>
    <t>C.E. WAYRA I</t>
  </si>
  <si>
    <t>C.S. RUBI</t>
  </si>
  <si>
    <t>C.S. INTIPAMPA</t>
  </si>
  <si>
    <t>C.T. DOÑA CATALINA</t>
  </si>
  <si>
    <t>INLAND</t>
  </si>
  <si>
    <t>SAN JACINTO</t>
  </si>
  <si>
    <t>L-2051 L-2052  L-5034  L-5036</t>
  </si>
  <si>
    <t>C.H. CERRO DEL AGUILA</t>
  </si>
  <si>
    <t>C.T. OLLEROS</t>
  </si>
  <si>
    <t>C.H. SANTA TERESA</t>
  </si>
  <si>
    <t>INLAND Total</t>
  </si>
  <si>
    <t>SAN JACINTO Total</t>
  </si>
  <si>
    <t>Var. (2019/2018)</t>
  </si>
  <si>
    <t>2019 / 2018</t>
  </si>
  <si>
    <t>15.02.2019</t>
  </si>
  <si>
    <t>HYDROPATAPO</t>
  </si>
  <si>
    <t>15.03.2019</t>
  </si>
  <si>
    <t>Turbina Kaplan</t>
  </si>
  <si>
    <t>C.H. Patapo</t>
  </si>
  <si>
    <t>18:45</t>
  </si>
  <si>
    <t>(*) Se denomina RER a los Recursos Energéticos Renovables tales como biomasa, eólica, solar, geotérmica, mareomotriz e hidráulicas cuya capacidad instalada no sobrepasa de los 20 MW, según D.L. N° 1002, Se consideran RER a las centrales adjudicadas,  además de las centrales no adjudicadas C.T. Maple y C.T. San Jacinto.</t>
  </si>
  <si>
    <t>(*) Se denomina RER a los Recursos Energéticos Renovables (biomasa, eólica, solar, geotérmica, mareomotriz), e hidroléctricas cuya capacidad instalada no sobrepase los 20 MW, según D.L. N° 1002. Son consideradas las centrales RER adjudicadas por susbasta además de las centrales no adjudicadas de bagazo C.T. Maple y C.T. San Jacinto.</t>
  </si>
  <si>
    <t>SOLARES</t>
  </si>
  <si>
    <t>TERMOELÉCTRICAS</t>
  </si>
  <si>
    <t>(*) Se denomina RER a los Recursos Energéticos Renovables tales como biomasa, eólica, solar, geotérmica, mareomotriz e hidráulicas cuya capacidad instalada no sobrepasa de los 20 MW, según D.L. N° 1002, Se consideran RER a las centrales adjudicadas,  además de las centrales de bagazo no adjudicadas C.T. Maple y C.T. San Jacinto.</t>
  </si>
  <si>
    <t>4.2. Participación por Empresas Integrantes en la máxima potencia coincidente</t>
  </si>
  <si>
    <t>ENEL GENERACIÓN PERÚ</t>
  </si>
  <si>
    <t>30.03.2019</t>
  </si>
  <si>
    <t>C.H. Callahuanca</t>
  </si>
  <si>
    <t>G1 ; G2 ; G3</t>
  </si>
  <si>
    <t>Turbina Pelton</t>
  </si>
  <si>
    <t>5.2. EVOLUCIÓN DEL VOLUMEN DE LOS EMBALSES Y LAGUNAS</t>
  </si>
  <si>
    <t>5.1. VOLUMEN ÚTIL DE LOS EMBALSES Y LAGUNAS (Millones de m3)</t>
  </si>
  <si>
    <t>VARIACIÓN
%</t>
  </si>
  <si>
    <t>8.1. FALLAS POR TIPO DE EQUIPO Y CAUSA SEGÚN CLASIFICACIÓN CIER</t>
  </si>
  <si>
    <t>7.1. HORAS DE CONGESTIÓN POR ÁREA OPERATIVA</t>
  </si>
  <si>
    <t>2. MODIFICACIÓN DE LA OFERTA DE GENERACIÓN ELÉCTRICA DEL SEIN EN EL 2019</t>
  </si>
  <si>
    <t>EÓLICAS</t>
  </si>
  <si>
    <t>AGROINDUSTRIAS SAN JACINTO</t>
  </si>
  <si>
    <t>Turbina de Vapor</t>
  </si>
  <si>
    <t>C.T. San Jacinto</t>
  </si>
  <si>
    <t>TV1</t>
  </si>
  <si>
    <t>13.04.2019</t>
  </si>
  <si>
    <t>- Los valores de potencia efectiva de las centrales corresponden a la declaración de sus propietarios en los ingresos de operación comercial.</t>
  </si>
  <si>
    <t>RIO BAÑOS</t>
  </si>
  <si>
    <t>RIO BAÑOS Total</t>
  </si>
  <si>
    <t>20:30</t>
  </si>
  <si>
    <t>CHAVARRIA 220</t>
  </si>
  <si>
    <t>(1) Inicio de operación comercial de la unidad G1 de la C.H. Zaña, propiedad de ELECTROZAÑA S.A.C. a las 00:00 horas del 15.02.2019</t>
  </si>
  <si>
    <t>(2) Inicio de operación comercial de la C.H. Patapo, propiedad de HYDROPATAPO. a las 00:00 horas del 15.03.2019</t>
  </si>
  <si>
    <t>(3)  Inicio de  operación comercial de la C.H. Callahuanca, propiedad de la empresa ENEL GENERACIÓN PERÚ.a las 00:00 horas del 30.03.2019</t>
  </si>
  <si>
    <t>(4) Inicio de  operación comercial de la C.T. San Jacinto, propiedad de la empresa AGROINDUSTRIAS SAN JACINTO S.A.A. a las 00:00 horas del 13.04.2019</t>
  </si>
  <si>
    <t>2.1.  INICIO DE OPERACIÓN COMERCIAL EN EL SEIN</t>
  </si>
  <si>
    <t>2.1. Inicio de Operación Comercial en el SEIN</t>
  </si>
  <si>
    <t>19:30</t>
  </si>
  <si>
    <t>19:45</t>
  </si>
  <si>
    <t>TRANSFORMADOR 2D</t>
  </si>
  <si>
    <t>JUNIO 2017</t>
  </si>
  <si>
    <t>C.T. ILO 1</t>
  </si>
  <si>
    <t>EMPRESA DE GENERACIÓN ELÉCTRICA RIO BAÑOS</t>
  </si>
  <si>
    <t>C.H. Rucuy</t>
  </si>
  <si>
    <t>01.06.2019</t>
  </si>
  <si>
    <t xml:space="preserve">G1 ; G2 </t>
  </si>
  <si>
    <t>SINDICATO ENERGETICO S.A.</t>
  </si>
  <si>
    <t>C.H. Chancay</t>
  </si>
  <si>
    <t>04.06.2019</t>
  </si>
  <si>
    <t>HIDROELÉCTRICAS</t>
  </si>
  <si>
    <t>(6) Inicio de  operación comercial de la  C.H. Chancay propiedad de SINDICATO ENERGÉTICO S.A. (SINERSA). a las 00:00 horas del 04.06.2019</t>
  </si>
  <si>
    <t>(5) Inicio de  operación comercial de la C.H. Rucuy propiedad de EMPRESA DE GENERACION ELECTRICA RIO BAÑOS S.A.C. a las 00:00 horas del 01.06.2019</t>
  </si>
  <si>
    <t>19:15</t>
  </si>
  <si>
    <t>20:15</t>
  </si>
  <si>
    <t>SAN JUAN - SANTA ROSA N.</t>
  </si>
  <si>
    <t>ECELIM</t>
  </si>
  <si>
    <t>ECELIM Total</t>
  </si>
  <si>
    <t>[2] La empresa ELÉCTRICA SANTA ROSA S.A.C. cambió su razón social al nombre ATRIA ENERGÍA S.A.C. con fecha 26 junio 2019.</t>
  </si>
  <si>
    <t>(8) La empresa ELÉCTRICA SANTA ROSA S.A.C. cambió su razón social al nombre ATRIA ENERGÍA S.A.C. con fecha 26 junio 2019.</t>
  </si>
  <si>
    <t>[1] Fusión por absorción por parte de Empresa de Generación Eléctrica Junín S.A.C. (sociedad absorbente) hacia Hidroeléctrica Santa Cruz S.A.C. (Sociedad Absorbida), Vigente desde las 00:00 horas del 01/06/2019.</t>
  </si>
  <si>
    <t>(7) Fusión por absorción por parte de Empresa de Generación Eléctrica Junín S.A.C. (sociedad absorbente) hacia Hidroeléctrica Santa Cruz S.A.C. (Sociedad Absorbida), Vigente desde las 00:00 horas del 01/06/2019.</t>
  </si>
  <si>
    <t>ELECTRICA SANTA ROSA / ATRIA Total</t>
  </si>
  <si>
    <t>20:00</t>
  </si>
  <si>
    <t>ELECTRICA SANTA ROSA / ATRIA</t>
  </si>
  <si>
    <t>TOTAL (CONSIDERANDO LA IMPORTACIÓN)</t>
  </si>
  <si>
    <t>ELECTRO PUNO</t>
  </si>
  <si>
    <t>ELECTRO ORIENTE</t>
  </si>
  <si>
    <t>ELECTRO CENTRO</t>
  </si>
  <si>
    <t>ELECTRO SUR ESTE</t>
  </si>
  <si>
    <t>TRANSMANTARO</t>
  </si>
  <si>
    <t>11:15</t>
  </si>
  <si>
    <t>T-30  T3-261  T4-261</t>
  </si>
  <si>
    <t>INDEPENDENCIA</t>
  </si>
  <si>
    <t>EMGE JUNÍN / SANTA CRUZ</t>
  </si>
  <si>
    <t>EMGE JUNÍN / SANTA CRUZ Total</t>
  </si>
  <si>
    <t>C.T. TAPARACHI</t>
  </si>
  <si>
    <t>C.H. ZAÑA (1)</t>
  </si>
  <si>
    <t>C.H. PATAPO (2)</t>
  </si>
  <si>
    <t>C.H. RUCUY (5)</t>
  </si>
  <si>
    <t>EMGE JUNÍN / SANTA CRUZ (7)</t>
  </si>
  <si>
    <t>ELECTRICA SANTA ROSA / ATRIA (8)</t>
  </si>
  <si>
    <t>octubre</t>
  </si>
  <si>
    <t xml:space="preserve">El total de la producción de energía eléctrica de la empresas generadoras integrantes del COES en el mes de octubre 2019 fue de 4 482,57  GWh, lo que representa un incremento de 127,98 GWh (2,94%) en comparación con el año 2018.		</t>
  </si>
  <si>
    <t xml:space="preserve">La producción de electricidad con centrales hidroeléctricas durante el mes de octubre 2019 fue de 2 126,11 GWh (10,37% menor al registrado durante octubre del año 2018).	</t>
  </si>
  <si>
    <t>La producción de electricidad con centrales termoeléctricas durante el mes de octubre 2019 fue de 2 117,35 GWh, 20,44% mayor al registrado durante octubre del año 2018. La participación del gas natural de Camisea fue de 43,74%, mientras que las del gas que proviene de los yacimientos de Aguaytía y Malacas fue del 2,54%, la producción con diesel, residual, carbón, biogás y bagazo tuvieron una intervención del 0,17%, 0,02%, 0,19%, 0,14%, 0,45% respectivamente.</t>
  </si>
  <si>
    <t xml:space="preserve">La producción de energía eléctrica con centrales eólicas fue de 149,62 GWh y con centrales solares fue de 74,9 GWh, los cuales tuvieron una participación de 3,61% y 1,72% respectivamente.	</t>
  </si>
  <si>
    <t xml:space="preserve">BIOENERGIA DEL CHIRA </t>
  </si>
  <si>
    <t>VOLUMEN ÚTIL
31-10-2019</t>
  </si>
  <si>
    <t>VOLUMEN ÚTIL
31-10-2018</t>
  </si>
  <si>
    <t xml:space="preserve"> </t>
  </si>
  <si>
    <t>BIOENERGIA DEL CHIRA Total</t>
  </si>
  <si>
    <t>C.T. CAÑA BRAVA</t>
  </si>
  <si>
    <t>OCTUBRE 2017</t>
  </si>
  <si>
    <t>01/10/2019</t>
  </si>
  <si>
    <t>02/10/2019</t>
  </si>
  <si>
    <t>03/10/2019</t>
  </si>
  <si>
    <t>04/10/2019</t>
  </si>
  <si>
    <t>05/10/2019</t>
  </si>
  <si>
    <t>06/10/2019</t>
  </si>
  <si>
    <t>07/10/2019</t>
  </si>
  <si>
    <t>08/10/2019</t>
  </si>
  <si>
    <t>12:30</t>
  </si>
  <si>
    <t>09/10/2019</t>
  </si>
  <si>
    <t>15:30</t>
  </si>
  <si>
    <t>10/10/2019</t>
  </si>
  <si>
    <t>15:15</t>
  </si>
  <si>
    <t>11/10/2019</t>
  </si>
  <si>
    <t>12/10/2019</t>
  </si>
  <si>
    <t>13/10/2019</t>
  </si>
  <si>
    <t>14/10/2019</t>
  </si>
  <si>
    <t>15/10/2019</t>
  </si>
  <si>
    <t>16/10/2019</t>
  </si>
  <si>
    <t>17/10/2019</t>
  </si>
  <si>
    <t>18/10/2019</t>
  </si>
  <si>
    <t>19/10/2019</t>
  </si>
  <si>
    <t>20/10/2019</t>
  </si>
  <si>
    <t>21/10/2019</t>
  </si>
  <si>
    <t>22/10/2019</t>
  </si>
  <si>
    <t>23/10/2019</t>
  </si>
  <si>
    <t>24/10/2019</t>
  </si>
  <si>
    <t>25/10/2019</t>
  </si>
  <si>
    <t>26/10/2019</t>
  </si>
  <si>
    <t>27/10/2019</t>
  </si>
  <si>
    <t>28/10/2019</t>
  </si>
  <si>
    <t>29/10/2019</t>
  </si>
  <si>
    <t>30/10/2019</t>
  </si>
  <si>
    <t>31/10/2019</t>
  </si>
  <si>
    <t>16:00</t>
  </si>
  <si>
    <t>STATKRAFT S.A</t>
  </si>
  <si>
    <t>CONENHUA</t>
  </si>
  <si>
    <t>ETESELVA</t>
  </si>
  <si>
    <t>L. LA NIÑA - BAYÓVAR - LINEA L-1137</t>
  </si>
  <si>
    <t>L. MOROCOCHA - CARLOS FRANCISCO - LINEA L-6532</t>
  </si>
  <si>
    <t>L. TRUJILLO NORTE - SANTIAGO DE CAO - LINEA L-1118</t>
  </si>
  <si>
    <t>L. ARES - TALTA - LINEA L-1047</t>
  </si>
  <si>
    <t>L. AZÁNGARO - ANTAUTA - LINEA L-6021</t>
  </si>
  <si>
    <t>L. PUNO - POMATA - ILAVE - LINEA L-6027</t>
  </si>
  <si>
    <t>L. AGUAYTÍA - TINGO MARÍA - LINEA L-2251</t>
  </si>
  <si>
    <t>L. NEPEÑA - CASMA - LINEA L-1113</t>
  </si>
  <si>
    <t>L. CARHUAMAYO - HUARÓN - LINEA L-6514</t>
  </si>
  <si>
    <t>Desconectó la línea L-1137 (La Niña – Bayóvar) de 138 kV, por falla monofásica a tierra en la fase “T” cuya causa no fue informada por TRANSMANTARO, titular de la línea. El sistema de protección ubicó la falla a una distancia de 39,5 km de la S.E. Bayóvar. Como consecuencia se interrumpió el suministro de la S.E. Bayóvar con un total de 12,73 MW. A las 04:39 h, se conectó la línea y se inició la normalización del suministro interrumpido.</t>
  </si>
  <si>
    <t>Desconectaron las líneas L-6532 y L-6533 (Nuevo Morococha - Carlos Francisco) de 50 kV, por falla. De acuerdo con lo informado por STATKRAFT, titular de las líneas, la falla se produjo por descargas atmosféricas. Como consecuencia se interrumpió el suministro de las subestaciones Casapalca, Carlos Francisco, Antuquito, San Mateo, Rosaura, Bellavista y Ticlio con un total de 25,97 MW y desconectó la C.H. Huanchor cuando generaba 17,91 MW. A las 15:38 h y 15:39 h se conectaron las líneas L-6533 y L-6532, respectivamente y se inició la normalización del suministro interrumpido. A las 16:35 h, sincronizó la C.H. Huanchor con el SEIN.</t>
  </si>
  <si>
    <t>Desconectó la línea L-1118 (Trujillo Norte – Santiago de Cao) de 138 kV, por falla monofásica a tierra en la fase “S”, cuya causa no fue informada por HIDRANDINA, titular de la línea. El sistema de protección señalizó la activación de la función de distancia (21) y ubicó la falla a 6.2 km de la S.E. Trujillo Norte. Como consecuencia se interrumpió el suministro de la S.E. Santiago de Cao con un total 4,20 MW. A las 02:55 h, se conectó la línea y se inició la normalización del suministro interrumpido.</t>
  </si>
  <si>
    <t>Desconectó la línea L-1040 (Callalli - Talta) de 138 kV, por falla bifásica a tierra entre las fases “R” y “S” a tierra a 46.03 km de la S.E. Callalli,, de acuerdo a lo informado por CONENHUA, titular de la línea, la falla fue ocasionada por descargas atmosféricas.. Asimismo, desconectó la línea L-1047 (Talta - Ares) y L-1048 (Talta - Tambomayo) de 138 kV. Como consecuencia se interrumpió el suministro de las SS.EE. Ares y Tambomayo con un total de 12,00 MW, aproximadamente. A las 17:40 h, se conectó la línea y se inició la normalización del suministro interrumpido.</t>
  </si>
  <si>
    <t xml:space="preserve">Desconectó la línea L-6021 (Azángaro - Antauta) de 60 kV, por falla. De acuerdo con lo informado por ELETROPUNO, titular de la línea, la falla se produjo por descargas atmosféricas. El sistema de protección señalizó la activación de la función de distancia (21). Como consecuencia se interrumpió el suministro de la subestación Antauta con un total de 2,40 MW. A las 19:37 h, se conectó la línea y se inició la normalización del suministro interrumpido. </t>
  </si>
  <si>
    <t>Desconectó la línea L-6027 (Puno – Pomata) de 60 kV, cuya causa no fue informada por ELECTRO PUNO, titular de la línea. El sistema de protección señalizó la activación de la función de sobre corriente de fases (50/51). Como consecuencia se interrumpió el suministro de las subestaciones Ilave y Pomata con un total de 4,90 MW. A las 19:35 h, se conectó la línea y se inició la normalización del suministro interrumpido.</t>
  </si>
  <si>
    <t>Desconexión de la línea L-2251 (Aguaytía-Tingo María) de 220 kV, por falla monofásica a tierra en la fase “R”. De acuerdo con lo informado por ETESELVA, titular de la línea, la falla se produjo por descargas atmosféricas. El sistema de protección señalizó la activación de la función de distancia (21). Como consecuencia se interrumpió el suministro de las subestaciones Aguaytía y Pucallpa con un total de 53,40 MW. A las 11:38 h, sincronizó la C.T.R.F. de Pucallpa en sistema aislado. A las 11:39 h, se energizó la barra de 60 kV de la S.E. Pucallpa y se inició la normalización del suministro interrumpido. A las 11:52 h, se conectó la línea L-2251. A las 12:00 h, se sincronizó el sistema aislado con el SEIN.</t>
  </si>
  <si>
    <t>Desconectó la línea L-1113 (Nepeña – Casma) de 138 kV, por falla monofásica a tierra en la fase “T”. De acuerdo con lo informado por HIDRANDINA, titular de la línea, la falla se produjo por actos vandálicos. El sistema de protección señalizó la activación de la función de distancia (21) y ubicó la falla a 10,2 km de la S.E. Casma. Como consecuencia se interrumpió el suministro de la S.E. Casma con un total de 4,20 MW. A las 08:20 h, se conectó la línea y se inició la normalización del suministro interrumpido.</t>
  </si>
  <si>
    <t>Desconectó la línea L-1137 (La Niña – Bayóvar) de 138 kV, por falla monofásica a tierra en la fase “S” a 39.6 km de la S.E. La Niña, cuya causa no fue informada por TRANSMANTARO, titular de la línea. El sistema de protección ubicó la falla a una distancia de 39,6 km de la S.E. La Niña. Como consecuencia se interrumpió el suministro de la S.E. Bayóvar con un total de 6,1 MW. A las 04:23 h, se conectó la línea y se inició la normalización del suministro interrumpido.</t>
  </si>
  <si>
    <t>Desconectaron las líneas L-6514 (Carhuamayo - Shelby) y L-6516 (Carhuamayo - Excelsior) de 50 kV, cuya causa no fue informada por STATKRAFT, titular de las líneas. Como consecuencia se interrumpió el suministro de la S.E. Shelby con un total de 9,26 MW. A las 05:46 h, se conectaron las líneas y se inició la normalización del suministro interrumpido.</t>
  </si>
  <si>
    <t>12,73</t>
  </si>
  <si>
    <t>25,97</t>
  </si>
  <si>
    <t>4,2</t>
  </si>
  <si>
    <t>2,4</t>
  </si>
  <si>
    <t>4,9</t>
  </si>
  <si>
    <t>53,4</t>
  </si>
  <si>
    <t>6,1</t>
  </si>
  <si>
    <t>9,26</t>
  </si>
  <si>
    <t>SEAL</t>
  </si>
  <si>
    <t>EMPRESA TRANSMISORA DE  CAJABAMBA S.A.C.</t>
  </si>
  <si>
    <t>INFRAESTRUCTURA Y ENERGIAS DEL PERU</t>
  </si>
  <si>
    <t>RED DE ENERGIA DEL PERU S.A.</t>
  </si>
  <si>
    <t>S.E. TAYABAMBA - TRAFO TP-A044</t>
  </si>
  <si>
    <t>L. ARICOTA 2 - TOMASIRI - LINEA L-6620</t>
  </si>
  <si>
    <t>L. PARAMONGA N. - 09 DE OCTUBRE - LINEA L-6655</t>
  </si>
  <si>
    <t>L. MARCONA - BELLA UNIÓN - LINEA L-6672</t>
  </si>
  <si>
    <t>S.E. PAMPA HONDA - TRAFO3D TPO-813</t>
  </si>
  <si>
    <t>L. MALPASO - JUNÍN -  CARHUAMAYO - LINEA L-6501</t>
  </si>
  <si>
    <t>C.T. RESERVA FRIA PUCALLPA - CT CENTRAL</t>
  </si>
  <si>
    <t>S.E. COMBAPATA - BARRA BARRA66KV</t>
  </si>
  <si>
    <t>L. KIMAN AYLLU - SIHUAS - LINEA L-1132</t>
  </si>
  <si>
    <t>L. PARAGSHA I - GOYLLAR - LINEA L-6524</t>
  </si>
  <si>
    <t>Desconectó el transformador TP-A044 de la S.E. Tayabamba, por falla en el equipo recloser del alimentador TYB003, de acuerdo con lo informado por HIDRANDINA, titular del transformador. Como consecuencia se interrumpió el suministro de la S.E. Tayabamba con un total de 1,51 MW. A las 13:23 h, se conectó el transformador y se inició la normalización del suministro interrumpido.</t>
  </si>
  <si>
    <t>Desconectaron las líneas L-6620 (Aricota 2 - Tomasiri) y L-6637 (Los Héroes - Tomasiri) de 66 kV, cuya causa no fue informada por EGESUR, titular de las líneas. Como consecuencia se interrumpió el suministro de la S.E. Tomasiri con un total de 1,20 MW. A las 19:06 h, se conectó la línea L-6637 y se inició la normalización del suministro interrumpido. La línea L-6620 quedó fuera de servicio para su inspección.</t>
  </si>
  <si>
    <t>Se produjo la desconexión de la línea L-6655 (Paramonga Nueva - 9 de Octubre) de 66 KV por problemas en la estructura de madera según lo informado por Hidrandina, titular de la línea, la protección de la línea señalizó falla entre fases "S" y "T" a tierra. Como consecuencia se interrumpieron los suministros de 4.65 MW en las SS.EE. Huarmey y Puerto Antamina. La línea se conectó a las 16:01, normalizando los suministros interrumpidos.</t>
  </si>
  <si>
    <t>Desconexión de la línea L-6672 (Marcona-Bella Unión) de 60 kV por falla "S"y "T" a tierra cuya causa no fue informada por SEAL, propietario de la línea. A las 02:58 h, en servicio la línea.</t>
  </si>
  <si>
    <t>Desconexión del transformador TPO-813 de la S.E. Pampa Honda por falla cuya causas no fue informada. Se restringió 3.65 MW. El transformador quedó fuera de servicio para su inspección.</t>
  </si>
  <si>
    <t>Desconectó la línea L-6501B (Carhuamayo - Junín) de 50 kV por falla debido a robo de conductor, según lo informado por Statkraft, titular de la línea. Como consecuencia se interrumpió el suministro de la S.E. Junín en 0.47 MW. A las 18:07 h, la línea se puso en servicio y se procedió a recuperar el suministro interrumpido.</t>
  </si>
  <si>
    <t>Se produjo la reducción de generación de la C.T.R.F. Pucallpa de 33.67 MW hasta 29.53 MW, cuando operaba en sistema aislado con carga de las subestaciones Pucallpa y Aguaytía (la línea L-2251 se encontraba desconectada por mantenimiento programado) por actuación simultánea del esquema de rechazo automático de carga por relés de mínima frecuencia, interrumpiendo una carga de 3.52 MW, cuyas causas se encuentran en investigación por parte de Electro Ucayali y C.T.R.F. Pucallpa. A las 15:58 h, CC-EUC inició la recuperación de su carga interrumpida. La C.T.R.F. Pucallpa informó que se mantuvieron operando 22 grupos de generación antes y después del evento.</t>
  </si>
  <si>
    <t>Desconectó la barra de 66 kV de la S.E. Combapata por apertura del interruptor IN-6200, debido a sobrecarga del transformador T46-162 según lo informado por REP, titular del equipo. De acuerdo a lo informado por Electro Sur Este, la desconexión se produjo durante maniobras de toma de carga de la S.E. Sicuani, estando las minicentrales de Langui y Hercca fuera de servicio . Como consecuencia se interrumpió la carga de la S.E. Sicuani en 7 MW aproximadamente. A las 18:09 h, se conectó la barra de 66 kV. A las 18:13 h, se conectó la línea L-0630. A las 18:11 h, se conectó la línea L-6601.</t>
  </si>
  <si>
    <t>Se produjo la desconexión de la línea L-1132/L-1133 (Kiman Ayllu - Sihuas - Tayabamba) de 138 KV por falla debido a descargas atmosféricas en la zona de Sihuas, según lo informado por Hidrandina, titular de la línea. Como consecuencia se interrumpieron los suministros de las SS.EE. Sihuas, Tayabamba y Llacuabamba con un total de 15.58 MW. A las 20:20 h, se conectó la línea con lo cual se inició el restablecimiento del suministro interrumpido.</t>
  </si>
  <si>
    <t>Desconectó la línea L-6524B (Pasco - Goyllarisquizga) de 50 kV por falla debido a descargas atmosféricas, según lo informado por Statkraft, titular de la línea. Como consecuencia se interrumpió el suministro de las SS.EE. Huicra, Antagasha y Goyllarisquizga con un total de 1.15 MW. A las 17:28 h, se conectó automáticamente la línea (recierre) y se restableció el suministro interrumpido.</t>
  </si>
  <si>
    <t>1,51</t>
  </si>
  <si>
    <t>1,2</t>
  </si>
  <si>
    <t>4,25</t>
  </si>
  <si>
    <t>6,22</t>
  </si>
  <si>
    <t>3,6</t>
  </si>
  <si>
    <t>0,47</t>
  </si>
  <si>
    <t>3,52</t>
  </si>
  <si>
    <t>15,58</t>
  </si>
  <si>
    <t>1,15</t>
  </si>
  <si>
    <t>S.E. MAZUCO                                             - REACTOR R-10MVAr</t>
  </si>
  <si>
    <t>L. SAN GABÁN II - MAZUCO - LINEA L-1014</t>
  </si>
  <si>
    <t>S.E. ICA - BARRA BARRA-A 10</t>
  </si>
  <si>
    <t>L. CASAPALCA NORTE - SAN MATEO - LINEA L-6535</t>
  </si>
  <si>
    <t>L. COBRIZA I - PAMPAS - LINEA L-6066</t>
  </si>
  <si>
    <t>L. TARAPOTO - MOYOBAMBA - LINEA L-1018</t>
  </si>
  <si>
    <t>Desconectó la línea L-6524B (Pasco - Goyllarisquizga) de 50 kV por falla debido a descargas atmosféricas, según lo informado por Statkraft, titular de la línea. Como consecuencia se interrumpió el suministro de las SS.EE. Huicra, Antagasha y Goyllarisquizga con un total de 1.15 MW. A las 17:34h, se conectó automáticamente la línea (recierre) y se restableció el suministro interrumpido.</t>
  </si>
  <si>
    <t>Desconectó la línea L-6655 (Paramonga - 09 de Octubre) de 66 kV por falla monofásica en la fase "T" cuya causa no fue informada por  Hidrandina, titular de la línea. Como consecuencia se interrumpió el suministro de las SE.EE Huarmey y Puerto Antamina con un total de 3,47 MW. A las 12:29 h, se conectó la línea y se procedió a normalizar los suministros interrumpidos.</t>
  </si>
  <si>
    <t xml:space="preserve">Desconectó el reactor de 10 MVAR de la S.E. Mazuco por falla cuya causa no fue informada por Electrosureste, titular del equipo. A las 17:21 h, Electrosureste informó que el transformador 138/22.9/10 kV de la S.E. Puerto Maldonado se encontraba fuera de servicio por sobretensión. Como consecuencia se interumpió el suministro de la S.E. Puerto Maldonado. A las 17:22 h, se coordinó el arranque de la C.T. R.F. Puerto Maldonado para operar en sistema aislado. A las 17:43 h, la C.T.R.F Puerto Maldonado entró en servicio en sistema aislado. El reactor de la S.E. Mazuco quedó indisponible para su inspección. A las 17:33 h, la línea L-1015 se desenergizó por regulación de tensión en la S.E. Mazuco. </t>
  </si>
  <si>
    <t>Desconectó la línea L-1014 (San Gaban - Mazuko) de 138 kV por falla ocasionado por descargas atmosféricas a 65.06 km de la S.E. San Gaban de acuerdo a lo informado por Electrosureste, titular de la línea. Como consecuencia desconectó la línea L-1015 (Mazuko - Puerto Maldonado), el grupo G1 de la C.H. San Gabán con 55 MW y las CC.HH. Angel II y III con 6 MW, así mismo se interrumpieron los suministros de las subestaciones Mazuko y Puerto Maldonado aproximadamente con 18.86 MW. A las 21:31 h entró en servicio la línea L-1014 y se procedió a recuperar la carga en Mazuko. A las 21:33 h, entró en servicio la línea L-1015 y se procedió a recuperar la carga en Puerto Maldonado. A las 21:41 h entró en servicio el grupo G1 de la C.H. San Gabán. A las 21:34 h entró en servicio la C.H. El Angel.</t>
  </si>
  <si>
    <t>Desconectó la barra de 10 kV de la S.E. Ica por falla, debido a la explosión del transformador de tensión  TV-116 de la fase "R". En consecuencia se interrumpió toda la carga de 10 kV de Ica (aprox. 7.5 MW). De acuerdo a lo informado por el Electrodunas, se inicio el restablecimiento parcial anillando las radiales de 10 kV.A las 08:15 h se energizó la barra 10 kV y se restableció los suministros interrumpidos.</t>
  </si>
  <si>
    <t>Desconectó la línea L-6535 A/B/C/D (Carlos Francisco - Antuquito - Bellavista - San Mateo ) de 50 kV por probable descarga atmosférica. Como consecuencia se interrumpió 9.9 MW en total, asi mismo, la CH Huanchor desconectó con 16.5 MW. A las 15:41 h entró en servicio la línea L-6535 h y se procedio a recuperar la carga interrumpida.</t>
  </si>
  <si>
    <t>Desconectó la línea L-6066 (Cobriza - Pampas) de 69 kV, por falla, como consecuencia se interrumpio la carga de Pampas con 0.93 MW. A las 13:41 h entró en servicio la línea y se recuperó la carga interumpida.</t>
  </si>
  <si>
    <t>Desconectó la línea L-1018 (Tarapoto - Moyobamba) de 138 kV en el extremo de la S.E. Belaunde, por apertura del interruptor IN-1018 debido a falla en el SCADA. Como consecuencia se interrumpio 8.9 MW en la S.E. Yurimaguas y S.E. Pongo de Caynarachi. A las 19:46 h entró en servicio la línea L-1018 y se procedió a recuperar la carga interrumpida.</t>
  </si>
  <si>
    <t>7,5</t>
  </si>
  <si>
    <t>9,9</t>
  </si>
  <si>
    <t>0,93</t>
  </si>
  <si>
    <t>8,9</t>
  </si>
  <si>
    <t>L-2205  L-2206</t>
  </si>
  <si>
    <t>L-5031</t>
  </si>
  <si>
    <t>COLCABAMBA - POROMA</t>
  </si>
  <si>
    <t>CENTRAL TÉRMOELÉCTRICA</t>
  </si>
  <si>
    <t>REACTOR</t>
  </si>
  <si>
    <t>1.1. Producción de energía eléctrica en octubre 2019 en comparación al mismo mes del año anterior</t>
  </si>
  <si>
    <t>BIOENERGÍA DEL CHIRA S.A.</t>
  </si>
  <si>
    <t>C.T. Caña Brava</t>
  </si>
  <si>
    <t>TV1, TV2</t>
  </si>
  <si>
    <t>02.10.2019</t>
  </si>
  <si>
    <t>EMGE JUNÍN / SANTA CRUZ [1]</t>
  </si>
  <si>
    <t>ELECTRICA SANTA ROSA / ATRIA [2]</t>
  </si>
  <si>
    <t>[3] Inicio  de  operación comercial de la C.T. Caña Brava propiedad de BIOENERGÍA DEL CHIRA S.A. a las 00:00 horas del 02.10.2019.</t>
  </si>
  <si>
    <t>EMGE JUNÍN / SANTA CRUZ  [1]</t>
  </si>
  <si>
    <t>BIOENERGIA DEL CHIRA [3]</t>
  </si>
  <si>
    <t>BIOENERGIA DEL CHIRA [9]</t>
  </si>
  <si>
    <t>ELECTRO ZAÑA [1]</t>
  </si>
  <si>
    <t>HYDRO PATAPO [2]</t>
  </si>
  <si>
    <t>C.H. CALLAHUANCA [3]</t>
  </si>
  <si>
    <t>SAN JACINTO [4]</t>
  </si>
  <si>
    <t>RIO BAÑOS [5]</t>
  </si>
  <si>
    <t>C.H. CHANCAY [6]</t>
  </si>
  <si>
    <t xml:space="preserve">C.T. SAN JACINTO </t>
  </si>
  <si>
    <t>[9] Inicio  de  operación comercial de la C.T. Caña Brava propiedad de BIOENERGÍA DEL CHIRA S.A. a las 00:00 horas del 02.10.2019.</t>
  </si>
  <si>
    <t xml:space="preserve">C.H. ZAÑA </t>
  </si>
  <si>
    <t xml:space="preserve">C.H. PATAPO </t>
  </si>
  <si>
    <t>C.T. SAN JACINTO</t>
  </si>
  <si>
    <t xml:space="preserve">C.H. RUCUY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</si>
</sst>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5">
    <numFmt numFmtId="43" formatCode="_-* #,##0.00_-;\-* #,##0.00_-;_-* &quot;-&quot;??_-;_-@_-"/>
    <numFmt numFmtId="164" formatCode="_-&quot;S/.&quot;* #,##0.00_-;\-&quot;S/.&quot;* #,##0.00_-;_-&quot;S/.&quot;* &quot;-&quot;??_-;_-@_-"/>
    <numFmt numFmtId="165" formatCode="0.0;\-0.0;\-"/>
    <numFmt numFmtId="166" formatCode="0.0"/>
    <numFmt numFmtId="167" formatCode="0.0%"/>
    <numFmt numFmtId="168" formatCode="###\ ###\ ##0.0"/>
    <numFmt numFmtId="169" formatCode="[$-409]mmmmm/yy;@"/>
    <numFmt numFmtId="170" formatCode="#,##0.0"/>
    <numFmt numFmtId="171" formatCode="_ [$€]* #,##0.00_ ;_ [$€]* \-#,##0.00_ ;_ [$€]* &quot;-&quot;??_ ;_ @_ "/>
    <numFmt numFmtId="172" formatCode="#,##0_ ;\-#,##0\ "/>
    <numFmt numFmtId="173" formatCode="[$-F400]h:mm:ss\ AM/PM"/>
    <numFmt numFmtId="174" formatCode="#,##0.000"/>
    <numFmt numFmtId="175" formatCode="0.000"/>
    <numFmt numFmtId="176" formatCode="0.000%"/>
    <numFmt numFmtId="177" formatCode="_-* #,##0.000_-;\-* #,##0.000_-;_-* &quot;-&quot;??_-;_-@_-"/>
  </numFmts>
  <fonts count="89">
    <font>
      <sz val="8"/>
      <color theme="1"/>
      <name val="Arial"/>
      <family val="2"/>
    </font>
    <font>
      <sz val="8"/>
      <color theme="1"/>
      <name val="Arial"/>
      <family val="2"/>
    </font>
    <font>
      <b/>
      <sz val="8"/>
      <color theme="0"/>
      <name val="Arial"/>
      <family val="2"/>
    </font>
    <font>
      <b/>
      <sz val="8"/>
      <color theme="1"/>
      <name val="Arial"/>
      <family val="2"/>
    </font>
    <font>
      <b/>
      <sz val="10"/>
      <name val="Arial"/>
      <family val="2"/>
    </font>
    <font>
      <sz val="10"/>
      <name val="Arial"/>
      <family val="2"/>
    </font>
    <font>
      <b/>
      <sz val="9"/>
      <name val="Arial"/>
      <family val="2"/>
    </font>
    <font>
      <sz val="9"/>
      <name val="Arial"/>
      <family val="2"/>
    </font>
    <font>
      <sz val="9"/>
      <color theme="1"/>
      <name val="Arial"/>
      <family val="2"/>
    </font>
    <font>
      <sz val="10"/>
      <color theme="1"/>
      <name val="Arial"/>
      <family val="2"/>
    </font>
    <font>
      <i/>
      <sz val="10"/>
      <name val="Arial"/>
      <family val="2"/>
    </font>
    <font>
      <b/>
      <sz val="11"/>
      <name val="Arial"/>
      <family val="2"/>
    </font>
    <font>
      <b/>
      <sz val="12"/>
      <name val="Arial"/>
      <family val="2"/>
    </font>
    <font>
      <sz val="8"/>
      <name val="Arial"/>
      <family val="2"/>
    </font>
    <font>
      <sz val="8"/>
      <color rgb="FF00B0F0"/>
      <name val="Arial"/>
      <family val="2"/>
    </font>
    <font>
      <b/>
      <sz val="10"/>
      <color theme="1"/>
      <name val="Arial"/>
      <family val="2"/>
    </font>
    <font>
      <i/>
      <sz val="10"/>
      <color theme="1"/>
      <name val="Arial"/>
      <family val="2"/>
    </font>
    <font>
      <b/>
      <sz val="12"/>
      <color theme="1"/>
      <name val="Arial"/>
      <family val="2"/>
    </font>
    <font>
      <b/>
      <sz val="14"/>
      <color theme="1"/>
      <name val="Arial"/>
      <family val="2"/>
    </font>
    <font>
      <sz val="10"/>
      <color theme="0"/>
      <name val="Arial"/>
      <family val="2"/>
    </font>
    <font>
      <b/>
      <sz val="10"/>
      <color theme="0"/>
      <name val="Arial"/>
      <family val="2"/>
    </font>
    <font>
      <b/>
      <sz val="8"/>
      <name val="Arial"/>
      <family val="2"/>
    </font>
    <font>
      <b/>
      <i/>
      <sz val="8"/>
      <name val="Arial"/>
      <family val="2"/>
    </font>
    <font>
      <i/>
      <sz val="8"/>
      <name val="Arial"/>
      <family val="2"/>
    </font>
    <font>
      <i/>
      <sz val="9"/>
      <name val="Arial"/>
      <family val="2"/>
    </font>
    <font>
      <b/>
      <sz val="16"/>
      <color theme="1"/>
      <name val="Arial"/>
      <family val="2"/>
    </font>
    <font>
      <sz val="11"/>
      <name val="Arial"/>
      <family val="2"/>
    </font>
    <font>
      <sz val="7"/>
      <name val="Arial"/>
      <family val="2"/>
    </font>
    <font>
      <b/>
      <vertAlign val="superscript"/>
      <sz val="8"/>
      <color theme="0"/>
      <name val="Arial"/>
      <family val="2"/>
    </font>
    <font>
      <i/>
      <sz val="8"/>
      <color indexed="12"/>
      <name val="Arial"/>
      <family val="2"/>
    </font>
    <font>
      <sz val="7"/>
      <color theme="1"/>
      <name val="Arial"/>
      <family val="2"/>
    </font>
    <font>
      <sz val="6"/>
      <color theme="1"/>
      <name val="Arial"/>
      <family val="2"/>
    </font>
    <font>
      <b/>
      <sz val="7"/>
      <color theme="0"/>
      <name val="Arial"/>
      <family val="2"/>
    </font>
    <font>
      <b/>
      <sz val="7"/>
      <name val="Arial"/>
      <family val="2"/>
    </font>
    <font>
      <i/>
      <sz val="8"/>
      <color theme="1"/>
      <name val="Arial"/>
      <family val="2"/>
    </font>
    <font>
      <sz val="8"/>
      <color theme="1"/>
      <name val="Arial Narrow"/>
      <family val="2"/>
    </font>
    <font>
      <b/>
      <sz val="6"/>
      <color theme="0"/>
      <name val="Arial"/>
      <family val="2"/>
    </font>
    <font>
      <i/>
      <sz val="7"/>
      <name val="Arial"/>
      <family val="2"/>
    </font>
    <font>
      <b/>
      <sz val="7"/>
      <color theme="4"/>
      <name val="Arial"/>
      <family val="2"/>
    </font>
    <font>
      <sz val="11"/>
      <name val="Calibri"/>
      <family val="2"/>
    </font>
    <font>
      <b/>
      <sz val="7"/>
      <color theme="1"/>
      <name val="Arial"/>
      <family val="2"/>
    </font>
    <font>
      <b/>
      <sz val="7"/>
      <color rgb="FFFFFFFF"/>
      <name val="Arial"/>
      <family val="2"/>
    </font>
    <font>
      <sz val="10"/>
      <name val="Calibri "/>
    </font>
    <font>
      <b/>
      <sz val="10"/>
      <color theme="0" tint="-0.34998626667073579"/>
      <name val="Arial"/>
      <family val="2"/>
    </font>
    <font>
      <sz val="8"/>
      <color theme="0" tint="-0.34998626667073579"/>
      <name val="Arial"/>
      <family val="2"/>
    </font>
    <font>
      <sz val="10"/>
      <color theme="0" tint="-0.34998626667073579"/>
      <name val="Arial"/>
      <family val="2"/>
    </font>
    <font>
      <i/>
      <sz val="8"/>
      <color theme="0" tint="-0.34998626667073579"/>
      <name val="Arial"/>
      <family val="2"/>
    </font>
    <font>
      <sz val="8"/>
      <color theme="4" tint="-0.249977111117893"/>
      <name val="Arial"/>
      <family val="2"/>
    </font>
    <font>
      <b/>
      <sz val="11"/>
      <color theme="3"/>
      <name val="Arial"/>
      <family val="2"/>
    </font>
    <font>
      <b/>
      <sz val="10"/>
      <color theme="3"/>
      <name val="Arial"/>
      <family val="2"/>
    </font>
    <font>
      <sz val="8"/>
      <color theme="3"/>
      <name val="Arial"/>
      <family val="2"/>
    </font>
    <font>
      <sz val="10"/>
      <color theme="3"/>
      <name val="Arial"/>
      <family val="2"/>
    </font>
    <font>
      <sz val="6"/>
      <color theme="3"/>
      <name val="Calibri"/>
      <family val="2"/>
      <scheme val="minor"/>
    </font>
    <font>
      <sz val="9"/>
      <color theme="3"/>
      <name val="Arial"/>
      <family val="2"/>
    </font>
    <font>
      <b/>
      <sz val="10"/>
      <color theme="3"/>
      <name val="Tahoma"/>
      <family val="2"/>
    </font>
    <font>
      <b/>
      <sz val="8.5"/>
      <color theme="3"/>
      <name val="Tahoma"/>
      <family val="2"/>
    </font>
    <font>
      <sz val="8.5"/>
      <color theme="3"/>
      <name val="Tahoma"/>
      <family val="2"/>
    </font>
    <font>
      <sz val="8"/>
      <color theme="3"/>
      <name val="Helvetica"/>
      <family val="2"/>
    </font>
    <font>
      <b/>
      <sz val="11"/>
      <color theme="1"/>
      <name val="Arial"/>
      <family val="2"/>
    </font>
    <font>
      <sz val="6"/>
      <color theme="8" tint="-0.499984740745262"/>
      <name val="Calibri"/>
      <family val="2"/>
      <scheme val="minor"/>
    </font>
    <font>
      <sz val="5.5"/>
      <color theme="1"/>
      <name val="Arial"/>
      <family val="2"/>
    </font>
    <font>
      <b/>
      <sz val="6"/>
      <name val="Arial"/>
      <family val="2"/>
    </font>
    <font>
      <sz val="6"/>
      <name val="Arial"/>
      <family val="2"/>
    </font>
    <font>
      <sz val="8"/>
      <color rgb="FFA3A3A3"/>
      <name val="Arial"/>
      <family val="2"/>
    </font>
    <font>
      <sz val="5"/>
      <color theme="1"/>
      <name val="Arial"/>
      <family val="2"/>
    </font>
    <font>
      <sz val="8"/>
      <color theme="1" tint="0.249977111117893"/>
      <name val="Arial"/>
      <family val="2"/>
    </font>
    <font>
      <b/>
      <sz val="10"/>
      <color theme="1" tint="0.249977111117893"/>
      <name val="Tahoma"/>
      <family val="2"/>
    </font>
    <font>
      <b/>
      <sz val="8.5"/>
      <color theme="1" tint="0.249977111117893"/>
      <name val="Tahoma"/>
      <family val="2"/>
    </font>
    <font>
      <sz val="8.5"/>
      <color theme="1" tint="0.249977111117893"/>
      <name val="Tahoma"/>
      <family val="2"/>
    </font>
    <font>
      <sz val="8"/>
      <color theme="1" tint="0.249977111117893"/>
      <name val="Helvetica"/>
      <family val="2"/>
    </font>
    <font>
      <sz val="8"/>
      <color theme="1" tint="0.249977111117893"/>
      <name val="Arial Narrow"/>
      <family val="2"/>
    </font>
    <font>
      <b/>
      <sz val="6"/>
      <color theme="1"/>
      <name val="Arial"/>
      <family val="2"/>
    </font>
    <font>
      <sz val="6"/>
      <color theme="0"/>
      <name val="Arial"/>
      <family val="2"/>
    </font>
    <font>
      <sz val="5"/>
      <color theme="1" tint="0.249977111117893"/>
      <name val="Arial"/>
      <family val="2"/>
    </font>
    <font>
      <b/>
      <sz val="12"/>
      <color rgb="FF1F2532"/>
      <name val="Calibri"/>
      <family val="2"/>
    </font>
    <font>
      <b/>
      <sz val="5"/>
      <name val="Arial"/>
      <family val="2"/>
    </font>
    <font>
      <sz val="5"/>
      <name val="Arial"/>
      <family val="2"/>
    </font>
    <font>
      <b/>
      <sz val="10.5"/>
      <name val="Arial"/>
      <family val="2"/>
    </font>
    <font>
      <sz val="8"/>
      <color rgb="FFFF0000"/>
      <name val="Arial"/>
      <family val="2"/>
    </font>
    <font>
      <b/>
      <sz val="11"/>
      <color rgb="FFFF0000"/>
      <name val="Arial"/>
      <family val="2"/>
    </font>
    <font>
      <sz val="5"/>
      <color theme="0" tint="-0.34998626667073579"/>
      <name val="Arial"/>
      <family val="2"/>
    </font>
    <font>
      <b/>
      <sz val="5"/>
      <color theme="0" tint="-0.34998626667073579"/>
      <name val="Arial"/>
      <family val="2"/>
    </font>
    <font>
      <sz val="8"/>
      <color theme="0"/>
      <name val="Arial"/>
      <family val="2"/>
    </font>
    <font>
      <b/>
      <sz val="5.5"/>
      <name val="Arial"/>
      <family val="2"/>
    </font>
    <font>
      <b/>
      <sz val="8"/>
      <color theme="1" tint="0.249977111117893"/>
      <name val="Arial"/>
      <family val="2"/>
    </font>
    <font>
      <sz val="5"/>
      <color rgb="FFFF0000"/>
      <name val="Arial"/>
      <family val="2"/>
    </font>
    <font>
      <sz val="8"/>
      <name val="Calibri"/>
      <family val="2"/>
    </font>
    <font>
      <b/>
      <sz val="5"/>
      <color theme="1"/>
      <name val="Arial"/>
      <family val="2"/>
    </font>
    <font>
      <sz val="5"/>
      <color rgb="FF002060"/>
      <name val="Arial"/>
      <family val="2"/>
    </font>
  </fonts>
  <fills count="12">
    <fill>
      <patternFill patternType="none"/>
    </fill>
    <fill>
      <patternFill patternType="gray125"/>
    </fill>
    <fill>
      <patternFill patternType="solid">
        <fgColor theme="0"/>
        <bgColor indexed="64"/>
      </patternFill>
    </fill>
    <fill>
      <patternFill patternType="solid">
        <fgColor theme="4"/>
        <bgColor indexed="64"/>
      </patternFill>
    </fill>
    <fill>
      <patternFill patternType="solid">
        <fgColor theme="8" tint="0.79998168889431442"/>
        <bgColor indexed="64"/>
      </patternFill>
    </fill>
    <fill>
      <patternFill patternType="solid">
        <fgColor theme="4" tint="0.79998168889431442"/>
        <bgColor indexed="64"/>
      </patternFill>
    </fill>
    <fill>
      <patternFill patternType="solid">
        <fgColor indexed="13"/>
        <bgColor indexed="64"/>
      </patternFill>
    </fill>
    <fill>
      <patternFill patternType="solid">
        <fgColor rgb="FFFFFF00"/>
        <bgColor indexed="64"/>
      </patternFill>
    </fill>
    <fill>
      <patternFill patternType="solid">
        <fgColor rgb="FF0077A5"/>
        <bgColor indexed="64"/>
      </patternFill>
    </fill>
    <fill>
      <patternFill patternType="solid">
        <fgColor rgb="FF0077A5"/>
        <bgColor theme="4" tint="-0.249977111117893"/>
      </patternFill>
    </fill>
    <fill>
      <patternFill patternType="solid">
        <fgColor rgb="FF0077A5"/>
        <bgColor theme="4"/>
      </patternFill>
    </fill>
    <fill>
      <patternFill patternType="solid">
        <fgColor rgb="FFC4E8FF"/>
      </patternFill>
    </fill>
  </fills>
  <borders count="160">
    <border>
      <left/>
      <right/>
      <top/>
      <bottom/>
      <diagonal/>
    </border>
    <border>
      <left/>
      <right/>
      <top/>
      <bottom style="dashed">
        <color auto="1"/>
      </bottom>
      <diagonal/>
    </border>
    <border>
      <left/>
      <right/>
      <top style="thin">
        <color theme="3" tint="0.39994506668294322"/>
      </top>
      <bottom/>
      <diagonal/>
    </border>
    <border>
      <left style="thin">
        <color theme="3" tint="0.39994506668294322"/>
      </left>
      <right/>
      <top/>
      <bottom/>
      <diagonal/>
    </border>
    <border>
      <left/>
      <right style="thin">
        <color theme="3" tint="0.39994506668294322"/>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top style="thin">
        <color theme="0" tint="-0.34998626667073579"/>
      </top>
      <bottom/>
      <diagonal/>
    </border>
    <border>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top/>
      <bottom style="thin">
        <color theme="0" tint="-0.34998626667073579"/>
      </bottom>
      <diagonal/>
    </border>
    <border>
      <left/>
      <right/>
      <top/>
      <bottom style="thin">
        <color theme="0" tint="-0.34998626667073579"/>
      </bottom>
      <diagonal/>
    </border>
    <border>
      <left/>
      <right style="thin">
        <color theme="0" tint="-0.34998626667073579"/>
      </right>
      <top/>
      <bottom style="thin">
        <color theme="0" tint="-0.34998626667073579"/>
      </bottom>
      <diagonal/>
    </border>
    <border>
      <left style="thin">
        <color theme="3" tint="0.39994506668294322"/>
      </left>
      <right style="thin">
        <color theme="0" tint="-0.14996795556505021"/>
      </right>
      <top style="thin">
        <color theme="3" tint="0.39994506668294322"/>
      </top>
      <bottom style="thin">
        <color theme="0" tint="-0.14996795556505021"/>
      </bottom>
      <diagonal/>
    </border>
    <border>
      <left style="thin">
        <color theme="0" tint="-0.14996795556505021"/>
      </left>
      <right style="thin">
        <color theme="0" tint="-0.14996795556505021"/>
      </right>
      <top/>
      <bottom style="thin">
        <color theme="0" tint="-0.14996795556505021"/>
      </bottom>
      <diagonal/>
    </border>
    <border>
      <left style="thin">
        <color theme="0" tint="-0.14996795556505021"/>
      </left>
      <right style="thin">
        <color theme="3" tint="0.39994506668294322"/>
      </right>
      <top/>
      <bottom style="thin">
        <color theme="0" tint="-0.14996795556505021"/>
      </bottom>
      <diagonal/>
    </border>
    <border>
      <left style="thin">
        <color theme="3" tint="0.39994506668294322"/>
      </left>
      <right style="thin">
        <color theme="0" tint="-0.14996795556505021"/>
      </right>
      <top style="thin">
        <color theme="0" tint="-0.14996795556505021"/>
      </top>
      <bottom style="thin">
        <color theme="0" tint="-0.34998626667073579"/>
      </bottom>
      <diagonal/>
    </border>
    <border>
      <left style="thin">
        <color theme="0" tint="-0.14996795556505021"/>
      </left>
      <right style="thin">
        <color theme="0" tint="-0.14996795556505021"/>
      </right>
      <top style="thin">
        <color theme="0" tint="-0.14996795556505021"/>
      </top>
      <bottom style="thin">
        <color theme="0" tint="-0.34998626667073579"/>
      </bottom>
      <diagonal/>
    </border>
    <border>
      <left style="thin">
        <color theme="0" tint="-0.14996795556505021"/>
      </left>
      <right style="thin">
        <color theme="3" tint="0.39994506668294322"/>
      </right>
      <top style="thin">
        <color theme="0" tint="-0.14996795556505021"/>
      </top>
      <bottom style="thin">
        <color theme="0" tint="-0.34998626667073579"/>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diagonal/>
    </border>
    <border>
      <left style="thin">
        <color theme="0" tint="-0.24994659260841701"/>
      </left>
      <right style="thin">
        <color theme="0" tint="-0.24994659260841701"/>
      </right>
      <top/>
      <bottom/>
      <diagonal/>
    </border>
    <border>
      <left style="thin">
        <color theme="0" tint="-0.24994659260841701"/>
      </left>
      <right style="thin">
        <color theme="0" tint="-0.24994659260841701"/>
      </right>
      <top/>
      <bottom style="thin">
        <color theme="0" tint="-0.24994659260841701"/>
      </bottom>
      <diagonal/>
    </border>
    <border>
      <left style="thin">
        <color theme="0" tint="-0.24994659260841701"/>
      </left>
      <right/>
      <top style="thin">
        <color theme="0" tint="-0.24994659260841701"/>
      </top>
      <bottom/>
      <diagonal/>
    </border>
    <border>
      <left/>
      <right/>
      <top style="thin">
        <color theme="0" tint="-0.24994659260841701"/>
      </top>
      <bottom/>
      <diagonal/>
    </border>
    <border>
      <left/>
      <right style="thin">
        <color theme="0" tint="-0.24994659260841701"/>
      </right>
      <top style="thin">
        <color theme="0" tint="-0.24994659260841701"/>
      </top>
      <bottom/>
      <diagonal/>
    </border>
    <border>
      <left style="thin">
        <color theme="0" tint="-0.24994659260841701"/>
      </left>
      <right/>
      <top/>
      <bottom/>
      <diagonal/>
    </border>
    <border>
      <left/>
      <right style="thin">
        <color theme="0" tint="-0.24994659260841701"/>
      </right>
      <top/>
      <bottom/>
      <diagonal/>
    </border>
    <border>
      <left style="thin">
        <color theme="0" tint="-0.24994659260841701"/>
      </left>
      <right/>
      <top/>
      <bottom style="thin">
        <color theme="0" tint="-0.24994659260841701"/>
      </bottom>
      <diagonal/>
    </border>
    <border>
      <left/>
      <right/>
      <top/>
      <bottom style="thin">
        <color theme="0" tint="-0.24994659260841701"/>
      </bottom>
      <diagonal/>
    </border>
    <border>
      <left/>
      <right style="thin">
        <color theme="0" tint="-0.24994659260841701"/>
      </right>
      <top/>
      <bottom style="thin">
        <color theme="0" tint="-0.24994659260841701"/>
      </bottom>
      <diagonal/>
    </border>
    <border>
      <left style="thin">
        <color theme="0" tint="-0.34998626667073579"/>
      </left>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n">
        <color theme="0" tint="-0.2499465926084170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style="thin">
        <color theme="3" tint="0.39994506668294322"/>
      </left>
      <right/>
      <top/>
      <bottom style="thin">
        <color theme="3" tint="0.39994506668294322"/>
      </bottom>
      <diagonal/>
    </border>
    <border>
      <left/>
      <right/>
      <top/>
      <bottom style="thin">
        <color theme="3" tint="0.39994506668294322"/>
      </bottom>
      <diagonal/>
    </border>
    <border>
      <left/>
      <right style="thin">
        <color theme="3" tint="0.39994506668294322"/>
      </right>
      <top/>
      <bottom style="thin">
        <color theme="3" tint="0.39994506668294322"/>
      </bottom>
      <diagonal/>
    </border>
    <border>
      <left style="thin">
        <color theme="0"/>
      </left>
      <right style="thin">
        <color theme="0"/>
      </right>
      <top style="thin">
        <color theme="0"/>
      </top>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style="thin">
        <color theme="4" tint="0.79995117038483843"/>
      </left>
      <right style="thin">
        <color theme="4" tint="0.79995117038483843"/>
      </right>
      <top/>
      <bottom/>
      <diagonal/>
    </border>
    <border>
      <left style="thin">
        <color theme="4" tint="0.79995117038483843"/>
      </left>
      <right/>
      <top/>
      <bottom/>
      <diagonal/>
    </border>
    <border>
      <left/>
      <right/>
      <top/>
      <bottom style="thin">
        <color theme="4" tint="0.79998168889431442"/>
      </bottom>
      <diagonal/>
    </border>
    <border>
      <left/>
      <right/>
      <top style="thin">
        <color theme="4" tint="0.79998168889431442"/>
      </top>
      <bottom style="thin">
        <color theme="4" tint="0.79998168889431442"/>
      </bottom>
      <diagonal/>
    </border>
    <border>
      <left style="thin">
        <color theme="4" tint="0.79995117038483843"/>
      </left>
      <right style="thin">
        <color theme="4" tint="0.79995117038483843"/>
      </right>
      <top/>
      <bottom style="thin">
        <color theme="4" tint="0.79998168889431442"/>
      </bottom>
      <diagonal/>
    </border>
    <border>
      <left style="thin">
        <color theme="4" tint="0.79995117038483843"/>
      </left>
      <right/>
      <top/>
      <bottom style="thin">
        <color theme="4" tint="0.79998168889431442"/>
      </bottom>
      <diagonal/>
    </border>
    <border>
      <left/>
      <right/>
      <top style="thin">
        <color theme="4" tint="0.79998168889431442"/>
      </top>
      <bottom/>
      <diagonal/>
    </border>
    <border>
      <left style="thin">
        <color theme="3" tint="0.39994506668294322"/>
      </left>
      <right style="thin">
        <color theme="3" tint="0.39994506668294322"/>
      </right>
      <top style="thin">
        <color theme="3" tint="0.39994506668294322"/>
      </top>
      <bottom style="thin">
        <color theme="3" tint="0.39994506668294322"/>
      </bottom>
      <diagonal/>
    </border>
    <border>
      <left style="thin">
        <color theme="3" tint="0.39994506668294322"/>
      </left>
      <right/>
      <top style="thin">
        <color theme="3" tint="0.39994506668294322"/>
      </top>
      <bottom style="thin">
        <color theme="3" tint="0.39994506668294322"/>
      </bottom>
      <diagonal/>
    </border>
    <border>
      <left/>
      <right/>
      <top style="thin">
        <color theme="3" tint="0.39994506668294322"/>
      </top>
      <bottom style="thin">
        <color theme="3" tint="0.39994506668294322"/>
      </bottom>
      <diagonal/>
    </border>
    <border>
      <left/>
      <right style="thin">
        <color theme="3" tint="0.39994506668294322"/>
      </right>
      <top style="thin">
        <color theme="3" tint="0.39994506668294322"/>
      </top>
      <bottom style="thin">
        <color theme="3" tint="0.39994506668294322"/>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style="thin">
        <color theme="0" tint="-4.9989318521683403E-2"/>
      </left>
      <right style="medium">
        <color theme="0" tint="-4.9989318521683403E-2"/>
      </right>
      <top style="thin">
        <color theme="0" tint="-4.9989318521683403E-2"/>
      </top>
      <bottom style="thin">
        <color theme="0" tint="-4.9989318521683403E-2"/>
      </bottom>
      <diagonal/>
    </border>
    <border>
      <left style="thin">
        <color theme="0" tint="-4.9989318521683403E-2"/>
      </left>
      <right style="thin">
        <color theme="0" tint="-4.9989318521683403E-2"/>
      </right>
      <top style="thin">
        <color theme="0" tint="-4.9989318521683403E-2"/>
      </top>
      <bottom/>
      <diagonal/>
    </border>
    <border>
      <left style="thin">
        <color theme="0" tint="-4.9989318521683403E-2"/>
      </left>
      <right style="medium">
        <color theme="0" tint="-4.9989318521683403E-2"/>
      </right>
      <top style="thin">
        <color theme="0" tint="-4.9989318521683403E-2"/>
      </top>
      <bottom/>
      <diagonal/>
    </border>
    <border>
      <left style="medium">
        <color theme="0" tint="-0.14996795556505021"/>
      </left>
      <right style="medium">
        <color theme="0" tint="-0.14996795556505021"/>
      </right>
      <top style="medium">
        <color theme="0" tint="-0.14996795556505021"/>
      </top>
      <bottom/>
      <diagonal/>
    </border>
    <border>
      <left style="medium">
        <color theme="0" tint="-0.14996795556505021"/>
      </left>
      <right style="medium">
        <color theme="0" tint="-0.14996795556505021"/>
      </right>
      <top/>
      <bottom/>
      <diagonal/>
    </border>
    <border>
      <left style="medium">
        <color theme="0" tint="-0.14996795556505021"/>
      </left>
      <right style="medium">
        <color theme="0" tint="-0.14996795556505021"/>
      </right>
      <top/>
      <bottom style="thin">
        <color theme="4" tint="0.79998168889431442"/>
      </bottom>
      <diagonal/>
    </border>
    <border>
      <left style="medium">
        <color theme="0" tint="-0.14996795556505021"/>
      </left>
      <right style="medium">
        <color theme="0" tint="-0.14996795556505021"/>
      </right>
      <top style="thin">
        <color theme="4" tint="0.79998168889431442"/>
      </top>
      <bottom style="thin">
        <color theme="4" tint="0.79998168889431442"/>
      </bottom>
      <diagonal/>
    </border>
    <border>
      <left style="thin">
        <color theme="3" tint="0.39994506668294322"/>
      </left>
      <right/>
      <top style="thin">
        <color theme="3" tint="0.39994506668294322"/>
      </top>
      <bottom style="thin">
        <color theme="3" tint="0.39991454817346722"/>
      </bottom>
      <diagonal/>
    </border>
    <border>
      <left style="hair">
        <color rgb="FFCCECFF"/>
      </left>
      <right style="hair">
        <color rgb="FFCCECFF"/>
      </right>
      <top style="thin">
        <color theme="3" tint="0.39994506668294322"/>
      </top>
      <bottom style="thin">
        <color theme="3" tint="0.39991454817346722"/>
      </bottom>
      <diagonal/>
    </border>
    <border>
      <left/>
      <right style="thin">
        <color theme="3" tint="0.39991454817346722"/>
      </right>
      <top style="thin">
        <color theme="3" tint="0.39994506668294322"/>
      </top>
      <bottom style="thin">
        <color theme="3" tint="0.39991454817346722"/>
      </bottom>
      <diagonal/>
    </border>
    <border>
      <left style="thin">
        <color theme="3" tint="0.39994506668294322"/>
      </left>
      <right style="thin">
        <color theme="3" tint="0.39991454817346722"/>
      </right>
      <top style="thin">
        <color theme="3" tint="0.39994506668294322"/>
      </top>
      <bottom style="thin">
        <color theme="3" tint="0.39991454817346722"/>
      </bottom>
      <diagonal/>
    </border>
    <border>
      <left style="thin">
        <color theme="0" tint="-0.499984740745262"/>
      </left>
      <right style="thin">
        <color theme="0" tint="-4.9989318521683403E-2"/>
      </right>
      <top style="thin">
        <color theme="0" tint="-0.499984740745262"/>
      </top>
      <bottom style="thin">
        <color theme="0" tint="-0.499984740745262"/>
      </bottom>
      <diagonal/>
    </border>
    <border>
      <left style="thin">
        <color theme="0" tint="-4.9989318521683403E-2"/>
      </left>
      <right style="thin">
        <color theme="0" tint="-4.9989318521683403E-2"/>
      </right>
      <top style="thin">
        <color theme="0" tint="-0.499984740745262"/>
      </top>
      <bottom style="thin">
        <color theme="0" tint="-0.499984740745262"/>
      </bottom>
      <diagonal/>
    </border>
    <border>
      <left style="thin">
        <color theme="0" tint="-4.9989318521683403E-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4.9989318521683403E-2"/>
      </right>
      <top style="thin">
        <color theme="0" tint="-0.499984740745262"/>
      </top>
      <bottom style="thin">
        <color theme="0" tint="-4.9989318521683403E-2"/>
      </bottom>
      <diagonal/>
    </border>
    <border>
      <left style="thin">
        <color theme="0" tint="-0.499984740745262"/>
      </left>
      <right style="thin">
        <color theme="0" tint="-0.499984740745262"/>
      </right>
      <top style="thin">
        <color theme="0" tint="-4.9989318521683403E-2"/>
      </top>
      <bottom style="thin">
        <color theme="0" tint="-0.499984740745262"/>
      </bottom>
      <diagonal/>
    </border>
    <border>
      <left style="thin">
        <color theme="3" tint="0.39994506668294322"/>
      </left>
      <right style="thin">
        <color theme="0" tint="-0.24994659260841701"/>
      </right>
      <top style="thin">
        <color theme="3" tint="0.39994506668294322"/>
      </top>
      <bottom style="hair">
        <color theme="4"/>
      </bottom>
      <diagonal/>
    </border>
    <border>
      <left style="thin">
        <color theme="0" tint="-0.24994659260841701"/>
      </left>
      <right style="thin">
        <color theme="0" tint="-0.24994659260841701"/>
      </right>
      <top style="thin">
        <color theme="3" tint="0.39994506668294322"/>
      </top>
      <bottom style="hair">
        <color theme="4"/>
      </bottom>
      <diagonal/>
    </border>
    <border>
      <left style="thin">
        <color theme="0" tint="-0.24994659260841701"/>
      </left>
      <right style="thin">
        <color theme="3" tint="0.39991454817346722"/>
      </right>
      <top style="thin">
        <color theme="3" tint="0.39994506668294322"/>
      </top>
      <bottom style="hair">
        <color theme="4"/>
      </bottom>
      <diagonal/>
    </border>
    <border>
      <left style="hair">
        <color theme="4"/>
      </left>
      <right style="hair">
        <color theme="4"/>
      </right>
      <top style="hair">
        <color theme="4"/>
      </top>
      <bottom style="hair">
        <color theme="4"/>
      </bottom>
      <diagonal/>
    </border>
    <border>
      <left style="hair">
        <color theme="4"/>
      </left>
      <right/>
      <top style="hair">
        <color theme="4"/>
      </top>
      <bottom style="hair">
        <color theme="4"/>
      </bottom>
      <diagonal/>
    </border>
    <border>
      <left/>
      <right/>
      <top style="hair">
        <color theme="4"/>
      </top>
      <bottom style="hair">
        <color theme="4"/>
      </bottom>
      <diagonal/>
    </border>
    <border>
      <left/>
      <right style="hair">
        <color theme="4"/>
      </right>
      <top style="hair">
        <color theme="4"/>
      </top>
      <bottom style="hair">
        <color theme="4"/>
      </bottom>
      <diagonal/>
    </border>
    <border>
      <left style="hair">
        <color rgb="FF66CCFF"/>
      </left>
      <right style="hair">
        <color rgb="FF66CCFF"/>
      </right>
      <top/>
      <bottom/>
      <diagonal/>
    </border>
    <border>
      <left style="hair">
        <color rgb="FF66CCFF"/>
      </left>
      <right/>
      <top/>
      <bottom/>
      <diagonal/>
    </border>
    <border>
      <left style="thin">
        <color rgb="FF66CCFF"/>
      </left>
      <right style="thin">
        <color rgb="FF66CCFF"/>
      </right>
      <top style="thin">
        <color rgb="FF66CCFF"/>
      </top>
      <bottom style="thin">
        <color rgb="FF66CCFF"/>
      </bottom>
      <diagonal/>
    </border>
    <border>
      <left style="hair">
        <color theme="3" tint="0.39991454817346722"/>
      </left>
      <right style="hair">
        <color theme="3" tint="0.39991454817346722"/>
      </right>
      <top style="hair">
        <color theme="3" tint="0.39991454817346722"/>
      </top>
      <bottom/>
      <diagonal/>
    </border>
    <border>
      <left/>
      <right/>
      <top/>
      <bottom style="hair">
        <color theme="3" tint="0.39991454817346722"/>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right/>
      <top style="thin">
        <color theme="4"/>
      </top>
      <bottom/>
      <diagonal/>
    </border>
    <border>
      <left/>
      <right/>
      <top/>
      <bottom style="thin">
        <color theme="4"/>
      </bottom>
      <diagonal/>
    </border>
    <border>
      <left style="thin">
        <color theme="0"/>
      </left>
      <right style="thin">
        <color theme="0"/>
      </right>
      <top style="thin">
        <color theme="0"/>
      </top>
      <bottom style="thin">
        <color theme="4"/>
      </bottom>
      <diagonal/>
    </border>
    <border>
      <left/>
      <right style="thin">
        <color theme="0" tint="-4.9989318521683403E-2"/>
      </right>
      <top style="thin">
        <color theme="0" tint="-4.9989318521683403E-2"/>
      </top>
      <bottom style="thin">
        <color theme="0" tint="-4.9989318521683403E-2"/>
      </bottom>
      <diagonal/>
    </border>
    <border>
      <left/>
      <right/>
      <top style="thin">
        <color theme="0" tint="-4.9989318521683403E-2"/>
      </top>
      <bottom style="thin">
        <color theme="0" tint="-4.9989318521683403E-2"/>
      </bottom>
      <diagonal/>
    </border>
    <border>
      <left style="thin">
        <color theme="0" tint="-0.14996795556505021"/>
      </left>
      <right style="thin">
        <color theme="0" tint="-0.14996795556505021"/>
      </right>
      <top style="thin">
        <color theme="0" tint="-0.14996795556505021"/>
      </top>
      <bottom/>
      <diagonal/>
    </border>
    <border>
      <left style="thin">
        <color theme="0" tint="-0.14996795556505021"/>
      </left>
      <right style="thin">
        <color theme="0" tint="-0.14996795556505021"/>
      </right>
      <top style="thin">
        <color theme="4"/>
      </top>
      <bottom style="thin">
        <color theme="0" tint="-0.14996795556505021"/>
      </bottom>
      <diagonal/>
    </border>
    <border>
      <left style="thin">
        <color rgb="FF000000"/>
      </left>
      <right style="thin">
        <color rgb="FF000000"/>
      </right>
      <top style="thin">
        <color rgb="FF000000"/>
      </top>
      <bottom style="thin">
        <color rgb="FF000000"/>
      </bottom>
      <diagonal/>
    </border>
    <border>
      <left style="thin">
        <color rgb="FF66CCFF"/>
      </left>
      <right/>
      <top style="thin">
        <color rgb="FF66CCFF"/>
      </top>
      <bottom style="thin">
        <color rgb="FF66CCFF"/>
      </bottom>
      <diagonal/>
    </border>
    <border>
      <left/>
      <right/>
      <top style="thin">
        <color rgb="FF66CCFF"/>
      </top>
      <bottom style="thin">
        <color rgb="FF66CCFF"/>
      </bottom>
      <diagonal/>
    </border>
    <border>
      <left/>
      <right style="thin">
        <color rgb="FF66CCFF"/>
      </right>
      <top style="thin">
        <color rgb="FF66CCFF"/>
      </top>
      <bottom style="thin">
        <color rgb="FF66CCFF"/>
      </bottom>
      <diagonal/>
    </border>
    <border>
      <left style="medium">
        <color theme="0" tint="-0.14996795556505021"/>
      </left>
      <right style="medium">
        <color theme="0" tint="-0.14996795556505021"/>
      </right>
      <top style="thin">
        <color theme="4" tint="0.79998168889431442"/>
      </top>
      <bottom/>
      <diagonal/>
    </border>
    <border>
      <left/>
      <right/>
      <top style="thin">
        <color theme="0" tint="-0.499984740745262"/>
      </top>
      <bottom/>
      <diagonal/>
    </border>
    <border>
      <left style="hair">
        <color theme="3" tint="0.39991454817346722"/>
      </left>
      <right style="hair">
        <color theme="3" tint="0.39988402966399123"/>
      </right>
      <top style="hair">
        <color theme="3" tint="0.39991454817346722"/>
      </top>
      <bottom style="hair">
        <color theme="3" tint="0.39991454817346722"/>
      </bottom>
      <diagonal/>
    </border>
    <border>
      <left style="hair">
        <color theme="3" tint="0.39988402966399123"/>
      </left>
      <right style="hair">
        <color theme="3" tint="0.39988402966399123"/>
      </right>
      <top style="hair">
        <color theme="3" tint="0.39991454817346722"/>
      </top>
      <bottom style="hair">
        <color theme="3" tint="0.39991454817346722"/>
      </bottom>
      <diagonal/>
    </border>
    <border>
      <left style="hair">
        <color theme="3" tint="0.39988402966399123"/>
      </left>
      <right style="hair">
        <color theme="3" tint="0.39988402966399123"/>
      </right>
      <top style="hair">
        <color theme="3" tint="0.39991454817346722"/>
      </top>
      <bottom/>
      <diagonal/>
    </border>
    <border>
      <left style="hair">
        <color theme="3" tint="0.39988402966399123"/>
      </left>
      <right style="hair">
        <color theme="3" tint="0.39991454817346722"/>
      </right>
      <top style="hair">
        <color theme="3" tint="0.39991454817346722"/>
      </top>
      <bottom style="hair">
        <color theme="3" tint="0.39991454817346722"/>
      </bottom>
      <diagonal/>
    </border>
    <border>
      <left style="thin">
        <color theme="3" tint="0.39994506668294322"/>
      </left>
      <right/>
      <top style="thin">
        <color theme="3" tint="0.39991454817346722"/>
      </top>
      <bottom/>
      <diagonal/>
    </border>
    <border>
      <left style="hair">
        <color theme="3" tint="0.39988402966399123"/>
      </left>
      <right style="hair">
        <color theme="3" tint="0.39985351115451523"/>
      </right>
      <top style="thin">
        <color theme="3" tint="0.39991454817346722"/>
      </top>
      <bottom/>
      <diagonal/>
    </border>
    <border>
      <left style="hair">
        <color theme="3" tint="0.39985351115451523"/>
      </left>
      <right style="hair">
        <color theme="3" tint="0.39988402966399123"/>
      </right>
      <top style="thin">
        <color theme="3" tint="0.39991454817346722"/>
      </top>
      <bottom/>
      <diagonal/>
    </border>
    <border>
      <left/>
      <right style="thin">
        <color theme="3" tint="0.39991454817346722"/>
      </right>
      <top style="thin">
        <color theme="3" tint="0.39991454817346722"/>
      </top>
      <bottom/>
      <diagonal/>
    </border>
    <border>
      <left style="hair">
        <color theme="3" tint="0.39988402966399123"/>
      </left>
      <right style="hair">
        <color theme="3" tint="0.39985351115451523"/>
      </right>
      <top/>
      <bottom/>
      <diagonal/>
    </border>
    <border>
      <left style="hair">
        <color theme="3" tint="0.39985351115451523"/>
      </left>
      <right style="hair">
        <color theme="3" tint="0.39988402966399123"/>
      </right>
      <top/>
      <bottom/>
      <diagonal/>
    </border>
    <border>
      <left/>
      <right style="thin">
        <color theme="3" tint="0.39991454817346722"/>
      </right>
      <top/>
      <bottom/>
      <diagonal/>
    </border>
    <border>
      <left style="hair">
        <color theme="3" tint="0.39988402966399123"/>
      </left>
      <right style="hair">
        <color theme="3" tint="0.39988402966399123"/>
      </right>
      <top style="thin">
        <color theme="3" tint="0.39991454817346722"/>
      </top>
      <bottom/>
      <diagonal/>
    </border>
    <border>
      <left style="hair">
        <color theme="3" tint="0.39988402966399123"/>
      </left>
      <right style="hair">
        <color theme="3" tint="0.39988402966399123"/>
      </right>
      <top/>
      <bottom/>
      <diagonal/>
    </border>
    <border>
      <left style="thin">
        <color theme="3" tint="0.39994506668294322"/>
      </left>
      <right/>
      <top/>
      <bottom style="thin">
        <color theme="3" tint="0.39991454817346722"/>
      </bottom>
      <diagonal/>
    </border>
    <border>
      <left style="hair">
        <color theme="3" tint="0.39988402966399123"/>
      </left>
      <right style="hair">
        <color theme="3" tint="0.39988402966399123"/>
      </right>
      <top/>
      <bottom style="thin">
        <color theme="3" tint="0.39991454817346722"/>
      </bottom>
      <diagonal/>
    </border>
    <border>
      <left/>
      <right style="thin">
        <color theme="3" tint="0.39991454817346722"/>
      </right>
      <top/>
      <bottom style="thin">
        <color theme="3" tint="0.39991454817346722"/>
      </bottom>
      <diagonal/>
    </border>
    <border>
      <left/>
      <right style="thin">
        <color theme="0"/>
      </right>
      <top/>
      <bottom style="thin">
        <color theme="0"/>
      </bottom>
      <diagonal/>
    </border>
    <border>
      <left style="thin">
        <color theme="0"/>
      </left>
      <right/>
      <top/>
      <bottom style="thin">
        <color theme="0"/>
      </bottom>
      <diagonal/>
    </border>
    <border>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n">
        <color theme="0"/>
      </top>
      <bottom style="thin">
        <color theme="4"/>
      </bottom>
      <diagonal/>
    </border>
    <border>
      <left style="thin">
        <color theme="0"/>
      </left>
      <right/>
      <top style="thin">
        <color theme="0"/>
      </top>
      <bottom style="thin">
        <color theme="4"/>
      </bottom>
      <diagonal/>
    </border>
    <border>
      <left/>
      <right style="thin">
        <color theme="0"/>
      </right>
      <top style="thin">
        <color theme="0"/>
      </top>
      <bottom/>
      <diagonal/>
    </border>
    <border>
      <left/>
      <right/>
      <top/>
      <bottom style="thin">
        <color theme="0" tint="-4.9989318521683403E-2"/>
      </bottom>
      <diagonal/>
    </border>
    <border>
      <left style="thin">
        <color theme="0" tint="-4.9989318521683403E-2"/>
      </left>
      <right/>
      <top style="thin">
        <color theme="0" tint="-4.9989318521683403E-2"/>
      </top>
      <bottom style="thin">
        <color theme="0" tint="-4.9989318521683403E-2"/>
      </bottom>
      <diagonal/>
    </border>
    <border>
      <left/>
      <right/>
      <top style="thin">
        <color theme="0" tint="-4.9989318521683403E-2"/>
      </top>
      <bottom/>
      <diagonal/>
    </border>
    <border>
      <left/>
      <right style="thin">
        <color theme="0" tint="-0.14996795556505021"/>
      </right>
      <top style="thin">
        <color theme="4"/>
      </top>
      <bottom style="thin">
        <color theme="0" tint="-0.14996795556505021"/>
      </bottom>
      <diagonal/>
    </border>
    <border>
      <left style="thin">
        <color theme="0" tint="-0.14996795556505021"/>
      </left>
      <right/>
      <top style="thin">
        <color theme="4"/>
      </top>
      <bottom style="thin">
        <color theme="0" tint="-0.14996795556505021"/>
      </bottom>
      <diagonal/>
    </border>
    <border>
      <left/>
      <right style="thin">
        <color theme="0" tint="-0.14996795556505021"/>
      </right>
      <top style="thin">
        <color theme="0" tint="-0.14996795556505021"/>
      </top>
      <bottom style="thin">
        <color theme="0" tint="-0.14996795556505021"/>
      </bottom>
      <diagonal/>
    </border>
    <border>
      <left style="thin">
        <color theme="0" tint="-0.14996795556505021"/>
      </left>
      <right/>
      <top style="thin">
        <color theme="0" tint="-0.14996795556505021"/>
      </top>
      <bottom style="thin">
        <color theme="0" tint="-0.14996795556505021"/>
      </bottom>
      <diagonal/>
    </border>
    <border>
      <left/>
      <right style="thin">
        <color theme="0" tint="-0.14996795556505021"/>
      </right>
      <top style="thin">
        <color theme="0" tint="-0.14996795556505021"/>
      </top>
      <bottom/>
      <diagonal/>
    </border>
    <border>
      <left style="thin">
        <color theme="0" tint="-0.14996795556505021"/>
      </left>
      <right/>
      <top style="thin">
        <color theme="0" tint="-0.14996795556505021"/>
      </top>
      <bottom/>
      <diagonal/>
    </border>
    <border>
      <left/>
      <right style="thin">
        <color theme="0" tint="-0.14996795556505021"/>
      </right>
      <top style="thin">
        <color theme="0" tint="-0.14996795556505021"/>
      </top>
      <bottom style="thin">
        <color theme="4"/>
      </bottom>
      <diagonal/>
    </border>
    <border>
      <left style="thin">
        <color theme="0" tint="-0.14996795556505021"/>
      </left>
      <right style="thin">
        <color theme="0" tint="-0.14996795556505021"/>
      </right>
      <top style="thin">
        <color theme="0" tint="-0.14996795556505021"/>
      </top>
      <bottom style="thin">
        <color theme="4"/>
      </bottom>
      <diagonal/>
    </border>
    <border>
      <left style="thin">
        <color theme="0" tint="-0.14996795556505021"/>
      </left>
      <right/>
      <top style="thin">
        <color theme="0" tint="-0.14996795556505021"/>
      </top>
      <bottom style="thin">
        <color theme="4"/>
      </bottom>
      <diagonal/>
    </border>
    <border>
      <left/>
      <right style="thin">
        <color theme="0" tint="-0.14996795556505021"/>
      </right>
      <top/>
      <bottom style="thin">
        <color theme="0" tint="-0.14996795556505021"/>
      </bottom>
      <diagonal/>
    </border>
    <border>
      <left style="thin">
        <color theme="0" tint="-0.14996795556505021"/>
      </left>
      <right/>
      <top/>
      <bottom style="thin">
        <color theme="0" tint="-0.14996795556505021"/>
      </bottom>
      <diagonal/>
    </border>
    <border>
      <left style="thin">
        <color theme="0" tint="-0.24994659260841701"/>
      </left>
      <right/>
      <top/>
      <bottom style="thin">
        <color theme="4"/>
      </bottom>
      <diagonal/>
    </border>
    <border>
      <left/>
      <right style="thin">
        <color theme="0" tint="-0.24994659260841701"/>
      </right>
      <top/>
      <bottom style="thin">
        <color theme="4"/>
      </bottom>
      <diagonal/>
    </border>
    <border>
      <left style="thin">
        <color theme="0" tint="-0.24994659260841701"/>
      </left>
      <right/>
      <top/>
      <bottom style="thin">
        <color theme="0" tint="-4.9989318521683403E-2"/>
      </bottom>
      <diagonal/>
    </border>
    <border>
      <left/>
      <right style="thin">
        <color theme="0" tint="-0.24994659260841701"/>
      </right>
      <top/>
      <bottom style="thin">
        <color theme="0" tint="-4.9989318521683403E-2"/>
      </bottom>
      <diagonal/>
    </border>
    <border>
      <left style="thin">
        <color theme="0" tint="-0.24994659260841701"/>
      </left>
      <right/>
      <top style="thin">
        <color theme="4"/>
      </top>
      <bottom/>
      <diagonal/>
    </border>
    <border>
      <left/>
      <right style="thin">
        <color theme="0" tint="-0.24994659260841701"/>
      </right>
      <top style="thin">
        <color theme="4"/>
      </top>
      <bottom/>
      <diagonal/>
    </border>
    <border>
      <left style="hair">
        <color theme="4"/>
      </left>
      <right style="hair">
        <color theme="4"/>
      </right>
      <top style="hair">
        <color theme="4"/>
      </top>
      <bottom style="thin">
        <color theme="0" tint="-0.34998626667073579"/>
      </bottom>
      <diagonal/>
    </border>
    <border>
      <left style="hair">
        <color theme="4"/>
      </left>
      <right style="hair">
        <color theme="4"/>
      </right>
      <top style="thin">
        <color theme="0" tint="-0.34998626667073579"/>
      </top>
      <bottom style="thin">
        <color theme="0" tint="-0.34998626667073579"/>
      </bottom>
      <diagonal/>
    </border>
    <border>
      <left style="hair">
        <color theme="4"/>
      </left>
      <right style="thin">
        <color theme="0" tint="-0.34998626667073579"/>
      </right>
      <top style="thin">
        <color theme="0" tint="-0.34998626667073579"/>
      </top>
      <bottom style="thin">
        <color theme="0" tint="-0.34998626667073579"/>
      </bottom>
      <diagonal/>
    </border>
    <border>
      <left style="hair">
        <color theme="3" tint="0.39991454817346722"/>
      </left>
      <right style="hair">
        <color theme="3" tint="0.39991454817346722"/>
      </right>
      <top/>
      <bottom/>
      <diagonal/>
    </border>
    <border>
      <left style="hair">
        <color theme="3" tint="0.39991454817346722"/>
      </left>
      <right style="hair">
        <color theme="3" tint="0.39988402966399123"/>
      </right>
      <top style="hair">
        <color theme="3" tint="0.39991454817346722"/>
      </top>
      <bottom/>
      <diagonal/>
    </border>
    <border>
      <left style="hair">
        <color theme="3" tint="0.39988402966399123"/>
      </left>
      <right style="hair">
        <color theme="3" tint="0.39991454817346722"/>
      </right>
      <top style="hair">
        <color theme="3" tint="0.39991454817346722"/>
      </top>
      <bottom/>
      <diagonal/>
    </border>
    <border>
      <left style="thin">
        <color theme="0" tint="-0.34998626667073579"/>
      </left>
      <right style="hair">
        <color theme="3" tint="0.39991454817346722"/>
      </right>
      <top style="thin">
        <color theme="0" tint="-0.34998626667073579"/>
      </top>
      <bottom style="thin">
        <color theme="0" tint="-0.34998626667073579"/>
      </bottom>
      <diagonal/>
    </border>
    <border>
      <left style="hair">
        <color theme="3" tint="0.39991454817346722"/>
      </left>
      <right style="hair">
        <color theme="3" tint="0.39991454817346722"/>
      </right>
      <top style="thin">
        <color theme="0" tint="-0.34998626667073579"/>
      </top>
      <bottom style="thin">
        <color theme="0" tint="-0.34998626667073579"/>
      </bottom>
      <diagonal/>
    </border>
    <border>
      <left style="hair">
        <color theme="3" tint="0.39991454817346722"/>
      </left>
      <right style="thin">
        <color theme="0" tint="-0.34998626667073579"/>
      </right>
      <top style="thin">
        <color theme="0" tint="-0.34998626667073579"/>
      </top>
      <bottom style="thin">
        <color theme="0" tint="-0.34998626667073579"/>
      </bottom>
      <diagonal/>
    </border>
    <border>
      <left/>
      <right style="hair">
        <color theme="4"/>
      </right>
      <top style="thin">
        <color theme="0" tint="-0.34998626667073579"/>
      </top>
      <bottom/>
      <diagonal/>
    </border>
    <border>
      <left style="hair">
        <color theme="4"/>
      </left>
      <right style="hair">
        <color theme="4"/>
      </right>
      <top style="thin">
        <color theme="0" tint="-0.34998626667073579"/>
      </top>
      <bottom/>
      <diagonal/>
    </border>
    <border>
      <left style="thin">
        <color theme="0" tint="-0.499984740745262"/>
      </left>
      <right style="thin">
        <color theme="0" tint="-0.499984740745262"/>
      </right>
      <top style="thin">
        <color theme="0" tint="-0.499984740745262"/>
      </top>
      <bottom/>
      <diagonal/>
    </border>
    <border>
      <left style="thin">
        <color indexed="64"/>
      </left>
      <right style="thin">
        <color indexed="64"/>
      </right>
      <top style="thin">
        <color indexed="64"/>
      </top>
      <bottom style="thin">
        <color indexed="64"/>
      </bottom>
      <diagonal/>
    </border>
    <border>
      <left/>
      <right style="hair">
        <color theme="4"/>
      </right>
      <top/>
      <bottom style="thin">
        <color theme="0" tint="-0.34998626667073579"/>
      </bottom>
      <diagonal/>
    </border>
    <border>
      <left style="thin">
        <color indexed="64"/>
      </left>
      <right style="thin">
        <color indexed="64"/>
      </right>
      <top style="thin">
        <color indexed="64"/>
      </top>
      <bottom/>
      <diagonal/>
    </border>
  </borders>
  <cellStyleXfs count="9">
    <xf numFmtId="0" fontId="0" fillId="0" borderId="0"/>
    <xf numFmtId="43" fontId="1" fillId="0" borderId="0" applyFont="0" applyFill="0" applyBorder="0" applyAlignment="0" applyProtection="0"/>
    <xf numFmtId="9" fontId="1" fillId="0" borderId="0" applyFont="0" applyFill="0" applyBorder="0" applyAlignment="0" applyProtection="0"/>
    <xf numFmtId="171" fontId="5" fillId="0" borderId="0"/>
    <xf numFmtId="173" fontId="35" fillId="0" borderId="0"/>
    <xf numFmtId="0" fontId="39" fillId="0" borderId="0"/>
    <xf numFmtId="0" fontId="39" fillId="0" borderId="0"/>
    <xf numFmtId="164" fontId="1" fillId="0" borderId="0" applyFont="0" applyFill="0" applyBorder="0" applyAlignment="0" applyProtection="0"/>
    <xf numFmtId="0" fontId="1" fillId="0" borderId="0"/>
  </cellStyleXfs>
  <cellXfs count="999">
    <xf numFmtId="0" fontId="0" fillId="0" borderId="0" xfId="0"/>
    <xf numFmtId="0" fontId="5" fillId="0" borderId="0" xfId="0" quotePrefix="1" applyFont="1" applyAlignment="1">
      <alignment horizontal="left" vertical="center"/>
    </xf>
    <xf numFmtId="1" fontId="7" fillId="0" borderId="0" xfId="0" applyNumberFormat="1" applyFont="1" applyAlignment="1">
      <alignment horizontal="centerContinuous"/>
    </xf>
    <xf numFmtId="0" fontId="7" fillId="0" borderId="0" xfId="0" applyFont="1"/>
    <xf numFmtId="1" fontId="7" fillId="0" borderId="0" xfId="0" applyNumberFormat="1" applyFont="1"/>
    <xf numFmtId="1" fontId="7" fillId="0" borderId="0" xfId="0" applyNumberFormat="1" applyFont="1" applyAlignment="1">
      <alignment horizontal="right"/>
    </xf>
    <xf numFmtId="165" fontId="7" fillId="0" borderId="0" xfId="0" applyNumberFormat="1" applyFont="1" applyAlignment="1">
      <alignment horizontal="right"/>
    </xf>
    <xf numFmtId="167" fontId="7" fillId="0" borderId="0" xfId="2" applyNumberFormat="1" applyFont="1" applyAlignment="1">
      <alignment horizontal="right"/>
    </xf>
    <xf numFmtId="49" fontId="7" fillId="0" borderId="0" xfId="0" applyNumberFormat="1" applyFont="1" applyAlignment="1">
      <alignment horizontal="right"/>
    </xf>
    <xf numFmtId="0" fontId="7" fillId="0" borderId="0" xfId="0" quotePrefix="1" applyFont="1" applyAlignment="1">
      <alignment horizontal="left" vertical="center"/>
    </xf>
    <xf numFmtId="166" fontId="7" fillId="0" borderId="0" xfId="0" applyNumberFormat="1" applyFont="1" applyAlignment="1">
      <alignment horizontal="right"/>
    </xf>
    <xf numFmtId="0" fontId="8" fillId="0" borderId="0" xfId="0" applyFont="1"/>
    <xf numFmtId="1" fontId="7" fillId="0" borderId="0" xfId="0" applyNumberFormat="1" applyFont="1" applyAlignment="1">
      <alignment horizontal="center"/>
    </xf>
    <xf numFmtId="1" fontId="7" fillId="0" borderId="0" xfId="0" applyNumberFormat="1" applyFont="1" applyAlignment="1">
      <alignment horizontal="left"/>
    </xf>
    <xf numFmtId="49" fontId="7" fillId="0" borderId="0" xfId="0" applyNumberFormat="1" applyFont="1" applyAlignment="1">
      <alignment horizontal="left"/>
    </xf>
    <xf numFmtId="49" fontId="7" fillId="0" borderId="0" xfId="0" applyNumberFormat="1" applyFont="1" applyAlignment="1">
      <alignment horizontal="center"/>
    </xf>
    <xf numFmtId="165" fontId="7" fillId="0" borderId="0" xfId="0" applyNumberFormat="1" applyFont="1" applyAlignment="1">
      <alignment horizontal="center"/>
    </xf>
    <xf numFmtId="0" fontId="5" fillId="2" borderId="0" xfId="0" applyFont="1" applyFill="1"/>
    <xf numFmtId="0" fontId="4" fillId="2" borderId="0" xfId="0" applyFont="1" applyFill="1" applyAlignment="1">
      <alignment horizontal="center"/>
    </xf>
    <xf numFmtId="1" fontId="13" fillId="0" borderId="0" xfId="0" applyNumberFormat="1" applyFont="1" applyAlignment="1">
      <alignment horizontal="right"/>
    </xf>
    <xf numFmtId="0" fontId="13" fillId="0" borderId="0" xfId="0" quotePrefix="1" applyFont="1" applyAlignment="1">
      <alignment horizontal="left"/>
    </xf>
    <xf numFmtId="0" fontId="13" fillId="0" borderId="1" xfId="0" applyFont="1" applyBorder="1"/>
    <xf numFmtId="49" fontId="13" fillId="0" borderId="0" xfId="0" applyNumberFormat="1" applyFont="1" applyAlignment="1">
      <alignment horizontal="center"/>
    </xf>
    <xf numFmtId="1" fontId="13" fillId="0" borderId="0" xfId="0" applyNumberFormat="1" applyFont="1"/>
    <xf numFmtId="1" fontId="13" fillId="0" borderId="0" xfId="0" applyNumberFormat="1" applyFont="1" applyAlignment="1">
      <alignment horizontal="center"/>
    </xf>
    <xf numFmtId="0" fontId="13" fillId="0" borderId="0" xfId="0" applyFont="1"/>
    <xf numFmtId="165" fontId="13" fillId="0" borderId="0" xfId="0" applyNumberFormat="1" applyFont="1" applyAlignment="1">
      <alignment horizontal="right"/>
    </xf>
    <xf numFmtId="0" fontId="14" fillId="0" borderId="0" xfId="0" quotePrefix="1" applyFont="1" applyAlignment="1">
      <alignment horizontal="right"/>
    </xf>
    <xf numFmtId="165" fontId="13" fillId="0" borderId="1" xfId="0" applyNumberFormat="1" applyFont="1" applyBorder="1" applyAlignment="1">
      <alignment horizontal="right"/>
    </xf>
    <xf numFmtId="167" fontId="13" fillId="0" borderId="0" xfId="2" applyNumberFormat="1" applyFont="1" applyAlignment="1">
      <alignment horizontal="right"/>
    </xf>
    <xf numFmtId="165" fontId="13" fillId="0" borderId="0" xfId="0" applyNumberFormat="1" applyFont="1" applyAlignment="1">
      <alignment horizontal="center"/>
    </xf>
    <xf numFmtId="0" fontId="13" fillId="0" borderId="0" xfId="0" quotePrefix="1" applyFont="1" applyAlignment="1">
      <alignment horizontal="left" vertical="center"/>
    </xf>
    <xf numFmtId="165" fontId="13" fillId="0" borderId="0" xfId="0" applyNumberFormat="1" applyFont="1" applyAlignment="1">
      <alignment horizontal="left"/>
    </xf>
    <xf numFmtId="1" fontId="13" fillId="0" borderId="1" xfId="0" applyNumberFormat="1" applyFont="1" applyBorder="1"/>
    <xf numFmtId="166" fontId="13" fillId="0" borderId="0" xfId="0" applyNumberFormat="1" applyFont="1" applyAlignment="1">
      <alignment horizontal="right"/>
    </xf>
    <xf numFmtId="1" fontId="13" fillId="0" borderId="0" xfId="0" applyNumberFormat="1" applyFont="1" applyAlignment="1">
      <alignment horizontal="left"/>
    </xf>
    <xf numFmtId="0" fontId="11" fillId="0" borderId="0" xfId="0" applyFont="1" applyAlignment="1">
      <alignment vertical="center"/>
    </xf>
    <xf numFmtId="0" fontId="7" fillId="0" borderId="0" xfId="0" applyFont="1" applyAlignment="1">
      <alignment horizontal="left"/>
    </xf>
    <xf numFmtId="0" fontId="0" fillId="0" borderId="0" xfId="0" applyAlignment="1">
      <alignment horizontal="center"/>
    </xf>
    <xf numFmtId="0" fontId="9" fillId="2" borderId="0" xfId="0" applyFont="1" applyFill="1"/>
    <xf numFmtId="0" fontId="15" fillId="0" borderId="0" xfId="0" applyFont="1" applyAlignment="1">
      <alignment vertical="center"/>
    </xf>
    <xf numFmtId="17" fontId="15" fillId="0" borderId="0" xfId="0" applyNumberFormat="1" applyFont="1" applyAlignment="1">
      <alignment vertical="center"/>
    </xf>
    <xf numFmtId="43" fontId="15" fillId="0" borderId="0" xfId="1" applyFont="1" applyAlignment="1">
      <alignment vertical="center"/>
    </xf>
    <xf numFmtId="0" fontId="15" fillId="0" borderId="0" xfId="0" applyFont="1" applyAlignment="1">
      <alignment horizontal="center" vertical="center"/>
    </xf>
    <xf numFmtId="0" fontId="9" fillId="0" borderId="0" xfId="0" applyFont="1" applyAlignment="1">
      <alignment vertical="center"/>
    </xf>
    <xf numFmtId="0" fontId="5" fillId="0" borderId="0" xfId="0" applyFont="1" applyAlignment="1">
      <alignment horizontal="center" vertical="center"/>
    </xf>
    <xf numFmtId="0" fontId="0" fillId="0" borderId="0" xfId="0" applyAlignment="1">
      <alignment vertical="center"/>
    </xf>
    <xf numFmtId="0" fontId="9" fillId="0" borderId="0" xfId="0" applyFont="1" applyAlignment="1">
      <alignment vertical="center" wrapText="1"/>
    </xf>
    <xf numFmtId="43" fontId="9" fillId="0" borderId="0" xfId="1" applyFont="1" applyAlignment="1">
      <alignment vertical="center" wrapText="1"/>
    </xf>
    <xf numFmtId="0" fontId="15" fillId="0" borderId="0" xfId="0" applyFont="1" applyAlignment="1">
      <alignment vertical="center" wrapText="1"/>
    </xf>
    <xf numFmtId="0" fontId="9" fillId="0" borderId="0" xfId="0" applyFont="1" applyAlignment="1">
      <alignment horizontal="justify" vertical="center"/>
    </xf>
    <xf numFmtId="0" fontId="9" fillId="0" borderId="0" xfId="0" quotePrefix="1" applyFont="1" applyAlignment="1">
      <alignment horizontal="left" vertical="center"/>
    </xf>
    <xf numFmtId="0" fontId="9" fillId="0" borderId="0" xfId="0" quotePrefix="1" applyFont="1" applyAlignment="1">
      <alignment vertical="center" wrapText="1"/>
    </xf>
    <xf numFmtId="0" fontId="16" fillId="0" borderId="0" xfId="0" applyFont="1" applyAlignment="1">
      <alignment horizontal="left" vertical="center" wrapText="1"/>
    </xf>
    <xf numFmtId="0" fontId="5" fillId="0" borderId="0" xfId="0" applyFont="1" applyAlignment="1">
      <alignment vertical="center"/>
    </xf>
    <xf numFmtId="0" fontId="10" fillId="0" borderId="0" xfId="0" applyFont="1" applyAlignment="1">
      <alignment horizontal="left" vertical="center" wrapText="1"/>
    </xf>
    <xf numFmtId="0" fontId="7" fillId="0" borderId="0" xfId="0" applyFont="1" applyAlignment="1">
      <alignment vertical="center"/>
    </xf>
    <xf numFmtId="166" fontId="7" fillId="0" borderId="0" xfId="0" applyNumberFormat="1" applyFont="1" applyAlignment="1">
      <alignment horizontal="right" vertical="center"/>
    </xf>
    <xf numFmtId="49" fontId="7" fillId="0" borderId="0" xfId="0" applyNumberFormat="1" applyFont="1" applyAlignment="1">
      <alignment horizontal="center" vertical="center"/>
    </xf>
    <xf numFmtId="0" fontId="8" fillId="0" borderId="0" xfId="0" applyFont="1" applyAlignment="1">
      <alignment vertical="center"/>
    </xf>
    <xf numFmtId="0" fontId="17" fillId="0" borderId="0" xfId="0" applyFont="1" applyAlignment="1">
      <alignment vertical="center"/>
    </xf>
    <xf numFmtId="0" fontId="9" fillId="0" borderId="0" xfId="0" quotePrefix="1" applyFont="1" applyAlignment="1">
      <alignment horizontal="right" vertical="top"/>
    </xf>
    <xf numFmtId="0" fontId="15" fillId="0" borderId="0" xfId="0" quotePrefix="1" applyFont="1" applyAlignment="1">
      <alignment horizontal="right" vertical="top"/>
    </xf>
    <xf numFmtId="0" fontId="15" fillId="0" borderId="0" xfId="0" applyFont="1" applyAlignment="1">
      <alignment vertical="top"/>
    </xf>
    <xf numFmtId="0" fontId="8" fillId="0" borderId="0" xfId="0" applyFont="1" applyAlignment="1">
      <alignment horizontal="left" vertical="center" wrapText="1"/>
    </xf>
    <xf numFmtId="0" fontId="18" fillId="0" borderId="0" xfId="0" applyFont="1" applyAlignment="1">
      <alignment vertical="center"/>
    </xf>
    <xf numFmtId="0" fontId="5" fillId="2" borderId="0" xfId="0" applyFont="1" applyFill="1" applyAlignment="1">
      <alignment horizontal="left"/>
    </xf>
    <xf numFmtId="43" fontId="4" fillId="2" borderId="0" xfId="1" quotePrefix="1" applyFont="1" applyFill="1" applyAlignment="1">
      <alignment horizontal="center"/>
    </xf>
    <xf numFmtId="17" fontId="5" fillId="2" borderId="0" xfId="0" applyNumberFormat="1" applyFont="1" applyFill="1" applyAlignment="1">
      <alignment horizontal="centerContinuous"/>
    </xf>
    <xf numFmtId="0" fontId="4" fillId="2" borderId="0" xfId="0" applyFont="1" applyFill="1" applyAlignment="1">
      <alignment horizontal="centerContinuous"/>
    </xf>
    <xf numFmtId="0" fontId="5" fillId="2" borderId="0" xfId="0" applyFont="1" applyFill="1" applyAlignment="1">
      <alignment horizontal="centerContinuous"/>
    </xf>
    <xf numFmtId="0" fontId="10" fillId="2" borderId="0" xfId="0" applyFont="1" applyFill="1" applyAlignment="1">
      <alignment horizontal="right"/>
    </xf>
    <xf numFmtId="168" fontId="5" fillId="0" borderId="0" xfId="0" applyNumberFormat="1" applyFont="1" applyAlignment="1">
      <alignment horizontal="right" vertical="center"/>
    </xf>
    <xf numFmtId="0" fontId="5" fillId="2" borderId="0" xfId="0" applyFont="1" applyFill="1" applyAlignment="1">
      <alignment horizontal="right"/>
    </xf>
    <xf numFmtId="0" fontId="5" fillId="2" borderId="0" xfId="0" quotePrefix="1" applyFont="1" applyFill="1" applyAlignment="1">
      <alignment horizontal="left" vertical="top"/>
    </xf>
    <xf numFmtId="0" fontId="5" fillId="2" borderId="0" xfId="0" quotePrefix="1" applyFont="1" applyFill="1" applyAlignment="1">
      <alignment horizontal="left" vertical="center"/>
    </xf>
    <xf numFmtId="0" fontId="5" fillId="2" borderId="0" xfId="0" applyFont="1" applyFill="1" applyAlignment="1">
      <alignment horizontal="left" vertical="center"/>
    </xf>
    <xf numFmtId="0" fontId="5" fillId="2" borderId="0" xfId="0" applyFont="1" applyFill="1" applyAlignment="1">
      <alignment vertical="center"/>
    </xf>
    <xf numFmtId="17" fontId="5" fillId="2" borderId="0" xfId="0" applyNumberFormat="1" applyFont="1" applyFill="1" applyAlignment="1">
      <alignment horizontal="centerContinuous" vertical="center"/>
    </xf>
    <xf numFmtId="0" fontId="4" fillId="2" borderId="0" xfId="0" applyFont="1" applyFill="1" applyAlignment="1">
      <alignment horizontal="centerContinuous" vertical="center"/>
    </xf>
    <xf numFmtId="0" fontId="5" fillId="2" borderId="0" xfId="0" applyFont="1" applyFill="1" applyAlignment="1">
      <alignment horizontal="centerContinuous" vertical="center"/>
    </xf>
    <xf numFmtId="0" fontId="10" fillId="2" borderId="0" xfId="0" applyFont="1" applyFill="1" applyAlignment="1">
      <alignment horizontal="right" vertical="center"/>
    </xf>
    <xf numFmtId="0" fontId="5" fillId="2" borderId="0" xfId="0" applyFont="1" applyFill="1" applyAlignment="1">
      <alignment horizontal="right" vertical="center"/>
    </xf>
    <xf numFmtId="0" fontId="5" fillId="0" borderId="0" xfId="0" applyFont="1" applyAlignment="1">
      <alignment horizontal="left" vertical="center"/>
    </xf>
    <xf numFmtId="17" fontId="4" fillId="0" borderId="0" xfId="0" quotePrefix="1" applyNumberFormat="1" applyFont="1" applyAlignment="1">
      <alignment horizontal="left" vertical="center"/>
    </xf>
    <xf numFmtId="17" fontId="5" fillId="0" borderId="0" xfId="0" applyNumberFormat="1" applyFont="1" applyAlignment="1">
      <alignment horizontal="left" vertical="center"/>
    </xf>
    <xf numFmtId="0" fontId="4" fillId="0" borderId="0" xfId="0" applyFont="1" applyAlignment="1">
      <alignment horizontal="left" vertical="center"/>
    </xf>
    <xf numFmtId="0" fontId="10" fillId="0" borderId="0" xfId="0" applyFont="1" applyAlignment="1">
      <alignment horizontal="left" vertical="center"/>
    </xf>
    <xf numFmtId="43" fontId="4" fillId="0" borderId="0" xfId="1" quotePrefix="1" applyFont="1" applyAlignment="1">
      <alignment horizontal="center" vertical="center"/>
    </xf>
    <xf numFmtId="17" fontId="5" fillId="0" borderId="0" xfId="0" applyNumberFormat="1" applyFont="1" applyAlignment="1">
      <alignment horizontal="centerContinuous" vertical="center"/>
    </xf>
    <xf numFmtId="0" fontId="4" fillId="0" borderId="0" xfId="0" applyFont="1" applyAlignment="1">
      <alignment horizontal="centerContinuous" vertical="center"/>
    </xf>
    <xf numFmtId="0" fontId="5" fillId="0" borderId="0" xfId="0" applyFont="1" applyAlignment="1">
      <alignment horizontal="centerContinuous" vertical="center"/>
    </xf>
    <xf numFmtId="0" fontId="10" fillId="0" borderId="0" xfId="0" applyFont="1" applyAlignment="1">
      <alignment horizontal="right" vertical="center"/>
    </xf>
    <xf numFmtId="17" fontId="20" fillId="0" borderId="0" xfId="0" applyNumberFormat="1" applyFont="1" applyAlignment="1">
      <alignment horizontal="center" vertical="center"/>
    </xf>
    <xf numFmtId="0" fontId="19" fillId="0" borderId="0" xfId="0" applyFont="1" applyAlignment="1">
      <alignment horizontal="center" vertical="center"/>
    </xf>
    <xf numFmtId="0" fontId="5" fillId="0" borderId="0" xfId="0" applyFont="1" applyAlignment="1">
      <alignment horizontal="right" vertical="center"/>
    </xf>
    <xf numFmtId="0" fontId="20" fillId="0" borderId="0" xfId="0" quotePrefix="1" applyFont="1" applyAlignment="1">
      <alignment horizontal="left" vertical="center"/>
    </xf>
    <xf numFmtId="0" fontId="19" fillId="0" borderId="0" xfId="0" quotePrefix="1" applyFont="1" applyAlignment="1">
      <alignment horizontal="left" vertical="center"/>
    </xf>
    <xf numFmtId="17" fontId="19" fillId="0" borderId="0" xfId="0" applyNumberFormat="1" applyFont="1" applyAlignment="1">
      <alignment horizontal="center" vertical="center"/>
    </xf>
    <xf numFmtId="0" fontId="19" fillId="0" borderId="0" xfId="0" applyFont="1" applyAlignment="1">
      <alignment horizontal="center" vertical="center" wrapText="1"/>
    </xf>
    <xf numFmtId="169" fontId="19" fillId="0" borderId="0" xfId="0" applyNumberFormat="1" applyFont="1" applyAlignment="1">
      <alignment horizontal="center" vertical="center"/>
    </xf>
    <xf numFmtId="0" fontId="19" fillId="0" borderId="0" xfId="0" quotePrefix="1" applyFont="1" applyAlignment="1">
      <alignment horizontal="center" vertical="center"/>
    </xf>
    <xf numFmtId="167" fontId="4" fillId="0" borderId="0" xfId="2" applyNumberFormat="1" applyFont="1" applyAlignment="1">
      <alignment horizontal="right" vertical="center"/>
    </xf>
    <xf numFmtId="167" fontId="4" fillId="0" borderId="0" xfId="0" applyNumberFormat="1" applyFont="1" applyAlignment="1">
      <alignment horizontal="right" vertical="center"/>
    </xf>
    <xf numFmtId="0" fontId="4" fillId="0" borderId="0" xfId="0" quotePrefix="1" applyFont="1" applyAlignment="1">
      <alignment horizontal="left" vertical="center"/>
    </xf>
    <xf numFmtId="168" fontId="4" fillId="0" borderId="0" xfId="0" applyNumberFormat="1" applyFont="1" applyAlignment="1">
      <alignment horizontal="right" vertical="center"/>
    </xf>
    <xf numFmtId="167" fontId="5" fillId="0" borderId="0" xfId="0" applyNumberFormat="1" applyFont="1" applyAlignment="1">
      <alignment horizontal="right" vertical="center"/>
    </xf>
    <xf numFmtId="9" fontId="4" fillId="0" borderId="0" xfId="2" applyFont="1" applyAlignment="1">
      <alignment horizontal="right" vertical="center"/>
    </xf>
    <xf numFmtId="167" fontId="5" fillId="0" borderId="0" xfId="2" applyNumberFormat="1" applyFont="1" applyAlignment="1">
      <alignment horizontal="right" vertical="center"/>
    </xf>
    <xf numFmtId="170" fontId="4" fillId="0" borderId="0" xfId="2" applyNumberFormat="1" applyFont="1" applyAlignment="1">
      <alignment horizontal="right" vertical="center"/>
    </xf>
    <xf numFmtId="0" fontId="13" fillId="0" borderId="0" xfId="0" applyFont="1" applyAlignment="1">
      <alignment horizontal="right" vertical="center"/>
    </xf>
    <xf numFmtId="0" fontId="13" fillId="0" borderId="0" xfId="0" applyFont="1" applyAlignment="1">
      <alignment vertical="center"/>
    </xf>
    <xf numFmtId="0" fontId="21" fillId="0" borderId="0" xfId="0" quotePrefix="1" applyFont="1" applyAlignment="1">
      <alignment horizontal="left" vertical="center"/>
    </xf>
    <xf numFmtId="168" fontId="21" fillId="0" borderId="0" xfId="0" applyNumberFormat="1" applyFont="1" applyAlignment="1">
      <alignment horizontal="right" vertical="center"/>
    </xf>
    <xf numFmtId="167" fontId="21" fillId="0" borderId="0" xfId="2" quotePrefix="1" applyNumberFormat="1" applyFont="1" applyAlignment="1">
      <alignment horizontal="left" vertical="center"/>
    </xf>
    <xf numFmtId="167" fontId="13" fillId="0" borderId="0" xfId="2" applyNumberFormat="1" applyFont="1" applyAlignment="1">
      <alignment horizontal="right" vertical="center"/>
    </xf>
    <xf numFmtId="0" fontId="13" fillId="0" borderId="6" xfId="0" quotePrefix="1" applyFont="1" applyBorder="1" applyAlignment="1">
      <alignment horizontal="left" vertical="center"/>
    </xf>
    <xf numFmtId="0" fontId="13" fillId="4" borderId="7" xfId="0" quotePrefix="1" applyFont="1" applyFill="1" applyBorder="1" applyAlignment="1">
      <alignment horizontal="left" vertical="center"/>
    </xf>
    <xf numFmtId="0" fontId="13" fillId="0" borderId="7" xfId="0" quotePrefix="1" applyFont="1" applyBorder="1" applyAlignment="1">
      <alignment horizontal="left" vertical="center"/>
    </xf>
    <xf numFmtId="0" fontId="13" fillId="4" borderId="6" xfId="0" quotePrefix="1" applyFont="1" applyFill="1" applyBorder="1" applyAlignment="1">
      <alignment horizontal="left" vertical="center"/>
    </xf>
    <xf numFmtId="167" fontId="13" fillId="4" borderId="11" xfId="2" applyNumberFormat="1" applyFont="1" applyFill="1" applyBorder="1" applyAlignment="1">
      <alignment horizontal="right" vertical="center"/>
    </xf>
    <xf numFmtId="167" fontId="13" fillId="0" borderId="13" xfId="2" applyNumberFormat="1" applyFont="1" applyBorder="1" applyAlignment="1">
      <alignment horizontal="right" vertical="center"/>
    </xf>
    <xf numFmtId="167" fontId="21" fillId="4" borderId="16" xfId="2" applyNumberFormat="1" applyFont="1" applyFill="1" applyBorder="1" applyAlignment="1">
      <alignment horizontal="right" vertical="center"/>
    </xf>
    <xf numFmtId="167" fontId="13" fillId="4" borderId="10" xfId="2" applyNumberFormat="1" applyFont="1" applyFill="1" applyBorder="1" applyAlignment="1">
      <alignment horizontal="right" vertical="center"/>
    </xf>
    <xf numFmtId="167" fontId="21" fillId="4" borderId="15" xfId="2" applyNumberFormat="1" applyFont="1" applyFill="1" applyBorder="1" applyAlignment="1">
      <alignment horizontal="right" vertical="center"/>
    </xf>
    <xf numFmtId="0" fontId="21" fillId="4" borderId="8" xfId="0" quotePrefix="1" applyFont="1" applyFill="1" applyBorder="1" applyAlignment="1">
      <alignment horizontal="left" vertical="center" wrapText="1"/>
    </xf>
    <xf numFmtId="0" fontId="19" fillId="2" borderId="0" xfId="0" applyFont="1" applyFill="1"/>
    <xf numFmtId="0" fontId="20" fillId="2" borderId="0" xfId="0" quotePrefix="1" applyFont="1" applyFill="1" applyAlignment="1">
      <alignment horizontal="centerContinuous"/>
    </xf>
    <xf numFmtId="0" fontId="19" fillId="2" borderId="0" xfId="0" applyFont="1" applyFill="1" applyAlignment="1">
      <alignment horizontal="centerContinuous"/>
    </xf>
    <xf numFmtId="0" fontId="20" fillId="2" borderId="0" xfId="0" applyFont="1" applyFill="1" applyAlignment="1">
      <alignment horizontal="centerContinuous"/>
    </xf>
    <xf numFmtId="0" fontId="19" fillId="2" borderId="0" xfId="0" applyFont="1" applyFill="1" applyAlignment="1">
      <alignment horizontal="right"/>
    </xf>
    <xf numFmtId="49" fontId="13" fillId="0" borderId="0" xfId="0" applyNumberFormat="1" applyFont="1" applyAlignment="1">
      <alignment horizontal="right"/>
    </xf>
    <xf numFmtId="0" fontId="13" fillId="2" borderId="0" xfId="0" applyFont="1" applyFill="1"/>
    <xf numFmtId="168" fontId="21" fillId="2" borderId="0" xfId="0" applyNumberFormat="1" applyFont="1" applyFill="1" applyAlignment="1">
      <alignment horizontal="right" vertical="center"/>
    </xf>
    <xf numFmtId="167" fontId="21" fillId="2" borderId="0" xfId="2" applyNumberFormat="1" applyFont="1" applyFill="1" applyAlignment="1">
      <alignment horizontal="right" vertical="center"/>
    </xf>
    <xf numFmtId="167" fontId="21" fillId="2" borderId="0" xfId="0" applyNumberFormat="1" applyFont="1" applyFill="1" applyAlignment="1">
      <alignment horizontal="right" vertical="center"/>
    </xf>
    <xf numFmtId="0" fontId="13" fillId="2" borderId="0" xfId="0" quotePrefix="1" applyFont="1" applyFill="1" applyAlignment="1">
      <alignment horizontal="left" vertical="top"/>
    </xf>
    <xf numFmtId="0" fontId="13" fillId="2" borderId="0" xfId="0" applyFont="1" applyFill="1" applyAlignment="1">
      <alignment vertical="center"/>
    </xf>
    <xf numFmtId="0" fontId="13" fillId="2" borderId="0" xfId="0" applyFont="1" applyFill="1" applyAlignment="1">
      <alignment horizontal="right"/>
    </xf>
    <xf numFmtId="168" fontId="13" fillId="0" borderId="24" xfId="0" applyNumberFormat="1" applyFont="1" applyBorder="1" applyAlignment="1">
      <alignment horizontal="left"/>
    </xf>
    <xf numFmtId="168" fontId="13" fillId="4" borderId="25" xfId="0" applyNumberFormat="1" applyFont="1" applyFill="1" applyBorder="1" applyAlignment="1">
      <alignment horizontal="left" vertical="center"/>
    </xf>
    <xf numFmtId="168" fontId="13" fillId="0" borderId="25" xfId="0" applyNumberFormat="1" applyFont="1" applyBorder="1" applyAlignment="1">
      <alignment horizontal="left" vertical="center"/>
    </xf>
    <xf numFmtId="0" fontId="13" fillId="4" borderId="24" xfId="0" quotePrefix="1" applyFont="1" applyFill="1" applyBorder="1" applyAlignment="1">
      <alignment horizontal="left" vertical="center"/>
    </xf>
    <xf numFmtId="0" fontId="13" fillId="0" borderId="25" xfId="0" quotePrefix="1" applyFont="1" applyBorder="1" applyAlignment="1">
      <alignment horizontal="left" vertical="center"/>
    </xf>
    <xf numFmtId="0" fontId="21" fillId="4" borderId="26" xfId="0" quotePrefix="1" applyFont="1" applyFill="1" applyBorder="1" applyAlignment="1">
      <alignment horizontal="left" vertical="center" wrapText="1"/>
    </xf>
    <xf numFmtId="0" fontId="21" fillId="0" borderId="5" xfId="0" quotePrefix="1" applyFont="1" applyBorder="1" applyAlignment="1">
      <alignment horizontal="left" vertical="center"/>
    </xf>
    <xf numFmtId="168" fontId="21" fillId="4" borderId="23" xfId="0" applyNumberFormat="1" applyFont="1" applyFill="1" applyBorder="1" applyAlignment="1">
      <alignment horizontal="left" vertical="center"/>
    </xf>
    <xf numFmtId="0" fontId="13" fillId="2" borderId="0" xfId="0" quotePrefix="1" applyFont="1" applyFill="1" applyAlignment="1">
      <alignment horizontal="left" vertical="top" wrapText="1"/>
    </xf>
    <xf numFmtId="0" fontId="21" fillId="0" borderId="0" xfId="0" applyFont="1" applyAlignment="1">
      <alignment vertical="center"/>
    </xf>
    <xf numFmtId="0" fontId="22" fillId="2" borderId="0" xfId="0" quotePrefix="1" applyFont="1" applyFill="1" applyAlignment="1">
      <alignment horizontal="left" vertical="top"/>
    </xf>
    <xf numFmtId="4" fontId="5" fillId="2" borderId="0" xfId="0" applyNumberFormat="1" applyFont="1" applyFill="1"/>
    <xf numFmtId="167" fontId="4" fillId="2" borderId="0" xfId="2" applyNumberFormat="1" applyFont="1" applyFill="1"/>
    <xf numFmtId="0" fontId="13" fillId="2" borderId="0" xfId="0" quotePrefix="1" applyFont="1" applyFill="1" applyAlignment="1">
      <alignment vertical="center" wrapText="1"/>
    </xf>
    <xf numFmtId="0" fontId="13" fillId="2" borderId="0" xfId="0" quotePrefix="1" applyFont="1" applyFill="1" applyAlignment="1">
      <alignment vertical="top" wrapText="1"/>
    </xf>
    <xf numFmtId="0" fontId="0" fillId="2" borderId="0" xfId="0" quotePrefix="1" applyFill="1" applyAlignment="1">
      <alignment horizontal="left" vertical="top"/>
    </xf>
    <xf numFmtId="0" fontId="2" fillId="2" borderId="0" xfId="0" applyFont="1" applyFill="1" applyAlignment="1">
      <alignment horizontal="center"/>
    </xf>
    <xf numFmtId="4" fontId="13" fillId="2" borderId="0" xfId="0" applyNumberFormat="1" applyFont="1" applyFill="1"/>
    <xf numFmtId="167" fontId="21" fillId="2" borderId="0" xfId="2" applyNumberFormat="1" applyFont="1" applyFill="1"/>
    <xf numFmtId="0" fontId="21" fillId="2" borderId="0" xfId="0" applyFont="1" applyFill="1" applyAlignment="1">
      <alignment horizontal="right"/>
    </xf>
    <xf numFmtId="17" fontId="4" fillId="2" borderId="0" xfId="0" quotePrefix="1" applyNumberFormat="1" applyFont="1" applyFill="1" applyAlignment="1">
      <alignment horizontal="center"/>
    </xf>
    <xf numFmtId="0" fontId="20" fillId="2" borderId="0" xfId="0" applyFont="1" applyFill="1" applyAlignment="1">
      <alignment horizontal="center" vertical="center" wrapText="1"/>
    </xf>
    <xf numFmtId="43" fontId="9" fillId="2" borderId="0" xfId="1" applyFont="1" applyFill="1"/>
    <xf numFmtId="4" fontId="9" fillId="2" borderId="0" xfId="0" applyNumberFormat="1" applyFont="1" applyFill="1"/>
    <xf numFmtId="0" fontId="5" fillId="0" borderId="0" xfId="0" applyFont="1"/>
    <xf numFmtId="17" fontId="4" fillId="2" borderId="0" xfId="0" quotePrefix="1" applyNumberFormat="1" applyFont="1" applyFill="1" applyAlignment="1">
      <alignment horizontal="center" vertical="center"/>
    </xf>
    <xf numFmtId="1" fontId="7" fillId="0" borderId="0" xfId="0" applyNumberFormat="1" applyFont="1" applyAlignment="1">
      <alignment horizontal="center" vertical="center"/>
    </xf>
    <xf numFmtId="1" fontId="7" fillId="0" borderId="0" xfId="0" applyNumberFormat="1" applyFont="1" applyAlignment="1">
      <alignment horizontal="right" vertical="center"/>
    </xf>
    <xf numFmtId="1" fontId="7" fillId="0" borderId="0" xfId="0" applyNumberFormat="1" applyFont="1" applyAlignment="1">
      <alignment vertical="center"/>
    </xf>
    <xf numFmtId="165" fontId="7" fillId="0" borderId="0" xfId="0" applyNumberFormat="1" applyFont="1" applyAlignment="1">
      <alignment horizontal="right" vertical="center"/>
    </xf>
    <xf numFmtId="0" fontId="13" fillId="2" borderId="0" xfId="0" applyFont="1" applyFill="1" applyAlignment="1">
      <alignment horizontal="left" vertical="center"/>
    </xf>
    <xf numFmtId="0" fontId="23" fillId="2" borderId="0" xfId="0" applyFont="1" applyFill="1" applyAlignment="1">
      <alignment horizontal="right" vertical="center"/>
    </xf>
    <xf numFmtId="0" fontId="13" fillId="2" borderId="0" xfId="0" applyFont="1" applyFill="1" applyAlignment="1">
      <alignment horizontal="right" vertical="center"/>
    </xf>
    <xf numFmtId="0" fontId="24" fillId="2" borderId="0" xfId="0" applyFont="1" applyFill="1" applyAlignment="1">
      <alignment horizontal="right" vertical="center"/>
    </xf>
    <xf numFmtId="0" fontId="0" fillId="0" borderId="0" xfId="0" applyAlignment="1">
      <alignment horizontal="left" vertical="center" wrapText="1"/>
    </xf>
    <xf numFmtId="0" fontId="13" fillId="2" borderId="0" xfId="0" quotePrefix="1" applyFont="1" applyFill="1" applyAlignment="1">
      <alignment horizontal="right" vertical="top"/>
    </xf>
    <xf numFmtId="0" fontId="13" fillId="2" borderId="0" xfId="0" quotePrefix="1" applyFont="1" applyFill="1" applyAlignment="1">
      <alignment horizontal="right"/>
    </xf>
    <xf numFmtId="0" fontId="21" fillId="2" borderId="0" xfId="0" applyFont="1" applyFill="1"/>
    <xf numFmtId="0" fontId="13" fillId="2" borderId="0" xfId="0" applyFont="1" applyFill="1" applyAlignment="1">
      <alignment horizontal="centerContinuous"/>
    </xf>
    <xf numFmtId="0" fontId="13" fillId="2" borderId="0" xfId="0" applyFont="1" applyFill="1" applyAlignment="1">
      <alignment horizontal="left"/>
    </xf>
    <xf numFmtId="0" fontId="23" fillId="2" borderId="0" xfId="0" applyFont="1" applyFill="1" applyAlignment="1">
      <alignment horizontal="right"/>
    </xf>
    <xf numFmtId="0" fontId="21" fillId="2" borderId="0" xfId="0" applyFont="1" applyFill="1" applyAlignment="1">
      <alignment vertical="center" wrapText="1"/>
    </xf>
    <xf numFmtId="0" fontId="21" fillId="2" borderId="0" xfId="0" applyFont="1" applyFill="1" applyAlignment="1">
      <alignment horizontal="center" vertical="center" wrapText="1"/>
    </xf>
    <xf numFmtId="43" fontId="13" fillId="2" borderId="0" xfId="1" applyFont="1" applyFill="1"/>
    <xf numFmtId="0" fontId="4" fillId="2" borderId="0" xfId="0" applyFont="1" applyFill="1" applyAlignment="1">
      <alignment horizontal="left" vertical="center" wrapText="1"/>
    </xf>
    <xf numFmtId="0" fontId="4" fillId="2" borderId="0" xfId="0" applyFont="1" applyFill="1" applyAlignment="1">
      <alignment vertical="center" wrapText="1"/>
    </xf>
    <xf numFmtId="43" fontId="4" fillId="2" borderId="0" xfId="1" applyFont="1" applyFill="1" applyAlignment="1">
      <alignment vertical="center" wrapText="1"/>
    </xf>
    <xf numFmtId="2" fontId="4" fillId="2" borderId="0" xfId="0" applyNumberFormat="1" applyFont="1" applyFill="1" applyAlignment="1">
      <alignment vertical="center" wrapText="1"/>
    </xf>
    <xf numFmtId="0" fontId="4" fillId="2" borderId="0" xfId="0" applyFont="1" applyFill="1" applyAlignment="1">
      <alignment vertical="center"/>
    </xf>
    <xf numFmtId="43" fontId="6" fillId="2" borderId="0" xfId="1" applyFont="1" applyFill="1" applyAlignment="1">
      <alignment vertical="center"/>
    </xf>
    <xf numFmtId="0" fontId="6" fillId="2" borderId="0" xfId="0" applyFont="1" applyFill="1" applyAlignment="1">
      <alignment vertical="center"/>
    </xf>
    <xf numFmtId="2" fontId="21" fillId="2" borderId="0" xfId="0" applyNumberFormat="1" applyFont="1" applyFill="1" applyAlignment="1">
      <alignment vertical="center" wrapText="1"/>
    </xf>
    <xf numFmtId="2" fontId="21" fillId="2" borderId="0" xfId="0" applyNumberFormat="1" applyFont="1" applyFill="1"/>
    <xf numFmtId="0" fontId="5" fillId="2" borderId="0" xfId="0" applyFont="1" applyFill="1" applyAlignment="1">
      <alignment horizontal="center"/>
    </xf>
    <xf numFmtId="0" fontId="5" fillId="2" borderId="0" xfId="0" applyFont="1" applyFill="1" applyAlignment="1">
      <alignment vertical="center" wrapText="1"/>
    </xf>
    <xf numFmtId="0" fontId="4" fillId="0" borderId="0" xfId="0" applyFont="1" applyAlignment="1">
      <alignment horizontal="center"/>
    </xf>
    <xf numFmtId="0" fontId="4" fillId="0" borderId="0" xfId="0" applyFont="1" applyAlignment="1">
      <alignment horizontal="left" vertical="center" wrapText="1"/>
    </xf>
    <xf numFmtId="0" fontId="4" fillId="0" borderId="0" xfId="0" applyFont="1" applyAlignment="1">
      <alignment vertical="center" wrapText="1"/>
    </xf>
    <xf numFmtId="0" fontId="21" fillId="0" borderId="0" xfId="0" applyFont="1" applyAlignment="1">
      <alignment vertical="center" wrapText="1"/>
    </xf>
    <xf numFmtId="2" fontId="21" fillId="0" borderId="0" xfId="0" applyNumberFormat="1" applyFont="1" applyAlignment="1">
      <alignment vertical="center" wrapText="1"/>
    </xf>
    <xf numFmtId="2" fontId="4" fillId="0" borderId="0" xfId="0" applyNumberFormat="1" applyFont="1" applyAlignment="1">
      <alignment vertical="center" wrapText="1"/>
    </xf>
    <xf numFmtId="2" fontId="13" fillId="0" borderId="0" xfId="0" applyNumberFormat="1" applyFont="1"/>
    <xf numFmtId="0" fontId="5" fillId="0" borderId="0" xfId="0" quotePrefix="1" applyFont="1" applyAlignment="1">
      <alignment horizontal="left" vertical="top"/>
    </xf>
    <xf numFmtId="0" fontId="13" fillId="0" borderId="0" xfId="0" quotePrefix="1" applyFont="1" applyAlignment="1">
      <alignment horizontal="left" vertical="top"/>
    </xf>
    <xf numFmtId="0" fontId="12" fillId="0" borderId="0" xfId="0" applyFont="1" applyAlignment="1">
      <alignment vertical="center"/>
    </xf>
    <xf numFmtId="0" fontId="4" fillId="0" borderId="0" xfId="0" applyFont="1" applyAlignment="1">
      <alignment horizontal="center" vertical="center"/>
    </xf>
    <xf numFmtId="49" fontId="7" fillId="0" borderId="0" xfId="0" applyNumberFormat="1" applyFont="1" applyAlignment="1">
      <alignment horizontal="right" vertical="center"/>
    </xf>
    <xf numFmtId="49" fontId="13" fillId="0" borderId="0" xfId="0" applyNumberFormat="1" applyFont="1" applyAlignment="1">
      <alignment horizontal="center" vertical="center"/>
    </xf>
    <xf numFmtId="165" fontId="13" fillId="0" borderId="0" xfId="0" applyNumberFormat="1" applyFont="1" applyAlignment="1">
      <alignment horizontal="center" vertical="center"/>
    </xf>
    <xf numFmtId="2" fontId="13" fillId="0" borderId="0" xfId="0" applyNumberFormat="1" applyFont="1" applyAlignment="1">
      <alignment vertical="center"/>
    </xf>
    <xf numFmtId="17" fontId="21" fillId="2" borderId="0" xfId="0" quotePrefix="1" applyNumberFormat="1" applyFont="1" applyFill="1" applyAlignment="1">
      <alignment horizontal="center" vertical="center"/>
    </xf>
    <xf numFmtId="17" fontId="13" fillId="2" borderId="0" xfId="0" applyNumberFormat="1" applyFont="1" applyFill="1" applyAlignment="1">
      <alignment horizontal="centerContinuous" vertical="center"/>
    </xf>
    <xf numFmtId="0" fontId="21" fillId="2" borderId="0" xfId="0" applyFont="1" applyFill="1" applyAlignment="1">
      <alignment horizontal="centerContinuous" vertical="center"/>
    </xf>
    <xf numFmtId="0" fontId="13" fillId="2" borderId="0" xfId="0" applyFont="1" applyFill="1" applyAlignment="1">
      <alignment horizontal="centerContinuous" vertical="center"/>
    </xf>
    <xf numFmtId="17" fontId="5" fillId="2" borderId="0" xfId="0" applyNumberFormat="1" applyFont="1" applyFill="1" applyAlignment="1">
      <alignment horizontal="center"/>
    </xf>
    <xf numFmtId="0" fontId="13" fillId="2" borderId="0" xfId="0" quotePrefix="1" applyFont="1" applyFill="1" applyAlignment="1">
      <alignment horizontal="left"/>
    </xf>
    <xf numFmtId="0" fontId="13" fillId="2" borderId="0" xfId="0" applyFont="1" applyFill="1" applyAlignment="1">
      <alignment horizontal="center"/>
    </xf>
    <xf numFmtId="0" fontId="13" fillId="2" borderId="0" xfId="0" quotePrefix="1" applyFont="1" applyFill="1" applyAlignment="1">
      <alignment horizontal="center"/>
    </xf>
    <xf numFmtId="0" fontId="1" fillId="0" borderId="0" xfId="0" applyFont="1"/>
    <xf numFmtId="1" fontId="7" fillId="0" borderId="0" xfId="0" quotePrefix="1" applyNumberFormat="1" applyFont="1" applyAlignment="1">
      <alignment horizontal="centerContinuous"/>
    </xf>
    <xf numFmtId="43" fontId="13" fillId="0" borderId="0" xfId="1" applyFont="1"/>
    <xf numFmtId="17" fontId="26" fillId="2" borderId="0" xfId="0" applyNumberFormat="1" applyFont="1" applyFill="1" applyAlignment="1">
      <alignment horizontal="centerContinuous" vertical="center"/>
    </xf>
    <xf numFmtId="0" fontId="11" fillId="2" borderId="0" xfId="0" applyFont="1" applyFill="1" applyAlignment="1">
      <alignment horizontal="centerContinuous" vertical="center"/>
    </xf>
    <xf numFmtId="0" fontId="26" fillId="2" borderId="0" xfId="0" applyFont="1" applyFill="1" applyAlignment="1">
      <alignment horizontal="centerContinuous" vertical="center"/>
    </xf>
    <xf numFmtId="0" fontId="26" fillId="2" borderId="0" xfId="0" applyFont="1" applyFill="1" applyAlignment="1">
      <alignment horizontal="left" vertical="center"/>
    </xf>
    <xf numFmtId="0" fontId="0" fillId="0" borderId="0" xfId="0" applyAlignment="1">
      <alignment vertical="center" wrapText="1"/>
    </xf>
    <xf numFmtId="0" fontId="13" fillId="2" borderId="0" xfId="0" quotePrefix="1" applyFont="1" applyFill="1" applyAlignment="1">
      <alignment horizontal="left" vertical="center"/>
    </xf>
    <xf numFmtId="0" fontId="21" fillId="2" borderId="0" xfId="0" quotePrefix="1" applyFont="1" applyFill="1" applyAlignment="1">
      <alignment horizontal="left" vertical="center"/>
    </xf>
    <xf numFmtId="170" fontId="13" fillId="2" borderId="0" xfId="0" applyNumberFormat="1" applyFont="1" applyFill="1"/>
    <xf numFmtId="0" fontId="13" fillId="2" borderId="0" xfId="2" applyNumberFormat="1" applyFont="1" applyFill="1" applyAlignment="1">
      <alignment horizontal="right"/>
    </xf>
    <xf numFmtId="0" fontId="13" fillId="2" borderId="0" xfId="0" quotePrefix="1" applyFont="1" applyFill="1" applyAlignment="1">
      <alignment horizontal="left" vertical="center" indent="3"/>
    </xf>
    <xf numFmtId="0" fontId="21" fillId="2" borderId="0" xfId="2" applyNumberFormat="1" applyFont="1" applyFill="1" applyAlignment="1">
      <alignment horizontal="right"/>
    </xf>
    <xf numFmtId="0" fontId="0" fillId="2" borderId="0" xfId="0" quotePrefix="1" applyFill="1" applyAlignment="1">
      <alignment horizontal="left" vertical="center" indent="3"/>
    </xf>
    <xf numFmtId="0" fontId="29" fillId="2" borderId="0" xfId="0" applyFont="1" applyFill="1" applyAlignment="1">
      <alignment horizontal="right"/>
    </xf>
    <xf numFmtId="0" fontId="21" fillId="2" borderId="0" xfId="0" quotePrefix="1" applyFont="1" applyFill="1" applyAlignment="1">
      <alignment horizontal="left"/>
    </xf>
    <xf numFmtId="0" fontId="13" fillId="2" borderId="0" xfId="0" applyFont="1" applyFill="1" applyAlignment="1">
      <alignment horizontal="center" vertical="center"/>
    </xf>
    <xf numFmtId="0" fontId="0" fillId="0" borderId="0" xfId="0" applyAlignment="1">
      <alignment horizontal="center" vertical="center"/>
    </xf>
    <xf numFmtId="0" fontId="23" fillId="2" borderId="0" xfId="0" applyFont="1" applyFill="1"/>
    <xf numFmtId="0" fontId="23" fillId="0" borderId="0" xfId="0" applyFont="1" applyAlignment="1">
      <alignment vertical="center"/>
    </xf>
    <xf numFmtId="2" fontId="13" fillId="0" borderId="12" xfId="0" applyNumberFormat="1" applyFont="1" applyBorder="1" applyAlignment="1">
      <alignment horizontal="right" vertical="center"/>
    </xf>
    <xf numFmtId="2" fontId="13" fillId="0" borderId="0" xfId="0" applyNumberFormat="1" applyFont="1" applyAlignment="1">
      <alignment horizontal="right" vertical="center"/>
    </xf>
    <xf numFmtId="2" fontId="13" fillId="0" borderId="13" xfId="0" applyNumberFormat="1" applyFont="1" applyBorder="1" applyAlignment="1">
      <alignment horizontal="right" vertical="center"/>
    </xf>
    <xf numFmtId="2" fontId="13" fillId="4" borderId="9" xfId="0" applyNumberFormat="1" applyFont="1" applyFill="1" applyBorder="1" applyAlignment="1">
      <alignment horizontal="right" vertical="center"/>
    </xf>
    <xf numFmtId="2" fontId="13" fillId="4" borderId="10" xfId="0" applyNumberFormat="1" applyFont="1" applyFill="1" applyBorder="1" applyAlignment="1">
      <alignment horizontal="right" vertical="center"/>
    </xf>
    <xf numFmtId="10" fontId="21" fillId="0" borderId="11" xfId="2" applyNumberFormat="1" applyFont="1" applyBorder="1" applyAlignment="1">
      <alignment horizontal="right" vertical="center"/>
    </xf>
    <xf numFmtId="10" fontId="21" fillId="4" borderId="13" xfId="2" applyNumberFormat="1" applyFont="1" applyFill="1" applyBorder="1" applyAlignment="1">
      <alignment horizontal="right" vertical="center"/>
    </xf>
    <xf numFmtId="10" fontId="21" fillId="0" borderId="13" xfId="2" applyNumberFormat="1" applyFont="1" applyBorder="1" applyAlignment="1">
      <alignment horizontal="right" vertical="center"/>
    </xf>
    <xf numFmtId="10" fontId="21" fillId="0" borderId="37" xfId="2" applyNumberFormat="1" applyFont="1" applyBorder="1" applyAlignment="1">
      <alignment horizontal="right" vertical="center"/>
    </xf>
    <xf numFmtId="10" fontId="21" fillId="0" borderId="10" xfId="2" applyNumberFormat="1" applyFont="1" applyBorder="1" applyAlignment="1">
      <alignment horizontal="right" vertical="center"/>
    </xf>
    <xf numFmtId="10" fontId="21" fillId="4" borderId="0" xfId="2" applyNumberFormat="1" applyFont="1" applyFill="1" applyAlignment="1">
      <alignment horizontal="right" vertical="center"/>
    </xf>
    <xf numFmtId="10" fontId="21" fillId="0" borderId="0" xfId="2" applyNumberFormat="1" applyFont="1" applyAlignment="1">
      <alignment horizontal="right" vertical="center"/>
    </xf>
    <xf numFmtId="10" fontId="21" fillId="0" borderId="36" xfId="2" applyNumberFormat="1" applyFont="1" applyBorder="1" applyAlignment="1">
      <alignment horizontal="right" vertical="center"/>
    </xf>
    <xf numFmtId="2" fontId="21" fillId="4" borderId="14" xfId="0" applyNumberFormat="1" applyFont="1" applyFill="1" applyBorder="1" applyAlignment="1">
      <alignment horizontal="right" vertical="center"/>
    </xf>
    <xf numFmtId="2" fontId="21" fillId="4" borderId="15" xfId="0" applyNumberFormat="1" applyFont="1" applyFill="1" applyBorder="1" applyAlignment="1">
      <alignment horizontal="right" vertical="center"/>
    </xf>
    <xf numFmtId="43" fontId="13" fillId="4" borderId="0" xfId="1" applyFont="1" applyFill="1" applyAlignment="1">
      <alignment horizontal="right" vertical="center"/>
    </xf>
    <xf numFmtId="43" fontId="13" fillId="0" borderId="0" xfId="1" applyFont="1" applyAlignment="1">
      <alignment horizontal="right" vertical="center"/>
    </xf>
    <xf numFmtId="10" fontId="21" fillId="0" borderId="0" xfId="2" applyNumberFormat="1" applyFont="1" applyAlignment="1">
      <alignment horizontal="right"/>
    </xf>
    <xf numFmtId="168" fontId="13" fillId="0" borderId="25" xfId="0" applyNumberFormat="1" applyFont="1" applyBorder="1" applyAlignment="1">
      <alignment horizontal="left"/>
    </xf>
    <xf numFmtId="168" fontId="13" fillId="0" borderId="26" xfId="0" applyNumberFormat="1" applyFont="1" applyBorder="1" applyAlignment="1">
      <alignment horizontal="left"/>
    </xf>
    <xf numFmtId="10" fontId="21" fillId="0" borderId="29" xfId="2" applyNumberFormat="1" applyFont="1" applyBorder="1" applyAlignment="1">
      <alignment horizontal="right"/>
    </xf>
    <xf numFmtId="10" fontId="21" fillId="4" borderId="31" xfId="2" applyNumberFormat="1" applyFont="1" applyFill="1" applyBorder="1" applyAlignment="1">
      <alignment horizontal="right" vertical="center"/>
    </xf>
    <xf numFmtId="10" fontId="21" fillId="0" borderId="31" xfId="2" applyNumberFormat="1" applyFont="1" applyBorder="1" applyAlignment="1">
      <alignment horizontal="right"/>
    </xf>
    <xf numFmtId="10" fontId="21" fillId="0" borderId="34" xfId="2" applyNumberFormat="1" applyFont="1" applyBorder="1" applyAlignment="1">
      <alignment horizontal="right"/>
    </xf>
    <xf numFmtId="10" fontId="21" fillId="0" borderId="28" xfId="2" applyNumberFormat="1" applyFont="1" applyBorder="1" applyAlignment="1">
      <alignment horizontal="right"/>
    </xf>
    <xf numFmtId="10" fontId="21" fillId="0" borderId="33" xfId="2" applyNumberFormat="1" applyFont="1" applyBorder="1" applyAlignment="1">
      <alignment horizontal="right"/>
    </xf>
    <xf numFmtId="0" fontId="21" fillId="0" borderId="23" xfId="0" quotePrefix="1" applyFont="1" applyBorder="1" applyAlignment="1">
      <alignment horizontal="left" vertical="center"/>
    </xf>
    <xf numFmtId="10" fontId="21" fillId="0" borderId="40" xfId="2" applyNumberFormat="1" applyFont="1" applyBorder="1" applyAlignment="1">
      <alignment horizontal="right" vertical="center"/>
    </xf>
    <xf numFmtId="10" fontId="21" fillId="0" borderId="39" xfId="2" applyNumberFormat="1" applyFont="1" applyBorder="1" applyAlignment="1">
      <alignment horizontal="right" vertical="center"/>
    </xf>
    <xf numFmtId="0" fontId="21" fillId="0" borderId="23" xfId="0" quotePrefix="1" applyFont="1" applyBorder="1" applyAlignment="1">
      <alignment horizontal="left" vertical="center" wrapText="1"/>
    </xf>
    <xf numFmtId="10" fontId="21" fillId="0" borderId="38" xfId="2" applyNumberFormat="1" applyFont="1" applyBorder="1" applyAlignment="1">
      <alignment horizontal="right" vertical="center"/>
    </xf>
    <xf numFmtId="167" fontId="21" fillId="0" borderId="40" xfId="2" applyNumberFormat="1" applyFont="1" applyBorder="1" applyAlignment="1">
      <alignment horizontal="right" vertical="center"/>
    </xf>
    <xf numFmtId="0" fontId="23" fillId="2" borderId="0" xfId="0" applyFont="1" applyFill="1" applyAlignment="1">
      <alignment vertical="top"/>
    </xf>
    <xf numFmtId="0" fontId="21" fillId="2" borderId="0" xfId="0" applyFont="1" applyFill="1" applyAlignment="1">
      <alignment horizontal="left"/>
    </xf>
    <xf numFmtId="0" fontId="10" fillId="2" borderId="0" xfId="0" quotePrefix="1" applyFont="1" applyFill="1" applyAlignment="1">
      <alignment horizontal="left" vertical="center"/>
    </xf>
    <xf numFmtId="0" fontId="23" fillId="2" borderId="0" xfId="0" quotePrefix="1" applyFont="1" applyFill="1" applyAlignment="1">
      <alignment horizontal="left" vertical="top"/>
    </xf>
    <xf numFmtId="0" fontId="23" fillId="2" borderId="0" xfId="0" applyFont="1" applyFill="1" applyAlignment="1">
      <alignment vertical="center"/>
    </xf>
    <xf numFmtId="0" fontId="1" fillId="0" borderId="0" xfId="0" applyFont="1" applyAlignment="1">
      <alignment vertical="center"/>
    </xf>
    <xf numFmtId="2" fontId="27" fillId="2" borderId="72" xfId="0" applyNumberFormat="1" applyFont="1" applyFill="1" applyBorder="1" applyAlignment="1">
      <alignment horizontal="center" vertical="center" wrapText="1"/>
    </xf>
    <xf numFmtId="0" fontId="37" fillId="2" borderId="0" xfId="0" applyFont="1" applyFill="1"/>
    <xf numFmtId="0" fontId="33" fillId="2" borderId="0" xfId="0" applyFont="1" applyFill="1"/>
    <xf numFmtId="0" fontId="21" fillId="2" borderId="0" xfId="0" quotePrefix="1" applyFont="1" applyFill="1" applyAlignment="1">
      <alignment vertical="center"/>
    </xf>
    <xf numFmtId="0" fontId="30" fillId="0" borderId="0" xfId="0" applyFont="1"/>
    <xf numFmtId="0" fontId="33" fillId="0" borderId="0" xfId="0" applyFont="1" applyAlignment="1">
      <alignment vertical="center"/>
    </xf>
    <xf numFmtId="0" fontId="33" fillId="0" borderId="0" xfId="0" applyFont="1" applyAlignment="1">
      <alignment vertical="center" wrapText="1"/>
    </xf>
    <xf numFmtId="0" fontId="33" fillId="0" borderId="0" xfId="0" applyFont="1" applyAlignment="1">
      <alignment horizontal="left" vertical="center" wrapText="1"/>
    </xf>
    <xf numFmtId="174" fontId="0" fillId="0" borderId="0" xfId="0" applyNumberFormat="1"/>
    <xf numFmtId="0" fontId="3" fillId="0" borderId="0" xfId="0" applyFont="1"/>
    <xf numFmtId="0" fontId="4" fillId="0" borderId="0" xfId="0" applyFont="1"/>
    <xf numFmtId="0" fontId="33" fillId="2" borderId="0" xfId="0" applyFont="1" applyFill="1" applyAlignment="1">
      <alignment horizontal="left" vertical="center"/>
    </xf>
    <xf numFmtId="0" fontId="33" fillId="2" borderId="0" xfId="0" applyFont="1" applyFill="1" applyAlignment="1">
      <alignment vertical="center"/>
    </xf>
    <xf numFmtId="0" fontId="30" fillId="0" borderId="0" xfId="0" applyFont="1" applyAlignment="1">
      <alignment vertical="center"/>
    </xf>
    <xf numFmtId="0" fontId="33" fillId="0" borderId="0" xfId="0" applyFont="1" applyAlignment="1">
      <alignment horizontal="center" vertical="center"/>
    </xf>
    <xf numFmtId="49" fontId="27" fillId="0" borderId="0" xfId="0" applyNumberFormat="1" applyFont="1" applyAlignment="1">
      <alignment horizontal="right" vertical="center"/>
    </xf>
    <xf numFmtId="1" fontId="27" fillId="0" borderId="0" xfId="0" applyNumberFormat="1" applyFont="1" applyAlignment="1">
      <alignment horizontal="right" vertical="center"/>
    </xf>
    <xf numFmtId="49" fontId="27" fillId="0" borderId="0" xfId="0" applyNumberFormat="1" applyFont="1" applyAlignment="1">
      <alignment horizontal="center" vertical="center"/>
    </xf>
    <xf numFmtId="1" fontId="27" fillId="0" borderId="0" xfId="0" applyNumberFormat="1" applyFont="1" applyAlignment="1">
      <alignment horizontal="center" vertical="center"/>
    </xf>
    <xf numFmtId="165" fontId="27" fillId="0" borderId="0" xfId="0" applyNumberFormat="1" applyFont="1" applyAlignment="1">
      <alignment horizontal="center" vertical="center"/>
    </xf>
    <xf numFmtId="0" fontId="30" fillId="0" borderId="0" xfId="0" applyFont="1" applyAlignment="1">
      <alignment horizontal="center" vertical="center"/>
    </xf>
    <xf numFmtId="0" fontId="31" fillId="0" borderId="72" xfId="0" applyFont="1" applyBorder="1" applyAlignment="1">
      <alignment vertical="center" wrapText="1"/>
    </xf>
    <xf numFmtId="22" fontId="31" fillId="0" borderId="72" xfId="0" applyNumberFormat="1" applyFont="1" applyBorder="1" applyAlignment="1">
      <alignment horizontal="center" vertical="center" wrapText="1"/>
    </xf>
    <xf numFmtId="0" fontId="31" fillId="0" borderId="72" xfId="0" applyFont="1" applyBorder="1" applyAlignment="1">
      <alignment horizontal="center" vertical="center" wrapText="1"/>
    </xf>
    <xf numFmtId="0" fontId="42" fillId="0" borderId="0" xfId="0" applyFont="1"/>
    <xf numFmtId="0" fontId="43" fillId="0" borderId="0" xfId="0" applyFont="1" applyAlignment="1">
      <alignment vertical="center"/>
    </xf>
    <xf numFmtId="0" fontId="44" fillId="0" borderId="0" xfId="0" applyFont="1" applyAlignment="1">
      <alignment vertical="center"/>
    </xf>
    <xf numFmtId="0" fontId="45" fillId="0" borderId="0" xfId="0" applyFont="1" applyAlignment="1">
      <alignment vertical="center"/>
    </xf>
    <xf numFmtId="0" fontId="43" fillId="0" borderId="0" xfId="0" applyFont="1" applyAlignment="1">
      <alignment horizontal="center" vertical="center"/>
    </xf>
    <xf numFmtId="0" fontId="45" fillId="0" borderId="0" xfId="0" applyFont="1" applyAlignment="1">
      <alignment horizontal="justify" vertical="center"/>
    </xf>
    <xf numFmtId="0" fontId="46" fillId="0" borderId="0" xfId="0" applyFont="1" applyAlignment="1">
      <alignment vertical="center"/>
    </xf>
    <xf numFmtId="0" fontId="44" fillId="0" borderId="0" xfId="0" applyFont="1"/>
    <xf numFmtId="43" fontId="13" fillId="0" borderId="27" xfId="1" applyFont="1" applyBorder="1" applyAlignment="1">
      <alignment horizontal="right"/>
    </xf>
    <xf numFmtId="43" fontId="13" fillId="0" borderId="28" xfId="1" applyFont="1" applyBorder="1" applyAlignment="1">
      <alignment horizontal="right"/>
    </xf>
    <xf numFmtId="43" fontId="13" fillId="0" borderId="29" xfId="1" applyFont="1" applyBorder="1" applyAlignment="1">
      <alignment horizontal="right"/>
    </xf>
    <xf numFmtId="43" fontId="13" fillId="4" borderId="30" xfId="1" applyFont="1" applyFill="1" applyBorder="1" applyAlignment="1">
      <alignment horizontal="right" vertical="center"/>
    </xf>
    <xf numFmtId="43" fontId="13" fillId="4" borderId="31" xfId="1" applyFont="1" applyFill="1" applyBorder="1" applyAlignment="1">
      <alignment horizontal="right" vertical="center"/>
    </xf>
    <xf numFmtId="43" fontId="13" fillId="0" borderId="30" xfId="1" applyFont="1" applyBorder="1" applyAlignment="1">
      <alignment horizontal="right" vertical="center"/>
    </xf>
    <xf numFmtId="43" fontId="13" fillId="0" borderId="31" xfId="1" applyFont="1" applyBorder="1" applyAlignment="1">
      <alignment horizontal="right" vertical="center"/>
    </xf>
    <xf numFmtId="43" fontId="21" fillId="4" borderId="38" xfId="1" applyFont="1" applyFill="1" applyBorder="1" applyAlignment="1">
      <alignment horizontal="right" vertical="center"/>
    </xf>
    <xf numFmtId="43" fontId="21" fillId="4" borderId="39" xfId="1" applyFont="1" applyFill="1" applyBorder="1" applyAlignment="1">
      <alignment horizontal="right" vertical="center"/>
    </xf>
    <xf numFmtId="43" fontId="13" fillId="0" borderId="0" xfId="1" applyFont="1" applyAlignment="1">
      <alignment horizontal="right"/>
    </xf>
    <xf numFmtId="0" fontId="4" fillId="2" borderId="0" xfId="0" quotePrefix="1" applyFont="1" applyFill="1" applyAlignment="1">
      <alignment horizontal="left" vertical="top"/>
    </xf>
    <xf numFmtId="0" fontId="47" fillId="0" borderId="0" xfId="0" applyFont="1"/>
    <xf numFmtId="0" fontId="21" fillId="2" borderId="0" xfId="0" quotePrefix="1" applyFont="1" applyFill="1" applyAlignment="1">
      <alignment horizontal="left" vertical="top"/>
    </xf>
    <xf numFmtId="0" fontId="13" fillId="2" borderId="0" xfId="0" applyFont="1" applyFill="1" applyAlignment="1">
      <alignment vertical="top"/>
    </xf>
    <xf numFmtId="17" fontId="21" fillId="2" borderId="0" xfId="0" quotePrefix="1" applyNumberFormat="1" applyFont="1" applyFill="1" applyAlignment="1">
      <alignment horizontal="center"/>
    </xf>
    <xf numFmtId="17" fontId="13" fillId="2" borderId="0" xfId="0" applyNumberFormat="1" applyFont="1" applyFill="1" applyAlignment="1">
      <alignment horizontal="centerContinuous"/>
    </xf>
    <xf numFmtId="0" fontId="21" fillId="2" borderId="0" xfId="0" applyFont="1" applyFill="1" applyAlignment="1">
      <alignment horizontal="centerContinuous"/>
    </xf>
    <xf numFmtId="0" fontId="5" fillId="2" borderId="0" xfId="0" applyFont="1" applyFill="1" applyAlignment="1">
      <alignment vertical="top"/>
    </xf>
    <xf numFmtId="0" fontId="5" fillId="2" borderId="0" xfId="0" quotePrefix="1" applyFont="1" applyFill="1" applyAlignment="1">
      <alignment horizontal="right" vertical="top"/>
    </xf>
    <xf numFmtId="0" fontId="49" fillId="0" borderId="0" xfId="0" applyFont="1" applyAlignment="1">
      <alignment vertical="center"/>
    </xf>
    <xf numFmtId="0" fontId="50" fillId="0" borderId="0" xfId="0" applyFont="1" applyAlignment="1">
      <alignment vertical="center"/>
    </xf>
    <xf numFmtId="0" fontId="51" fillId="0" borderId="0" xfId="0" applyFont="1" applyAlignment="1">
      <alignment vertical="center"/>
    </xf>
    <xf numFmtId="0" fontId="51" fillId="0" borderId="0" xfId="0" applyFont="1" applyAlignment="1">
      <alignment horizontal="right" vertical="center"/>
    </xf>
    <xf numFmtId="0" fontId="49" fillId="0" borderId="0" xfId="0" applyFont="1" applyAlignment="1">
      <alignment horizontal="center" vertical="center"/>
    </xf>
    <xf numFmtId="0" fontId="51" fillId="0" borderId="0" xfId="0" applyFont="1" applyAlignment="1">
      <alignment horizontal="justify" vertical="center"/>
    </xf>
    <xf numFmtId="2" fontId="52" fillId="0" borderId="0" xfId="0" applyNumberFormat="1" applyFont="1" applyAlignment="1">
      <alignment vertical="center"/>
    </xf>
    <xf numFmtId="0" fontId="52" fillId="0" borderId="0" xfId="0" quotePrefix="1" applyFont="1" applyAlignment="1">
      <alignment vertical="center" wrapText="1"/>
    </xf>
    <xf numFmtId="0" fontId="52" fillId="0" borderId="0" xfId="0" applyFont="1" applyAlignment="1">
      <alignment vertical="center"/>
    </xf>
    <xf numFmtId="14" fontId="49" fillId="0" borderId="0" xfId="0" applyNumberFormat="1" applyFont="1" applyAlignment="1">
      <alignment vertical="center"/>
    </xf>
    <xf numFmtId="0" fontId="48" fillId="0" borderId="0" xfId="0" applyFont="1" applyAlignment="1">
      <alignment vertical="center"/>
    </xf>
    <xf numFmtId="1" fontId="53" fillId="0" borderId="0" xfId="0" applyNumberFormat="1" applyFont="1" applyAlignment="1">
      <alignment horizontal="center" vertical="center"/>
    </xf>
    <xf numFmtId="171" fontId="54" fillId="6" borderId="0" xfId="3" applyFont="1" applyFill="1"/>
    <xf numFmtId="0" fontId="50" fillId="0" borderId="0" xfId="0" applyFont="1"/>
    <xf numFmtId="1" fontId="55" fillId="0" borderId="0" xfId="3" applyNumberFormat="1" applyFont="1" applyAlignment="1">
      <alignment horizontal="center"/>
    </xf>
    <xf numFmtId="172" fontId="55" fillId="0" borderId="0" xfId="3" applyNumberFormat="1" applyFont="1" applyAlignment="1">
      <alignment horizontal="center"/>
    </xf>
    <xf numFmtId="2" fontId="56" fillId="0" borderId="0" xfId="3" applyNumberFormat="1" applyFont="1"/>
    <xf numFmtId="165" fontId="53" fillId="0" borderId="0" xfId="0" applyNumberFormat="1" applyFont="1" applyAlignment="1">
      <alignment horizontal="right" vertical="center"/>
    </xf>
    <xf numFmtId="166" fontId="53" fillId="0" borderId="0" xfId="0" applyNumberFormat="1" applyFont="1" applyAlignment="1">
      <alignment horizontal="right" vertical="center"/>
    </xf>
    <xf numFmtId="167" fontId="53" fillId="0" borderId="0" xfId="2" applyNumberFormat="1" applyFont="1" applyAlignment="1">
      <alignment horizontal="right" vertical="center"/>
    </xf>
    <xf numFmtId="2" fontId="56" fillId="2" borderId="0" xfId="3" applyNumberFormat="1" applyFont="1" applyFill="1"/>
    <xf numFmtId="0" fontId="53" fillId="0" borderId="0" xfId="0" applyFont="1" applyAlignment="1">
      <alignment vertical="center"/>
    </xf>
    <xf numFmtId="2" fontId="57" fillId="0" borderId="0" xfId="0" applyNumberFormat="1" applyFont="1"/>
    <xf numFmtId="2" fontId="56" fillId="0" borderId="0" xfId="3" applyNumberFormat="1" applyFont="1" applyAlignment="1">
      <alignment horizontal="center"/>
    </xf>
    <xf numFmtId="0" fontId="58" fillId="0" borderId="0" xfId="0" applyFont="1" applyAlignment="1">
      <alignment vertical="center"/>
    </xf>
    <xf numFmtId="49" fontId="31" fillId="0" borderId="0" xfId="0" applyNumberFormat="1" applyFont="1" applyAlignment="1">
      <alignment horizontal="center"/>
    </xf>
    <xf numFmtId="0" fontId="31" fillId="0" borderId="0" xfId="0" applyFont="1"/>
    <xf numFmtId="1" fontId="0" fillId="0" borderId="0" xfId="0" applyNumberFormat="1"/>
    <xf numFmtId="1" fontId="31" fillId="0" borderId="0" xfId="0" applyNumberFormat="1" applyFont="1" applyAlignment="1">
      <alignment horizontal="right"/>
    </xf>
    <xf numFmtId="0" fontId="31" fillId="0" borderId="0" xfId="0" applyFont="1" applyAlignment="1">
      <alignment horizontal="right"/>
    </xf>
    <xf numFmtId="165" fontId="0" fillId="0" borderId="0" xfId="0" applyNumberFormat="1" applyAlignment="1">
      <alignment horizontal="right"/>
    </xf>
    <xf numFmtId="49" fontId="31" fillId="0" borderId="0" xfId="0" applyNumberFormat="1" applyFont="1" applyAlignment="1">
      <alignment horizontal="right"/>
    </xf>
    <xf numFmtId="165" fontId="31" fillId="0" borderId="0" xfId="0" applyNumberFormat="1" applyFont="1" applyAlignment="1">
      <alignment horizontal="right"/>
    </xf>
    <xf numFmtId="167" fontId="0" fillId="0" borderId="0" xfId="2" applyNumberFormat="1" applyFont="1" applyAlignment="1">
      <alignment horizontal="right"/>
    </xf>
    <xf numFmtId="166" fontId="0" fillId="0" borderId="0" xfId="0" applyNumberFormat="1" applyAlignment="1">
      <alignment horizontal="right"/>
    </xf>
    <xf numFmtId="0" fontId="59" fillId="0" borderId="0" xfId="0" applyFont="1" applyAlignment="1">
      <alignment vertical="center"/>
    </xf>
    <xf numFmtId="0" fontId="59" fillId="0" borderId="0" xfId="0" quotePrefix="1" applyFont="1" applyAlignment="1">
      <alignment vertical="center" wrapText="1"/>
    </xf>
    <xf numFmtId="43" fontId="13" fillId="0" borderId="10" xfId="1" applyFont="1" applyBorder="1" applyAlignment="1">
      <alignment horizontal="right" vertical="center"/>
    </xf>
    <xf numFmtId="43" fontId="21" fillId="0" borderId="36" xfId="0" applyNumberFormat="1" applyFont="1" applyBorder="1" applyAlignment="1">
      <alignment horizontal="right" vertical="center"/>
    </xf>
    <xf numFmtId="2" fontId="0" fillId="4" borderId="10" xfId="0" applyNumberFormat="1" applyFill="1" applyBorder="1" applyAlignment="1">
      <alignment horizontal="right" vertical="center"/>
    </xf>
    <xf numFmtId="2" fontId="13" fillId="4" borderId="11" xfId="0" applyNumberFormat="1" applyFont="1" applyFill="1" applyBorder="1" applyAlignment="1">
      <alignment horizontal="right" vertical="center"/>
    </xf>
    <xf numFmtId="43" fontId="13" fillId="0" borderId="9" xfId="1" applyFont="1" applyBorder="1" applyAlignment="1">
      <alignment horizontal="right" vertical="center"/>
    </xf>
    <xf numFmtId="43" fontId="13" fillId="0" borderId="11" xfId="1" applyFont="1" applyBorder="1" applyAlignment="1">
      <alignment horizontal="right" vertical="center"/>
    </xf>
    <xf numFmtId="43" fontId="13" fillId="4" borderId="12" xfId="1" applyFont="1" applyFill="1" applyBorder="1" applyAlignment="1">
      <alignment horizontal="right" vertical="center"/>
    </xf>
    <xf numFmtId="43" fontId="13" fillId="4" borderId="13" xfId="1" applyFont="1" applyFill="1" applyBorder="1" applyAlignment="1">
      <alignment horizontal="right" vertical="center"/>
    </xf>
    <xf numFmtId="43" fontId="13" fillId="0" borderId="12" xfId="1" applyFont="1" applyBorder="1" applyAlignment="1">
      <alignment horizontal="right" vertical="center"/>
    </xf>
    <xf numFmtId="43" fontId="13" fillId="0" borderId="13" xfId="1" applyFont="1" applyBorder="1" applyAlignment="1">
      <alignment horizontal="right" vertical="center"/>
    </xf>
    <xf numFmtId="43" fontId="21" fillId="0" borderId="35" xfId="0" applyNumberFormat="1" applyFont="1" applyBorder="1" applyAlignment="1">
      <alignment horizontal="right" vertical="center"/>
    </xf>
    <xf numFmtId="43" fontId="21" fillId="0" borderId="37" xfId="0" applyNumberFormat="1" applyFont="1" applyBorder="1" applyAlignment="1">
      <alignment horizontal="right" vertical="center"/>
    </xf>
    <xf numFmtId="43" fontId="0" fillId="0" borderId="9" xfId="1" applyFont="1" applyBorder="1" applyAlignment="1">
      <alignment horizontal="right" vertical="center"/>
    </xf>
    <xf numFmtId="43" fontId="0" fillId="4" borderId="12" xfId="1" applyFont="1" applyFill="1" applyBorder="1" applyAlignment="1">
      <alignment horizontal="right" vertical="center"/>
    </xf>
    <xf numFmtId="43" fontId="0" fillId="0" borderId="12" xfId="1" applyFont="1" applyBorder="1" applyAlignment="1">
      <alignment horizontal="right" vertical="center"/>
    </xf>
    <xf numFmtId="2" fontId="21" fillId="0" borderId="38" xfId="0" applyNumberFormat="1" applyFont="1" applyBorder="1" applyAlignment="1">
      <alignment horizontal="right" vertical="center"/>
    </xf>
    <xf numFmtId="2" fontId="21" fillId="0" borderId="39" xfId="0" applyNumberFormat="1" applyFont="1" applyBorder="1" applyAlignment="1">
      <alignment horizontal="right" vertical="center"/>
    </xf>
    <xf numFmtId="2" fontId="3" fillId="0" borderId="40" xfId="0" applyNumberFormat="1" applyFont="1" applyBorder="1" applyAlignment="1">
      <alignment horizontal="right" vertical="center"/>
    </xf>
    <xf numFmtId="2" fontId="3" fillId="0" borderId="38" xfId="0" applyNumberFormat="1" applyFont="1" applyBorder="1" applyAlignment="1">
      <alignment horizontal="right" vertical="center"/>
    </xf>
    <xf numFmtId="43" fontId="0" fillId="0" borderId="0" xfId="0" applyNumberFormat="1"/>
    <xf numFmtId="2" fontId="50" fillId="0" borderId="0" xfId="0" applyNumberFormat="1" applyFont="1" applyAlignment="1">
      <alignment vertical="center"/>
    </xf>
    <xf numFmtId="2" fontId="51" fillId="0" borderId="0" xfId="0" applyNumberFormat="1" applyFont="1" applyAlignment="1">
      <alignment vertical="center"/>
    </xf>
    <xf numFmtId="22" fontId="60" fillId="0" borderId="72" xfId="0" applyNumberFormat="1" applyFont="1" applyBorder="1" applyAlignment="1">
      <alignment horizontal="center" vertical="center" wrapText="1"/>
    </xf>
    <xf numFmtId="0" fontId="60" fillId="0" borderId="72" xfId="0" applyFont="1" applyBorder="1" applyAlignment="1">
      <alignment horizontal="justify" vertical="center" wrapText="1"/>
    </xf>
    <xf numFmtId="0" fontId="60" fillId="0" borderId="72" xfId="0" applyFont="1" applyBorder="1" applyAlignment="1">
      <alignment horizontal="center" vertical="center" wrapText="1"/>
    </xf>
    <xf numFmtId="10" fontId="32" fillId="3" borderId="45" xfId="2" applyNumberFormat="1" applyFont="1" applyFill="1" applyBorder="1" applyAlignment="1">
      <alignment vertical="center"/>
    </xf>
    <xf numFmtId="0" fontId="27" fillId="0" borderId="62" xfId="0" applyFont="1" applyBorder="1" applyAlignment="1">
      <alignment vertical="center"/>
    </xf>
    <xf numFmtId="166" fontId="27" fillId="0" borderId="62" xfId="0" applyNumberFormat="1" applyFont="1" applyBorder="1" applyAlignment="1">
      <alignment vertical="center"/>
    </xf>
    <xf numFmtId="0" fontId="32" fillId="3" borderId="0" xfId="0" applyFont="1" applyFill="1" applyAlignment="1">
      <alignment vertical="center"/>
    </xf>
    <xf numFmtId="10" fontId="32" fillId="3" borderId="0" xfId="2" applyNumberFormat="1" applyFont="1" applyFill="1" applyAlignment="1">
      <alignment vertical="center"/>
    </xf>
    <xf numFmtId="0" fontId="27" fillId="2" borderId="61" xfId="0" applyFont="1" applyFill="1" applyBorder="1" applyAlignment="1">
      <alignment vertical="center"/>
    </xf>
    <xf numFmtId="170" fontId="27" fillId="2" borderId="61" xfId="0" applyNumberFormat="1" applyFont="1" applyFill="1" applyBorder="1" applyAlignment="1">
      <alignment vertical="center"/>
    </xf>
    <xf numFmtId="167" fontId="33" fillId="2" borderId="61" xfId="2" applyNumberFormat="1" applyFont="1" applyFill="1" applyBorder="1" applyAlignment="1">
      <alignment vertical="center"/>
    </xf>
    <xf numFmtId="0" fontId="27" fillId="4" borderId="62" xfId="0" applyFont="1" applyFill="1" applyBorder="1" applyAlignment="1">
      <alignment vertical="center"/>
    </xf>
    <xf numFmtId="170" fontId="27" fillId="4" borderId="62" xfId="0" applyNumberFormat="1" applyFont="1" applyFill="1" applyBorder="1" applyAlignment="1">
      <alignment vertical="center"/>
    </xf>
    <xf numFmtId="167" fontId="33" fillId="4" borderId="62" xfId="2" applyNumberFormat="1" applyFont="1" applyFill="1" applyBorder="1" applyAlignment="1">
      <alignment vertical="center"/>
    </xf>
    <xf numFmtId="0" fontId="27" fillId="2" borderId="62" xfId="0" applyFont="1" applyFill="1" applyBorder="1" applyAlignment="1">
      <alignment vertical="center"/>
    </xf>
    <xf numFmtId="170" fontId="27" fillId="2" borderId="62" xfId="0" applyNumberFormat="1" applyFont="1" applyFill="1" applyBorder="1" applyAlignment="1">
      <alignment vertical="center"/>
    </xf>
    <xf numFmtId="167" fontId="33" fillId="2" borderId="62" xfId="2" applyNumberFormat="1" applyFont="1" applyFill="1" applyBorder="1" applyAlignment="1">
      <alignment vertical="center"/>
    </xf>
    <xf numFmtId="0" fontId="27" fillId="2" borderId="63" xfId="0" applyFont="1" applyFill="1" applyBorder="1" applyAlignment="1">
      <alignment vertical="center"/>
    </xf>
    <xf numFmtId="170" fontId="27" fillId="2" borderId="63" xfId="0" applyNumberFormat="1" applyFont="1" applyFill="1" applyBorder="1" applyAlignment="1">
      <alignment vertical="center"/>
    </xf>
    <xf numFmtId="167" fontId="33" fillId="2" borderId="63" xfId="2" applyNumberFormat="1" applyFont="1" applyFill="1" applyBorder="1" applyAlignment="1">
      <alignment vertical="center"/>
    </xf>
    <xf numFmtId="0" fontId="27" fillId="4" borderId="64" xfId="0" applyFont="1" applyFill="1" applyBorder="1" applyAlignment="1">
      <alignment vertical="center"/>
    </xf>
    <xf numFmtId="170" fontId="27" fillId="4" borderId="64" xfId="0" applyNumberFormat="1" applyFont="1" applyFill="1" applyBorder="1" applyAlignment="1">
      <alignment vertical="center"/>
    </xf>
    <xf numFmtId="167" fontId="33" fillId="4" borderId="64" xfId="2" applyNumberFormat="1" applyFont="1" applyFill="1" applyBorder="1" applyAlignment="1">
      <alignment vertical="center"/>
    </xf>
    <xf numFmtId="0" fontId="27" fillId="2" borderId="64" xfId="0" applyFont="1" applyFill="1" applyBorder="1" applyAlignment="1">
      <alignment vertical="center"/>
    </xf>
    <xf numFmtId="170" fontId="27" fillId="2" borderId="64" xfId="0" applyNumberFormat="1" applyFont="1" applyFill="1" applyBorder="1" applyAlignment="1">
      <alignment vertical="center"/>
    </xf>
    <xf numFmtId="167" fontId="33" fillId="2" borderId="64" xfId="2" applyNumberFormat="1" applyFont="1" applyFill="1" applyBorder="1" applyAlignment="1">
      <alignment vertical="center"/>
    </xf>
    <xf numFmtId="0" fontId="27" fillId="4" borderId="100" xfId="0" applyFont="1" applyFill="1" applyBorder="1" applyAlignment="1">
      <alignment vertical="center"/>
    </xf>
    <xf numFmtId="170" fontId="27" fillId="4" borderId="100" xfId="0" applyNumberFormat="1" applyFont="1" applyFill="1" applyBorder="1" applyAlignment="1">
      <alignment vertical="center"/>
    </xf>
    <xf numFmtId="167" fontId="33" fillId="4" borderId="100" xfId="2" applyNumberFormat="1" applyFont="1" applyFill="1" applyBorder="1" applyAlignment="1">
      <alignment vertical="center"/>
    </xf>
    <xf numFmtId="0" fontId="27" fillId="2" borderId="0" xfId="0" applyFont="1" applyFill="1" applyAlignment="1">
      <alignment vertical="center"/>
    </xf>
    <xf numFmtId="167" fontId="33" fillId="2" borderId="47" xfId="2" applyNumberFormat="1" applyFont="1" applyFill="1" applyBorder="1" applyAlignment="1">
      <alignment vertical="center"/>
    </xf>
    <xf numFmtId="0" fontId="27" fillId="4" borderId="0" xfId="0" applyFont="1" applyFill="1" applyAlignment="1">
      <alignment vertical="center"/>
    </xf>
    <xf numFmtId="167" fontId="33" fillId="4" borderId="47" xfId="2" applyNumberFormat="1" applyFont="1" applyFill="1" applyBorder="1" applyAlignment="1">
      <alignment vertical="center"/>
    </xf>
    <xf numFmtId="167" fontId="40" fillId="4" borderId="47" xfId="2" applyNumberFormat="1" applyFont="1" applyFill="1" applyBorder="1" applyAlignment="1">
      <alignment vertical="center"/>
    </xf>
    <xf numFmtId="0" fontId="27" fillId="2" borderId="48" xfId="0" applyFont="1" applyFill="1" applyBorder="1" applyAlignment="1">
      <alignment vertical="center"/>
    </xf>
    <xf numFmtId="0" fontId="27" fillId="4" borderId="49" xfId="0" applyFont="1" applyFill="1" applyBorder="1" applyAlignment="1">
      <alignment vertical="center"/>
    </xf>
    <xf numFmtId="0" fontId="27" fillId="2" borderId="49" xfId="0" applyFont="1" applyFill="1" applyBorder="1" applyAlignment="1">
      <alignment vertical="center"/>
    </xf>
    <xf numFmtId="167" fontId="33" fillId="2" borderId="51" xfId="2" applyNumberFormat="1" applyFont="1" applyFill="1" applyBorder="1" applyAlignment="1">
      <alignment vertical="center"/>
    </xf>
    <xf numFmtId="0" fontId="27" fillId="4" borderId="52" xfId="0" applyFont="1" applyFill="1" applyBorder="1" applyAlignment="1">
      <alignment vertical="center"/>
    </xf>
    <xf numFmtId="0" fontId="37" fillId="2" borderId="0" xfId="0" applyFont="1" applyFill="1" applyAlignment="1">
      <alignment horizontal="left" vertical="center"/>
    </xf>
    <xf numFmtId="170" fontId="0" fillId="0" borderId="0" xfId="0" applyNumberFormat="1" applyAlignment="1">
      <alignment horizontal="center" vertical="center"/>
    </xf>
    <xf numFmtId="0" fontId="62" fillId="2" borderId="0" xfId="0" quotePrefix="1" applyFont="1" applyFill="1" applyAlignment="1">
      <alignment horizontal="left" vertical="center"/>
    </xf>
    <xf numFmtId="170" fontId="13" fillId="2" borderId="0" xfId="0" applyNumberFormat="1" applyFont="1" applyFill="1" applyAlignment="1">
      <alignment horizontal="right"/>
    </xf>
    <xf numFmtId="10" fontId="21" fillId="0" borderId="31" xfId="2" applyNumberFormat="1" applyFont="1" applyBorder="1" applyAlignment="1">
      <alignment horizontal="right" vertical="center"/>
    </xf>
    <xf numFmtId="10" fontId="21" fillId="4" borderId="40" xfId="2" applyNumberFormat="1" applyFont="1" applyFill="1" applyBorder="1" applyAlignment="1">
      <alignment horizontal="right" vertical="center"/>
    </xf>
    <xf numFmtId="2" fontId="21" fillId="4" borderId="16" xfId="0" applyNumberFormat="1" applyFont="1" applyFill="1" applyBorder="1" applyAlignment="1">
      <alignment horizontal="right" vertical="center"/>
    </xf>
    <xf numFmtId="43" fontId="27" fillId="2" borderId="46" xfId="1" applyFont="1" applyFill="1" applyBorder="1" applyAlignment="1">
      <alignment vertical="center"/>
    </xf>
    <xf numFmtId="43" fontId="27" fillId="2" borderId="46" xfId="0" applyNumberFormat="1" applyFont="1" applyFill="1" applyBorder="1" applyAlignment="1">
      <alignment vertical="center"/>
    </xf>
    <xf numFmtId="43" fontId="27" fillId="4" borderId="46" xfId="0" applyNumberFormat="1" applyFont="1" applyFill="1" applyBorder="1" applyAlignment="1">
      <alignment vertical="center"/>
    </xf>
    <xf numFmtId="43" fontId="27" fillId="2" borderId="50" xfId="0" applyNumberFormat="1" applyFont="1" applyFill="1" applyBorder="1" applyAlignment="1">
      <alignment vertical="center"/>
    </xf>
    <xf numFmtId="0" fontId="30" fillId="7" borderId="0" xfId="0" applyFont="1" applyFill="1"/>
    <xf numFmtId="0" fontId="0" fillId="7" borderId="0" xfId="0" applyFill="1"/>
    <xf numFmtId="0" fontId="63" fillId="0" borderId="0" xfId="0" applyFont="1"/>
    <xf numFmtId="43" fontId="21" fillId="2" borderId="0" xfId="1" applyFont="1" applyFill="1" applyAlignment="1">
      <alignment horizontal="right"/>
    </xf>
    <xf numFmtId="43" fontId="21" fillId="0" borderId="38" xfId="1" applyFont="1" applyBorder="1" applyAlignment="1">
      <alignment horizontal="right" vertical="center"/>
    </xf>
    <xf numFmtId="43" fontId="21" fillId="0" borderId="39" xfId="1" applyFont="1" applyBorder="1" applyAlignment="1">
      <alignment horizontal="right" vertical="center"/>
    </xf>
    <xf numFmtId="43" fontId="13" fillId="0" borderId="30" xfId="1" applyFont="1" applyBorder="1" applyAlignment="1">
      <alignment horizontal="right"/>
    </xf>
    <xf numFmtId="43" fontId="13" fillId="0" borderId="31" xfId="1" applyFont="1" applyBorder="1" applyAlignment="1">
      <alignment horizontal="right"/>
    </xf>
    <xf numFmtId="43" fontId="13" fillId="0" borderId="32" xfId="1" applyFont="1" applyBorder="1" applyAlignment="1">
      <alignment horizontal="right"/>
    </xf>
    <xf numFmtId="43" fontId="13" fillId="0" borderId="33" xfId="1" applyFont="1" applyBorder="1" applyAlignment="1">
      <alignment horizontal="right"/>
    </xf>
    <xf numFmtId="43" fontId="13" fillId="0" borderId="34" xfId="1" applyFont="1" applyBorder="1" applyAlignment="1">
      <alignment horizontal="right"/>
    </xf>
    <xf numFmtId="0" fontId="64" fillId="0" borderId="0" xfId="0" applyFont="1"/>
    <xf numFmtId="0" fontId="65" fillId="0" borderId="0" xfId="0" applyFont="1"/>
    <xf numFmtId="0" fontId="65" fillId="0" borderId="0" xfId="0" applyFont="1" applyAlignment="1">
      <alignment horizontal="center"/>
    </xf>
    <xf numFmtId="166" fontId="65" fillId="0" borderId="0" xfId="0" applyNumberFormat="1" applyFont="1"/>
    <xf numFmtId="171" fontId="66" fillId="6" borderId="0" xfId="3" applyFont="1" applyFill="1"/>
    <xf numFmtId="172" fontId="66" fillId="6" borderId="0" xfId="3" applyNumberFormat="1" applyFont="1" applyFill="1"/>
    <xf numFmtId="1" fontId="67" fillId="0" borderId="0" xfId="3" applyNumberFormat="1" applyFont="1" applyAlignment="1">
      <alignment horizontal="center"/>
    </xf>
    <xf numFmtId="172" fontId="67" fillId="0" borderId="0" xfId="3" applyNumberFormat="1" applyFont="1" applyAlignment="1">
      <alignment horizontal="center"/>
    </xf>
    <xf numFmtId="2" fontId="68" fillId="0" borderId="0" xfId="3" applyNumberFormat="1" applyFont="1"/>
    <xf numFmtId="2" fontId="68" fillId="0" borderId="0" xfId="3" applyNumberFormat="1" applyFont="1" applyAlignment="1">
      <alignment horizontal="center"/>
    </xf>
    <xf numFmtId="0" fontId="65" fillId="0" borderId="0" xfId="0" applyFont="1" applyAlignment="1">
      <alignment vertical="center"/>
    </xf>
    <xf numFmtId="2" fontId="68" fillId="2" borderId="0" xfId="3" applyNumberFormat="1" applyFont="1" applyFill="1"/>
    <xf numFmtId="2" fontId="69" fillId="0" borderId="0" xfId="0" applyNumberFormat="1" applyFont="1"/>
    <xf numFmtId="2" fontId="70" fillId="0" borderId="0" xfId="4" applyNumberFormat="1" applyFont="1"/>
    <xf numFmtId="0" fontId="31" fillId="0" borderId="89" xfId="0" applyFont="1" applyBorder="1"/>
    <xf numFmtId="43" fontId="31" fillId="0" borderId="89" xfId="1" applyFont="1" applyBorder="1"/>
    <xf numFmtId="43" fontId="31" fillId="0" borderId="0" xfId="0" applyNumberFormat="1" applyFont="1"/>
    <xf numFmtId="0" fontId="61" fillId="0" borderId="0" xfId="0" applyFont="1" applyAlignment="1">
      <alignment vertical="center"/>
    </xf>
    <xf numFmtId="0" fontId="61" fillId="0" borderId="0" xfId="0" applyFont="1" applyAlignment="1">
      <alignment horizontal="center"/>
    </xf>
    <xf numFmtId="0" fontId="61" fillId="0" borderId="0" xfId="0" applyFont="1" applyAlignment="1">
      <alignment vertical="center" wrapText="1"/>
    </xf>
    <xf numFmtId="0" fontId="61" fillId="0" borderId="0" xfId="0" applyFont="1" applyAlignment="1">
      <alignment horizontal="left" vertical="center" wrapText="1"/>
    </xf>
    <xf numFmtId="49" fontId="62" fillId="0" borderId="0" xfId="0" applyNumberFormat="1" applyFont="1" applyAlignment="1">
      <alignment horizontal="right"/>
    </xf>
    <xf numFmtId="43" fontId="31" fillId="0" borderId="89" xfId="0" applyNumberFormat="1" applyFont="1" applyBorder="1"/>
    <xf numFmtId="1" fontId="62" fillId="0" borderId="0" xfId="0" applyNumberFormat="1" applyFont="1" applyAlignment="1">
      <alignment horizontal="right"/>
    </xf>
    <xf numFmtId="49" fontId="62" fillId="0" borderId="0" xfId="0" applyNumberFormat="1" applyFont="1" applyAlignment="1">
      <alignment horizontal="center"/>
    </xf>
    <xf numFmtId="1" fontId="62" fillId="0" borderId="0" xfId="0" applyNumberFormat="1" applyFont="1" applyAlignment="1">
      <alignment horizontal="center"/>
    </xf>
    <xf numFmtId="165" fontId="62" fillId="0" borderId="0" xfId="0" applyNumberFormat="1" applyFont="1" applyAlignment="1">
      <alignment horizontal="center"/>
    </xf>
    <xf numFmtId="0" fontId="31" fillId="0" borderId="0" xfId="0" applyFont="1" applyAlignment="1">
      <alignment horizontal="center"/>
    </xf>
    <xf numFmtId="0" fontId="62" fillId="0" borderId="0" xfId="0" applyFont="1" applyAlignment="1">
      <alignment vertical="center"/>
    </xf>
    <xf numFmtId="0" fontId="62" fillId="0" borderId="0" xfId="0" quotePrefix="1" applyFont="1" applyAlignment="1">
      <alignment horizontal="left" vertical="top"/>
    </xf>
    <xf numFmtId="166" fontId="65" fillId="0" borderId="0" xfId="0" applyNumberFormat="1" applyFont="1" applyAlignment="1">
      <alignment horizontal="right"/>
    </xf>
    <xf numFmtId="0" fontId="73" fillId="0" borderId="0" xfId="0" applyFont="1" applyAlignment="1">
      <alignment horizontal="right"/>
    </xf>
    <xf numFmtId="0" fontId="63" fillId="0" borderId="0" xfId="0" applyFont="1" applyAlignment="1">
      <alignment horizontal="right"/>
    </xf>
    <xf numFmtId="168" fontId="31" fillId="2" borderId="84" xfId="0" applyNumberFormat="1" applyFont="1" applyFill="1" applyBorder="1" applyAlignment="1">
      <alignment horizontal="center" vertical="center" wrapText="1"/>
    </xf>
    <xf numFmtId="0" fontId="31" fillId="2" borderId="84" xfId="2" applyNumberFormat="1" applyFont="1" applyFill="1" applyBorder="1" applyAlignment="1">
      <alignment horizontal="center" vertical="center" wrapText="1"/>
    </xf>
    <xf numFmtId="2" fontId="31" fillId="2" borderId="84" xfId="2" applyNumberFormat="1" applyFont="1" applyFill="1" applyBorder="1" applyAlignment="1">
      <alignment horizontal="center" vertical="center" wrapText="1"/>
    </xf>
    <xf numFmtId="4" fontId="31" fillId="2" borderId="84" xfId="0" applyNumberFormat="1" applyFont="1" applyFill="1" applyBorder="1" applyAlignment="1">
      <alignment horizontal="center" vertical="center" wrapText="1"/>
    </xf>
    <xf numFmtId="0" fontId="31" fillId="2" borderId="84" xfId="0" applyFont="1" applyFill="1" applyBorder="1" applyAlignment="1">
      <alignment horizontal="center" vertical="center" wrapText="1"/>
    </xf>
    <xf numFmtId="170" fontId="31" fillId="5" borderId="24" xfId="0" applyNumberFormat="1" applyFont="1" applyFill="1" applyBorder="1" applyAlignment="1">
      <alignment horizontal="center" vertical="center"/>
    </xf>
    <xf numFmtId="170" fontId="62" fillId="5" borderId="29" xfId="0" applyNumberFormat="1" applyFont="1" applyFill="1" applyBorder="1" applyAlignment="1">
      <alignment horizontal="center" vertical="center"/>
    </xf>
    <xf numFmtId="167" fontId="62" fillId="5" borderId="24" xfId="2" applyNumberFormat="1" applyFont="1" applyFill="1" applyBorder="1" applyAlignment="1">
      <alignment horizontal="center" vertical="center"/>
    </xf>
    <xf numFmtId="170" fontId="31" fillId="2" borderId="25" xfId="0" applyNumberFormat="1" applyFont="1" applyFill="1" applyBorder="1" applyAlignment="1">
      <alignment horizontal="center" vertical="center"/>
    </xf>
    <xf numFmtId="170" fontId="62" fillId="2" borderId="31" xfId="0" applyNumberFormat="1" applyFont="1" applyFill="1" applyBorder="1" applyAlignment="1">
      <alignment horizontal="center" vertical="center"/>
    </xf>
    <xf numFmtId="167" fontId="62" fillId="2" borderId="25" xfId="2" applyNumberFormat="1" applyFont="1" applyFill="1" applyBorder="1" applyAlignment="1">
      <alignment horizontal="center" vertical="center"/>
    </xf>
    <xf numFmtId="170" fontId="31" fillId="5" borderId="25" xfId="0" applyNumberFormat="1" applyFont="1" applyFill="1" applyBorder="1" applyAlignment="1">
      <alignment horizontal="center" vertical="center"/>
    </xf>
    <xf numFmtId="170" fontId="62" fillId="5" borderId="31" xfId="0" applyNumberFormat="1" applyFont="1" applyFill="1" applyBorder="1" applyAlignment="1">
      <alignment horizontal="center" vertical="center"/>
    </xf>
    <xf numFmtId="167" fontId="62" fillId="5" borderId="25" xfId="2" applyNumberFormat="1" applyFont="1" applyFill="1" applyBorder="1" applyAlignment="1">
      <alignment horizontal="center" vertical="center"/>
    </xf>
    <xf numFmtId="170" fontId="31" fillId="2" borderId="26" xfId="0" applyNumberFormat="1" applyFont="1" applyFill="1" applyBorder="1" applyAlignment="1">
      <alignment horizontal="center" vertical="center"/>
    </xf>
    <xf numFmtId="170" fontId="62" fillId="2" borderId="34" xfId="0" applyNumberFormat="1" applyFont="1" applyFill="1" applyBorder="1" applyAlignment="1">
      <alignment horizontal="center" vertical="center"/>
    </xf>
    <xf numFmtId="167" fontId="62" fillId="2" borderId="26" xfId="2" applyNumberFormat="1" applyFont="1" applyFill="1" applyBorder="1" applyAlignment="1">
      <alignment horizontal="center" vertical="center"/>
    </xf>
    <xf numFmtId="170" fontId="71" fillId="5" borderId="23" xfId="0" applyNumberFormat="1" applyFont="1" applyFill="1" applyBorder="1" applyAlignment="1">
      <alignment horizontal="center" vertical="center"/>
    </xf>
    <xf numFmtId="170" fontId="71" fillId="5" borderId="40" xfId="0" applyNumberFormat="1" applyFont="1" applyFill="1" applyBorder="1" applyAlignment="1">
      <alignment horizontal="center" vertical="center"/>
    </xf>
    <xf numFmtId="167" fontId="61" fillId="5" borderId="23" xfId="2" applyNumberFormat="1" applyFont="1" applyFill="1" applyBorder="1" applyAlignment="1">
      <alignment horizontal="center" vertical="center"/>
    </xf>
    <xf numFmtId="0" fontId="74" fillId="0" borderId="0" xfId="0" applyFont="1" applyAlignment="1">
      <alignment horizontal="right" vertical="center"/>
    </xf>
    <xf numFmtId="0" fontId="36" fillId="8" borderId="0" xfId="0" quotePrefix="1" applyFont="1" applyFill="1" applyAlignment="1">
      <alignment horizontal="center" vertical="center" wrapText="1"/>
    </xf>
    <xf numFmtId="17" fontId="36" fillId="8" borderId="82" xfId="0" applyNumberFormat="1" applyFont="1" applyFill="1" applyBorder="1" applyAlignment="1">
      <alignment horizontal="center" vertical="center" wrapText="1"/>
    </xf>
    <xf numFmtId="169" fontId="36" fillId="8" borderId="82" xfId="0" applyNumberFormat="1" applyFont="1" applyFill="1" applyBorder="1" applyAlignment="1">
      <alignment horizontal="center" vertical="center" wrapText="1"/>
    </xf>
    <xf numFmtId="0" fontId="36" fillId="8" borderId="82" xfId="0" applyFont="1" applyFill="1" applyBorder="1" applyAlignment="1">
      <alignment horizontal="center" vertical="center" wrapText="1"/>
    </xf>
    <xf numFmtId="0" fontId="36" fillId="8" borderId="83" xfId="0" applyFont="1" applyFill="1" applyBorder="1" applyAlignment="1">
      <alignment horizontal="center" vertical="center" wrapText="1"/>
    </xf>
    <xf numFmtId="0" fontId="36" fillId="8" borderId="97" xfId="0" quotePrefix="1" applyFont="1" applyFill="1" applyBorder="1" applyAlignment="1">
      <alignment horizontal="left" vertical="center"/>
    </xf>
    <xf numFmtId="168" fontId="36" fillId="8" borderId="98" xfId="0" applyNumberFormat="1" applyFont="1" applyFill="1" applyBorder="1" applyAlignment="1">
      <alignment horizontal="right" vertical="center"/>
    </xf>
    <xf numFmtId="168" fontId="36" fillId="8" borderId="98" xfId="0" applyNumberFormat="1" applyFont="1" applyFill="1" applyBorder="1" applyAlignment="1">
      <alignment horizontal="left" vertical="center"/>
    </xf>
    <xf numFmtId="0" fontId="36" fillId="8" borderId="98" xfId="2" applyNumberFormat="1" applyFont="1" applyFill="1" applyBorder="1" applyAlignment="1">
      <alignment horizontal="left" vertical="center"/>
    </xf>
    <xf numFmtId="0" fontId="36" fillId="8" borderId="99" xfId="2" applyNumberFormat="1" applyFont="1" applyFill="1" applyBorder="1" applyAlignment="1">
      <alignment horizontal="center" vertical="center"/>
    </xf>
    <xf numFmtId="4" fontId="36" fillId="8" borderId="84" xfId="0" applyNumberFormat="1" applyFont="1" applyFill="1" applyBorder="1" applyAlignment="1">
      <alignment horizontal="center" vertical="center"/>
    </xf>
    <xf numFmtId="0" fontId="36" fillId="8" borderId="84" xfId="0" applyFont="1" applyFill="1" applyBorder="1" applyAlignment="1">
      <alignment horizontal="center" vertical="center"/>
    </xf>
    <xf numFmtId="17" fontId="36" fillId="8" borderId="26" xfId="0" quotePrefix="1" applyNumberFormat="1" applyFont="1" applyFill="1" applyBorder="1" applyAlignment="1">
      <alignment horizontal="center" vertical="center" wrapText="1"/>
    </xf>
    <xf numFmtId="17" fontId="36" fillId="8" borderId="32" xfId="0" quotePrefix="1" applyNumberFormat="1" applyFont="1" applyFill="1" applyBorder="1" applyAlignment="1">
      <alignment horizontal="center" vertical="center" wrapText="1"/>
    </xf>
    <xf numFmtId="17" fontId="2" fillId="8" borderId="21" xfId="0" applyNumberFormat="1" applyFont="1" applyFill="1" applyBorder="1" applyAlignment="1">
      <alignment horizontal="center" vertical="center"/>
    </xf>
    <xf numFmtId="17" fontId="2" fillId="8" borderId="21" xfId="0" applyNumberFormat="1" applyFont="1" applyFill="1" applyBorder="1" applyAlignment="1">
      <alignment horizontal="center" vertical="center" wrapText="1"/>
    </xf>
    <xf numFmtId="0" fontId="2" fillId="8" borderId="21" xfId="0" applyFont="1" applyFill="1" applyBorder="1" applyAlignment="1">
      <alignment horizontal="center" vertical="center" wrapText="1"/>
    </xf>
    <xf numFmtId="17" fontId="2" fillId="8" borderId="22" xfId="0" applyNumberFormat="1" applyFont="1" applyFill="1" applyBorder="1" applyAlignment="1">
      <alignment horizontal="center" vertical="center" wrapText="1"/>
    </xf>
    <xf numFmtId="17" fontId="2" fillId="8" borderId="23" xfId="0" applyNumberFormat="1" applyFont="1" applyFill="1" applyBorder="1" applyAlignment="1">
      <alignment horizontal="center" vertical="center"/>
    </xf>
    <xf numFmtId="17" fontId="2" fillId="8" borderId="23" xfId="0" applyNumberFormat="1" applyFont="1" applyFill="1" applyBorder="1" applyAlignment="1">
      <alignment horizontal="center" vertical="center" wrapText="1"/>
    </xf>
    <xf numFmtId="0" fontId="2" fillId="8" borderId="23" xfId="0" applyFont="1" applyFill="1" applyBorder="1" applyAlignment="1">
      <alignment horizontal="center" vertical="center" wrapText="1"/>
    </xf>
    <xf numFmtId="0" fontId="2" fillId="8" borderId="45" xfId="1" applyNumberFormat="1" applyFont="1" applyFill="1" applyBorder="1" applyAlignment="1">
      <alignment horizontal="center" vertical="center"/>
    </xf>
    <xf numFmtId="0" fontId="2" fillId="8" borderId="45" xfId="0" applyFont="1" applyFill="1" applyBorder="1" applyAlignment="1">
      <alignment horizontal="center" vertical="center"/>
    </xf>
    <xf numFmtId="0" fontId="2" fillId="8" borderId="57" xfId="1" applyNumberFormat="1" applyFont="1" applyFill="1" applyBorder="1" applyAlignment="1">
      <alignment horizontal="center" vertical="center"/>
    </xf>
    <xf numFmtId="0" fontId="2" fillId="8" borderId="57" xfId="0" applyFont="1" applyFill="1" applyBorder="1" applyAlignment="1">
      <alignment horizontal="center" vertical="center"/>
    </xf>
    <xf numFmtId="14" fontId="2" fillId="8" borderId="57" xfId="0" applyNumberFormat="1" applyFont="1" applyFill="1" applyBorder="1" applyAlignment="1">
      <alignment horizontal="center" vertical="center" wrapText="1"/>
    </xf>
    <xf numFmtId="20" fontId="2" fillId="8" borderId="57" xfId="0" applyNumberFormat="1" applyFont="1" applyFill="1" applyBorder="1" applyAlignment="1">
      <alignment horizontal="center" vertical="center" wrapText="1"/>
    </xf>
    <xf numFmtId="0" fontId="2" fillId="8" borderId="65" xfId="0" applyFont="1" applyFill="1" applyBorder="1" applyAlignment="1">
      <alignment horizontal="center" vertical="center" wrapText="1"/>
    </xf>
    <xf numFmtId="0" fontId="2" fillId="8" borderId="66" xfId="0" applyFont="1" applyFill="1" applyBorder="1" applyAlignment="1">
      <alignment horizontal="center" vertical="center" wrapText="1"/>
    </xf>
    <xf numFmtId="0" fontId="2" fillId="8" borderId="67" xfId="0" applyFont="1" applyFill="1" applyBorder="1" applyAlignment="1">
      <alignment horizontal="center" vertical="center" wrapText="1"/>
    </xf>
    <xf numFmtId="17" fontId="2" fillId="8" borderId="66" xfId="0" quotePrefix="1" applyNumberFormat="1" applyFont="1" applyFill="1" applyBorder="1" applyAlignment="1">
      <alignment horizontal="center" vertical="center" wrapText="1"/>
    </xf>
    <xf numFmtId="17" fontId="2" fillId="8" borderId="67" xfId="0" quotePrefix="1" applyNumberFormat="1" applyFont="1" applyFill="1" applyBorder="1" applyAlignment="1">
      <alignment horizontal="center" vertical="center" wrapText="1"/>
    </xf>
    <xf numFmtId="0" fontId="2" fillId="8" borderId="68" xfId="0" applyFont="1" applyFill="1" applyBorder="1" applyAlignment="1">
      <alignment horizontal="center" vertical="center" wrapText="1"/>
    </xf>
    <xf numFmtId="43" fontId="36" fillId="8" borderId="69" xfId="1" applyFont="1" applyFill="1" applyBorder="1" applyAlignment="1">
      <alignment horizontal="center" vertical="center" wrapText="1"/>
    </xf>
    <xf numFmtId="0" fontId="36" fillId="8" borderId="70" xfId="0" applyFont="1" applyFill="1" applyBorder="1" applyAlignment="1">
      <alignment horizontal="center" vertical="center" wrapText="1"/>
    </xf>
    <xf numFmtId="0" fontId="36" fillId="8" borderId="71" xfId="0" applyFont="1" applyFill="1" applyBorder="1" applyAlignment="1">
      <alignment horizontal="center" vertical="center" wrapText="1"/>
    </xf>
    <xf numFmtId="0" fontId="36" fillId="8" borderId="72" xfId="0" applyFont="1" applyFill="1" applyBorder="1" applyAlignment="1">
      <alignment vertical="center" wrapText="1"/>
    </xf>
    <xf numFmtId="0" fontId="36" fillId="8" borderId="73" xfId="0" applyFont="1" applyFill="1" applyBorder="1" applyAlignment="1">
      <alignment horizontal="center" vertical="center" wrapText="1"/>
    </xf>
    <xf numFmtId="0" fontId="36" fillId="8" borderId="74" xfId="0" applyFont="1" applyFill="1" applyBorder="1" applyAlignment="1">
      <alignment vertical="center" wrapText="1"/>
    </xf>
    <xf numFmtId="4" fontId="36" fillId="8" borderId="57" xfId="0" applyNumberFormat="1" applyFont="1" applyFill="1" applyBorder="1" applyAlignment="1">
      <alignment vertical="center"/>
    </xf>
    <xf numFmtId="0" fontId="36" fillId="8" borderId="93" xfId="0" applyFont="1" applyFill="1" applyBorder="1" applyAlignment="1">
      <alignment vertical="center"/>
    </xf>
    <xf numFmtId="4" fontId="36" fillId="8" borderId="93" xfId="0" applyNumberFormat="1" applyFont="1" applyFill="1" applyBorder="1" applyAlignment="1">
      <alignment vertical="center"/>
    </xf>
    <xf numFmtId="4" fontId="72" fillId="8" borderId="57" xfId="0" applyNumberFormat="1" applyFont="1" applyFill="1" applyBorder="1" applyAlignment="1">
      <alignment vertical="center"/>
    </xf>
    <xf numFmtId="17" fontId="36" fillId="10" borderId="45" xfId="6" quotePrefix="1" applyNumberFormat="1" applyFont="1" applyFill="1" applyBorder="1" applyAlignment="1">
      <alignment horizontal="center" vertical="center" wrapText="1"/>
    </xf>
    <xf numFmtId="0" fontId="36" fillId="10" borderId="45" xfId="6" quotePrefix="1" applyFont="1" applyFill="1" applyBorder="1" applyAlignment="1">
      <alignment horizontal="center" vertical="center" wrapText="1"/>
    </xf>
    <xf numFmtId="0" fontId="36" fillId="10" borderId="45" xfId="6" applyFont="1" applyFill="1" applyBorder="1" applyAlignment="1">
      <alignment horizontal="center" vertical="center" wrapText="1"/>
    </xf>
    <xf numFmtId="14" fontId="36" fillId="10" borderId="45" xfId="6" applyNumberFormat="1" applyFont="1" applyFill="1" applyBorder="1" applyAlignment="1">
      <alignment horizontal="center" vertical="center"/>
    </xf>
    <xf numFmtId="20" fontId="36" fillId="10" borderId="94" xfId="6" applyNumberFormat="1" applyFont="1" applyFill="1" applyBorder="1" applyAlignment="1">
      <alignment horizontal="center" vertical="center"/>
    </xf>
    <xf numFmtId="174" fontId="41" fillId="8" borderId="96" xfId="0" applyNumberFormat="1" applyFont="1" applyFill="1" applyBorder="1" applyAlignment="1">
      <alignment horizontal="center" vertical="center"/>
    </xf>
    <xf numFmtId="174" fontId="41" fillId="8" borderId="96" xfId="0" applyNumberFormat="1" applyFont="1" applyFill="1" applyBorder="1" applyAlignment="1">
      <alignment horizontal="center" vertical="center" wrapText="1"/>
    </xf>
    <xf numFmtId="0" fontId="36" fillId="8" borderId="72" xfId="0" applyFont="1" applyFill="1" applyBorder="1" applyAlignment="1">
      <alignment horizontal="center" vertical="center"/>
    </xf>
    <xf numFmtId="43" fontId="36" fillId="8" borderId="72" xfId="1" applyFont="1" applyFill="1" applyBorder="1" applyAlignment="1">
      <alignment horizontal="center" vertical="center"/>
    </xf>
    <xf numFmtId="4" fontId="36" fillId="8" borderId="72" xfId="0" applyNumberFormat="1" applyFont="1" applyFill="1" applyBorder="1" applyAlignment="1">
      <alignment horizontal="center" vertical="center"/>
    </xf>
    <xf numFmtId="0" fontId="36" fillId="8" borderId="72" xfId="0" applyFont="1" applyFill="1" applyBorder="1" applyAlignment="1">
      <alignment horizontal="center" vertical="center" wrapText="1"/>
    </xf>
    <xf numFmtId="0" fontId="72" fillId="8" borderId="93" xfId="0" applyFont="1" applyFill="1" applyBorder="1" applyAlignment="1">
      <alignment vertical="center"/>
    </xf>
    <xf numFmtId="0" fontId="21" fillId="4" borderId="79" xfId="0" applyFont="1" applyFill="1" applyBorder="1" applyAlignment="1">
      <alignment vertical="center"/>
    </xf>
    <xf numFmtId="0" fontId="21" fillId="4" borderId="80" xfId="0" applyFont="1" applyFill="1" applyBorder="1" applyAlignment="1">
      <alignment vertical="center"/>
    </xf>
    <xf numFmtId="0" fontId="21" fillId="4" borderId="81" xfId="0" applyFont="1" applyFill="1" applyBorder="1" applyAlignment="1">
      <alignment vertical="center"/>
    </xf>
    <xf numFmtId="4" fontId="21" fillId="4" borderId="78" xfId="0" applyNumberFormat="1" applyFont="1" applyFill="1" applyBorder="1" applyAlignment="1">
      <alignment horizontal="center" vertical="center"/>
    </xf>
    <xf numFmtId="0" fontId="71" fillId="4" borderId="90" xfId="0" applyFont="1" applyFill="1" applyBorder="1"/>
    <xf numFmtId="43" fontId="71" fillId="4" borderId="90" xfId="1" applyFont="1" applyFill="1" applyBorder="1"/>
    <xf numFmtId="43" fontId="71" fillId="4" borderId="90" xfId="0" applyNumberFormat="1" applyFont="1" applyFill="1" applyBorder="1"/>
    <xf numFmtId="0" fontId="32" fillId="8" borderId="76" xfId="0" quotePrefix="1" applyFont="1" applyFill="1" applyBorder="1" applyAlignment="1">
      <alignment horizontal="center" vertical="center" wrapText="1"/>
    </xf>
    <xf numFmtId="0" fontId="32" fillId="8" borderId="76" xfId="0" applyFont="1" applyFill="1" applyBorder="1" applyAlignment="1">
      <alignment horizontal="center" vertical="center" wrapText="1"/>
    </xf>
    <xf numFmtId="0" fontId="32" fillId="8" borderId="77" xfId="0" applyFont="1" applyFill="1" applyBorder="1" applyAlignment="1">
      <alignment horizontal="center" vertical="center" wrapText="1"/>
    </xf>
    <xf numFmtId="0" fontId="32" fillId="8" borderId="75" xfId="0" applyFont="1" applyFill="1" applyBorder="1" applyAlignment="1">
      <alignment horizontal="center" vertical="center" wrapText="1"/>
    </xf>
    <xf numFmtId="166" fontId="65" fillId="0" borderId="0" xfId="7" applyNumberFormat="1" applyFont="1"/>
    <xf numFmtId="0" fontId="36" fillId="8" borderId="102" xfId="0" applyFont="1" applyFill="1" applyBorder="1" applyAlignment="1">
      <alignment horizontal="center" vertical="center" wrapText="1"/>
    </xf>
    <xf numFmtId="0" fontId="36" fillId="8" borderId="103" xfId="0" applyFont="1" applyFill="1" applyBorder="1" applyAlignment="1">
      <alignment horizontal="center" vertical="center" wrapText="1"/>
    </xf>
    <xf numFmtId="0" fontId="36" fillId="8" borderId="104" xfId="0" applyFont="1" applyFill="1" applyBorder="1" applyAlignment="1">
      <alignment horizontal="center" vertical="center" wrapText="1"/>
    </xf>
    <xf numFmtId="0" fontId="36" fillId="8" borderId="105" xfId="0" applyFont="1" applyFill="1" applyBorder="1" applyAlignment="1">
      <alignment horizontal="center" vertical="center" wrapText="1"/>
    </xf>
    <xf numFmtId="0" fontId="17" fillId="2" borderId="0" xfId="0" applyFont="1" applyFill="1" applyAlignment="1">
      <alignment vertical="center" wrapText="1"/>
    </xf>
    <xf numFmtId="49" fontId="0" fillId="0" borderId="0" xfId="0" applyNumberFormat="1" applyAlignment="1">
      <alignment horizontal="right" vertical="center"/>
    </xf>
    <xf numFmtId="1" fontId="0" fillId="0" borderId="0" xfId="0" applyNumberFormat="1" applyAlignment="1">
      <alignment horizontal="right" vertical="center" wrapText="1"/>
    </xf>
    <xf numFmtId="49" fontId="0" fillId="0" borderId="0" xfId="0" applyNumberFormat="1" applyAlignment="1">
      <alignment horizontal="center" vertical="center"/>
    </xf>
    <xf numFmtId="4" fontId="0" fillId="0" borderId="0" xfId="0" applyNumberFormat="1" applyAlignment="1">
      <alignment vertical="center"/>
    </xf>
    <xf numFmtId="0" fontId="0" fillId="2" borderId="0" xfId="0" applyFill="1" applyAlignment="1">
      <alignment horizontal="right"/>
    </xf>
    <xf numFmtId="0" fontId="0" fillId="2" borderId="0" xfId="0" applyFill="1"/>
    <xf numFmtId="0" fontId="71" fillId="0" borderId="0" xfId="0" applyFont="1"/>
    <xf numFmtId="22" fontId="30" fillId="0" borderId="0" xfId="0" applyNumberFormat="1" applyFont="1" applyAlignment="1">
      <alignment vertical="center"/>
    </xf>
    <xf numFmtId="14" fontId="0" fillId="0" borderId="0" xfId="0" applyNumberFormat="1" applyAlignment="1">
      <alignment horizontal="center"/>
    </xf>
    <xf numFmtId="20" fontId="0" fillId="0" borderId="0" xfId="0" applyNumberFormat="1" applyAlignment="1">
      <alignment horizontal="center"/>
    </xf>
    <xf numFmtId="0" fontId="27" fillId="2" borderId="49" xfId="0" applyFont="1" applyFill="1" applyBorder="1" applyAlignment="1">
      <alignment vertical="center" wrapText="1"/>
    </xf>
    <xf numFmtId="0" fontId="27" fillId="2" borderId="64" xfId="0" applyFont="1" applyFill="1" applyBorder="1" applyAlignment="1">
      <alignment vertical="center" wrapText="1"/>
    </xf>
    <xf numFmtId="4" fontId="36" fillId="8" borderId="92" xfId="0" applyNumberFormat="1" applyFont="1" applyFill="1" applyBorder="1" applyAlignment="1">
      <alignment vertical="center"/>
    </xf>
    <xf numFmtId="4" fontId="0" fillId="0" borderId="106" xfId="0" applyNumberFormat="1" applyBorder="1" applyAlignment="1">
      <alignment vertical="center"/>
    </xf>
    <xf numFmtId="4" fontId="0" fillId="0" borderId="107" xfId="0" applyNumberFormat="1" applyBorder="1" applyAlignment="1">
      <alignment vertical="center"/>
    </xf>
    <xf numFmtId="4" fontId="0" fillId="0" borderId="108" xfId="0" applyNumberFormat="1" applyBorder="1" applyAlignment="1">
      <alignment vertical="center"/>
    </xf>
    <xf numFmtId="167" fontId="0" fillId="0" borderId="109" xfId="2" applyNumberFormat="1" applyFont="1" applyBorder="1" applyAlignment="1">
      <alignment vertical="center"/>
    </xf>
    <xf numFmtId="4" fontId="0" fillId="4" borderId="3" xfId="0" applyNumberFormat="1" applyFill="1" applyBorder="1" applyAlignment="1">
      <alignment vertical="center"/>
    </xf>
    <xf numFmtId="4" fontId="0" fillId="4" borderId="110" xfId="0" applyNumberFormat="1" applyFill="1" applyBorder="1" applyAlignment="1">
      <alignment vertical="center"/>
    </xf>
    <xf numFmtId="4" fontId="0" fillId="4" borderId="111" xfId="0" applyNumberFormat="1" applyFill="1" applyBorder="1" applyAlignment="1">
      <alignment vertical="center"/>
    </xf>
    <xf numFmtId="167" fontId="0" fillId="4" borderId="112" xfId="2" applyNumberFormat="1" applyFont="1" applyFill="1" applyBorder="1" applyAlignment="1">
      <alignment vertical="center"/>
    </xf>
    <xf numFmtId="4" fontId="0" fillId="0" borderId="3" xfId="0" applyNumberFormat="1" applyBorder="1" applyAlignment="1">
      <alignment vertical="center"/>
    </xf>
    <xf numFmtId="4" fontId="0" fillId="0" borderId="110" xfId="0" applyNumberFormat="1" applyBorder="1" applyAlignment="1">
      <alignment vertical="center"/>
    </xf>
    <xf numFmtId="4" fontId="0" fillId="0" borderId="111" xfId="0" applyNumberFormat="1" applyBorder="1" applyAlignment="1">
      <alignment vertical="center"/>
    </xf>
    <xf numFmtId="167" fontId="0" fillId="0" borderId="112" xfId="2" applyNumberFormat="1" applyFont="1" applyBorder="1" applyAlignment="1">
      <alignment vertical="center"/>
    </xf>
    <xf numFmtId="4" fontId="0" fillId="0" borderId="106" xfId="0" applyNumberFormat="1" applyBorder="1"/>
    <xf numFmtId="4" fontId="0" fillId="0" borderId="113" xfId="0" applyNumberFormat="1" applyBorder="1" applyAlignment="1">
      <alignment horizontal="right"/>
    </xf>
    <xf numFmtId="167" fontId="0" fillId="0" borderId="109" xfId="2" applyNumberFormat="1" applyFont="1" applyBorder="1"/>
    <xf numFmtId="4" fontId="0" fillId="4" borderId="3" xfId="0" applyNumberFormat="1" applyFill="1" applyBorder="1"/>
    <xf numFmtId="4" fontId="0" fillId="4" borderId="114" xfId="0" applyNumberFormat="1" applyFill="1" applyBorder="1" applyAlignment="1">
      <alignment horizontal="right"/>
    </xf>
    <xf numFmtId="167" fontId="0" fillId="4" borderId="112" xfId="2" applyNumberFormat="1" applyFont="1" applyFill="1" applyBorder="1"/>
    <xf numFmtId="4" fontId="0" fillId="0" borderId="3" xfId="0" applyNumberFormat="1" applyBorder="1"/>
    <xf numFmtId="4" fontId="0" fillId="0" borderId="114" xfId="0" applyNumberFormat="1" applyBorder="1" applyAlignment="1">
      <alignment horizontal="right"/>
    </xf>
    <xf numFmtId="167" fontId="0" fillId="0" borderId="112" xfId="2" applyNumberFormat="1" applyFont="1" applyBorder="1"/>
    <xf numFmtId="4" fontId="0" fillId="4" borderId="115" xfId="0" applyNumberFormat="1" applyFill="1" applyBorder="1"/>
    <xf numFmtId="4" fontId="0" fillId="4" borderId="116" xfId="0" applyNumberFormat="1" applyFill="1" applyBorder="1" applyAlignment="1">
      <alignment horizontal="right"/>
    </xf>
    <xf numFmtId="167" fontId="0" fillId="4" borderId="117" xfId="2" applyNumberFormat="1" applyFont="1" applyFill="1" applyBorder="1"/>
    <xf numFmtId="2" fontId="50" fillId="0" borderId="0" xfId="0" applyNumberFormat="1" applyFont="1"/>
    <xf numFmtId="0" fontId="60" fillId="0" borderId="72" xfId="0" applyFont="1" applyBorder="1" applyAlignment="1">
      <alignment horizontal="left" vertical="center" wrapText="1"/>
    </xf>
    <xf numFmtId="0" fontId="78" fillId="0" borderId="0" xfId="0" applyFont="1"/>
    <xf numFmtId="0" fontId="79" fillId="0" borderId="0" xfId="0" applyFont="1" applyAlignment="1">
      <alignment vertical="center"/>
    </xf>
    <xf numFmtId="49" fontId="78" fillId="0" borderId="0" xfId="0" applyNumberFormat="1" applyFont="1" applyAlignment="1">
      <alignment horizontal="center"/>
    </xf>
    <xf numFmtId="1" fontId="78" fillId="0" borderId="0" xfId="0" applyNumberFormat="1" applyFont="1" applyAlignment="1">
      <alignment horizontal="center"/>
    </xf>
    <xf numFmtId="49" fontId="78" fillId="0" borderId="0" xfId="0" applyNumberFormat="1" applyFont="1" applyAlignment="1">
      <alignment horizontal="left"/>
    </xf>
    <xf numFmtId="1" fontId="78" fillId="0" borderId="0" xfId="0" applyNumberFormat="1" applyFont="1" applyAlignment="1">
      <alignment horizontal="left"/>
    </xf>
    <xf numFmtId="165" fontId="78" fillId="0" borderId="0" xfId="0" applyNumberFormat="1" applyFont="1" applyAlignment="1">
      <alignment horizontal="center"/>
    </xf>
    <xf numFmtId="0" fontId="78" fillId="0" borderId="0" xfId="0" applyFont="1" applyAlignment="1">
      <alignment horizontal="center"/>
    </xf>
    <xf numFmtId="2" fontId="78" fillId="0" borderId="0" xfId="0" applyNumberFormat="1" applyFont="1"/>
    <xf numFmtId="10" fontId="78" fillId="0" borderId="0" xfId="2" applyNumberFormat="1" applyFont="1"/>
    <xf numFmtId="176" fontId="21" fillId="0" borderId="40" xfId="2" applyNumberFormat="1" applyFont="1" applyBorder="1" applyAlignment="1">
      <alignment horizontal="right" vertical="center"/>
    </xf>
    <xf numFmtId="43" fontId="33" fillId="0" borderId="54" xfId="1" applyFont="1" applyBorder="1" applyAlignment="1">
      <alignment horizontal="right" vertical="center"/>
    </xf>
    <xf numFmtId="43" fontId="33" fillId="0" borderId="55" xfId="1" applyFont="1" applyBorder="1" applyAlignment="1">
      <alignment horizontal="right" vertical="center"/>
    </xf>
    <xf numFmtId="177" fontId="33" fillId="0" borderId="56" xfId="1" applyNumberFormat="1" applyFont="1" applyBorder="1" applyAlignment="1">
      <alignment horizontal="right" vertical="center"/>
    </xf>
    <xf numFmtId="10" fontId="33" fillId="4" borderId="56" xfId="2" applyNumberFormat="1" applyFont="1" applyFill="1" applyBorder="1" applyAlignment="1">
      <alignment horizontal="right" vertical="center"/>
    </xf>
    <xf numFmtId="17" fontId="32" fillId="8" borderId="23" xfId="0" applyNumberFormat="1" applyFont="1" applyFill="1" applyBorder="1" applyAlignment="1">
      <alignment horizontal="center"/>
    </xf>
    <xf numFmtId="0" fontId="32" fillId="8" borderId="23" xfId="0" applyFont="1" applyFill="1" applyBorder="1" applyAlignment="1">
      <alignment horizontal="center" wrapText="1"/>
    </xf>
    <xf numFmtId="16" fontId="32" fillId="8" borderId="24" xfId="0" applyNumberFormat="1" applyFont="1" applyFill="1" applyBorder="1" applyAlignment="1">
      <alignment horizontal="center" vertical="center"/>
    </xf>
    <xf numFmtId="16" fontId="32" fillId="8" borderId="24" xfId="0" applyNumberFormat="1" applyFont="1" applyFill="1" applyBorder="1" applyAlignment="1">
      <alignment horizontal="center" wrapText="1"/>
    </xf>
    <xf numFmtId="20" fontId="32" fillId="8" borderId="26" xfId="0" quotePrefix="1" applyNumberFormat="1" applyFont="1" applyFill="1" applyBorder="1" applyAlignment="1">
      <alignment horizontal="center" vertical="center"/>
    </xf>
    <xf numFmtId="20" fontId="32" fillId="8" borderId="26" xfId="0" applyNumberFormat="1" applyFont="1" applyFill="1" applyBorder="1" applyAlignment="1">
      <alignment horizontal="center"/>
    </xf>
    <xf numFmtId="170" fontId="27" fillId="0" borderId="3" xfId="0" applyNumberFormat="1" applyFont="1" applyBorder="1" applyAlignment="1">
      <alignment horizontal="left"/>
    </xf>
    <xf numFmtId="43" fontId="27" fillId="0" borderId="3" xfId="1" applyFont="1" applyBorder="1" applyAlignment="1">
      <alignment horizontal="right"/>
    </xf>
    <xf numFmtId="43" fontId="27" fillId="0" borderId="0" xfId="1" applyFont="1" applyAlignment="1">
      <alignment horizontal="right"/>
    </xf>
    <xf numFmtId="43" fontId="27" fillId="0" borderId="4" xfId="1" applyFont="1" applyBorder="1" applyAlignment="1">
      <alignment horizontal="right"/>
    </xf>
    <xf numFmtId="10" fontId="33" fillId="0" borderId="4" xfId="2" applyNumberFormat="1" applyFont="1" applyBorder="1" applyAlignment="1">
      <alignment horizontal="right"/>
    </xf>
    <xf numFmtId="170" fontId="27" fillId="4" borderId="3" xfId="0" applyNumberFormat="1" applyFont="1" applyFill="1" applyBorder="1" applyAlignment="1">
      <alignment horizontal="left" vertical="center"/>
    </xf>
    <xf numFmtId="43" fontId="27" fillId="4" borderId="3" xfId="1" applyFont="1" applyFill="1" applyBorder="1" applyAlignment="1">
      <alignment horizontal="right" vertical="center"/>
    </xf>
    <xf numFmtId="43" fontId="27" fillId="4" borderId="0" xfId="1" applyFont="1" applyFill="1" applyAlignment="1">
      <alignment horizontal="right" vertical="center"/>
    </xf>
    <xf numFmtId="43" fontId="27" fillId="4" borderId="4" xfId="1" applyFont="1" applyFill="1" applyBorder="1" applyAlignment="1">
      <alignment horizontal="right" vertical="center"/>
    </xf>
    <xf numFmtId="10" fontId="33" fillId="4" borderId="4" xfId="2" applyNumberFormat="1" applyFont="1" applyFill="1" applyBorder="1" applyAlignment="1">
      <alignment horizontal="right" vertical="center"/>
    </xf>
    <xf numFmtId="170" fontId="27" fillId="0" borderId="3" xfId="0" applyNumberFormat="1" applyFont="1" applyBorder="1" applyAlignment="1">
      <alignment horizontal="left" vertical="center"/>
    </xf>
    <xf numFmtId="43" fontId="27" fillId="0" borderId="3" xfId="1" applyFont="1" applyBorder="1" applyAlignment="1">
      <alignment horizontal="right" vertical="center"/>
    </xf>
    <xf numFmtId="43" fontId="27" fillId="0" borderId="0" xfId="1" applyFont="1" applyAlignment="1">
      <alignment horizontal="right" vertical="center"/>
    </xf>
    <xf numFmtId="43" fontId="27" fillId="0" borderId="4" xfId="1" applyFont="1" applyBorder="1" applyAlignment="1">
      <alignment horizontal="right" vertical="center"/>
    </xf>
    <xf numFmtId="10" fontId="33" fillId="0" borderId="4" xfId="2" applyNumberFormat="1" applyFont="1" applyBorder="1" applyAlignment="1">
      <alignment horizontal="right" vertical="center"/>
    </xf>
    <xf numFmtId="170" fontId="27" fillId="4" borderId="41" xfId="0" applyNumberFormat="1" applyFont="1" applyFill="1" applyBorder="1" applyAlignment="1">
      <alignment horizontal="left" vertical="center"/>
    </xf>
    <xf numFmtId="43" fontId="27" fillId="4" borderId="41" xfId="1" applyFont="1" applyFill="1" applyBorder="1" applyAlignment="1">
      <alignment horizontal="right" vertical="center"/>
    </xf>
    <xf numFmtId="43" fontId="27" fillId="4" borderId="42" xfId="1" applyFont="1" applyFill="1" applyBorder="1" applyAlignment="1">
      <alignment horizontal="right" vertical="center"/>
    </xf>
    <xf numFmtId="43" fontId="27" fillId="4" borderId="43" xfId="1" applyFont="1" applyFill="1" applyBorder="1" applyAlignment="1">
      <alignment horizontal="right" vertical="center"/>
    </xf>
    <xf numFmtId="10" fontId="33" fillId="4" borderId="43" xfId="2" applyNumberFormat="1" applyFont="1" applyFill="1" applyBorder="1" applyAlignment="1">
      <alignment horizontal="right" vertical="center"/>
    </xf>
    <xf numFmtId="170" fontId="33" fillId="0" borderId="54" xfId="0" applyNumberFormat="1" applyFont="1" applyBorder="1" applyAlignment="1">
      <alignment horizontal="left" vertical="center"/>
    </xf>
    <xf numFmtId="49" fontId="27" fillId="0" borderId="0" xfId="0" applyNumberFormat="1" applyFont="1" applyAlignment="1">
      <alignment horizontal="left"/>
    </xf>
    <xf numFmtId="10" fontId="27" fillId="0" borderId="0" xfId="0" applyNumberFormat="1" applyFont="1" applyAlignment="1">
      <alignment horizontal="left"/>
    </xf>
    <xf numFmtId="166" fontId="27" fillId="4" borderId="24" xfId="0" applyNumberFormat="1" applyFont="1" applyFill="1" applyBorder="1" applyAlignment="1">
      <alignment horizontal="left" vertical="center"/>
    </xf>
    <xf numFmtId="2" fontId="27" fillId="4" borderId="27" xfId="0" applyNumberFormat="1" applyFont="1" applyFill="1" applyBorder="1" applyAlignment="1">
      <alignment horizontal="right" vertical="center"/>
    </xf>
    <xf numFmtId="2" fontId="27" fillId="4" borderId="28" xfId="0" applyNumberFormat="1" applyFont="1" applyFill="1" applyBorder="1" applyAlignment="1">
      <alignment horizontal="right" vertical="center"/>
    </xf>
    <xf numFmtId="2" fontId="27" fillId="4" borderId="29" xfId="0" applyNumberFormat="1" applyFont="1" applyFill="1" applyBorder="1" applyAlignment="1">
      <alignment horizontal="right" vertical="center"/>
    </xf>
    <xf numFmtId="10" fontId="33" fillId="4" borderId="29" xfId="2" applyNumberFormat="1" applyFont="1" applyFill="1" applyBorder="1" applyAlignment="1">
      <alignment horizontal="right" vertical="center"/>
    </xf>
    <xf numFmtId="166" fontId="27" fillId="0" borderId="25" xfId="0" applyNumberFormat="1" applyFont="1" applyBorder="1" applyAlignment="1">
      <alignment horizontal="left" vertical="center"/>
    </xf>
    <xf numFmtId="2" fontId="27" fillId="0" borderId="30" xfId="0" applyNumberFormat="1" applyFont="1" applyBorder="1" applyAlignment="1">
      <alignment horizontal="right" vertical="center"/>
    </xf>
    <xf numFmtId="2" fontId="27" fillId="0" borderId="0" xfId="0" applyNumberFormat="1" applyFont="1" applyAlignment="1">
      <alignment horizontal="right" vertical="center"/>
    </xf>
    <xf numFmtId="2" fontId="27" fillId="0" borderId="31" xfId="0" applyNumberFormat="1" applyFont="1" applyBorder="1" applyAlignment="1">
      <alignment horizontal="right" vertical="center"/>
    </xf>
    <xf numFmtId="10" fontId="33" fillId="0" borderId="31" xfId="2" applyNumberFormat="1" applyFont="1" applyBorder="1" applyAlignment="1">
      <alignment horizontal="right" vertical="center"/>
    </xf>
    <xf numFmtId="166" fontId="33" fillId="4" borderId="26" xfId="0" applyNumberFormat="1" applyFont="1" applyFill="1" applyBorder="1" applyAlignment="1">
      <alignment horizontal="left" vertical="center" wrapText="1"/>
    </xf>
    <xf numFmtId="2" fontId="33" fillId="4" borderId="32" xfId="0" applyNumberFormat="1" applyFont="1" applyFill="1" applyBorder="1" applyAlignment="1">
      <alignment horizontal="right" vertical="center"/>
    </xf>
    <xf numFmtId="2" fontId="33" fillId="4" borderId="33" xfId="0" applyNumberFormat="1" applyFont="1" applyFill="1" applyBorder="1" applyAlignment="1">
      <alignment horizontal="right" vertical="center"/>
    </xf>
    <xf numFmtId="2" fontId="33" fillId="4" borderId="34" xfId="0" applyNumberFormat="1" applyFont="1" applyFill="1" applyBorder="1" applyAlignment="1">
      <alignment horizontal="right" vertical="center"/>
    </xf>
    <xf numFmtId="10" fontId="33" fillId="4" borderId="34" xfId="2" applyNumberFormat="1" applyFont="1" applyFill="1" applyBorder="1" applyAlignment="1">
      <alignment horizontal="right" vertical="center"/>
    </xf>
    <xf numFmtId="49" fontId="27" fillId="0" borderId="0" xfId="0" applyNumberFormat="1" applyFont="1" applyAlignment="1">
      <alignment horizontal="center"/>
    </xf>
    <xf numFmtId="10" fontId="27" fillId="0" borderId="0" xfId="0" applyNumberFormat="1" applyFont="1" applyAlignment="1">
      <alignment horizontal="center"/>
    </xf>
    <xf numFmtId="0" fontId="33" fillId="4" borderId="53" xfId="0" quotePrefix="1" applyFont="1" applyFill="1" applyBorder="1" applyAlignment="1">
      <alignment horizontal="left" vertical="center" wrapText="1"/>
    </xf>
    <xf numFmtId="43" fontId="33" fillId="4" borderId="54" xfId="1" applyFont="1" applyFill="1" applyBorder="1" applyAlignment="1">
      <alignment horizontal="right" vertical="center"/>
    </xf>
    <xf numFmtId="43" fontId="33" fillId="4" borderId="55" xfId="1" applyFont="1" applyFill="1" applyBorder="1" applyAlignment="1">
      <alignment horizontal="right" vertical="center"/>
    </xf>
    <xf numFmtId="174" fontId="32" fillId="3" borderId="0" xfId="0" applyNumberFormat="1" applyFont="1" applyFill="1" applyAlignment="1">
      <alignment vertical="center"/>
    </xf>
    <xf numFmtId="174" fontId="36" fillId="8" borderId="57" xfId="0" applyNumberFormat="1" applyFont="1" applyFill="1" applyBorder="1" applyAlignment="1">
      <alignment vertical="center"/>
    </xf>
    <xf numFmtId="177" fontId="0" fillId="0" borderId="0" xfId="1" applyNumberFormat="1" applyFont="1" applyAlignment="1">
      <alignment horizontal="center"/>
    </xf>
    <xf numFmtId="177" fontId="33" fillId="4" borderId="56" xfId="1" applyNumberFormat="1" applyFont="1" applyFill="1" applyBorder="1" applyAlignment="1">
      <alignment horizontal="right" vertical="center"/>
    </xf>
    <xf numFmtId="177" fontId="33" fillId="4" borderId="54" xfId="1" applyNumberFormat="1" applyFont="1" applyFill="1" applyBorder="1" applyAlignment="1">
      <alignment horizontal="right" vertical="center"/>
    </xf>
    <xf numFmtId="177" fontId="33" fillId="0" borderId="54" xfId="1" applyNumberFormat="1" applyFont="1" applyBorder="1" applyAlignment="1">
      <alignment horizontal="right" vertical="center"/>
    </xf>
    <xf numFmtId="0" fontId="36" fillId="8" borderId="87" xfId="5" applyFont="1" applyFill="1" applyBorder="1" applyAlignment="1">
      <alignment horizontal="center" vertical="center"/>
    </xf>
    <xf numFmtId="0" fontId="36" fillId="8" borderId="91" xfId="5" applyFont="1" applyFill="1" applyBorder="1" applyAlignment="1">
      <alignment horizontal="center" vertical="center"/>
    </xf>
    <xf numFmtId="10" fontId="33" fillId="2" borderId="56" xfId="2" applyNumberFormat="1" applyFont="1" applyFill="1" applyBorder="1" applyAlignment="1">
      <alignment horizontal="right" vertical="center"/>
    </xf>
    <xf numFmtId="0" fontId="31" fillId="0" borderId="0" xfId="0" applyFont="1" applyBorder="1"/>
    <xf numFmtId="43" fontId="31" fillId="0" borderId="0" xfId="1" applyFont="1" applyBorder="1"/>
    <xf numFmtId="0" fontId="71" fillId="0" borderId="0" xfId="0" applyFont="1" applyBorder="1"/>
    <xf numFmtId="43" fontId="31" fillId="0" borderId="0" xfId="0" applyNumberFormat="1" applyFont="1" applyBorder="1"/>
    <xf numFmtId="0" fontId="30" fillId="0" borderId="0" xfId="0" applyFont="1" applyBorder="1"/>
    <xf numFmtId="0" fontId="80" fillId="0" borderId="0" xfId="0" applyFont="1"/>
    <xf numFmtId="0" fontId="0" fillId="0" borderId="0" xfId="0" applyFont="1"/>
    <xf numFmtId="17" fontId="36" fillId="8" borderId="119" xfId="0" applyNumberFormat="1" applyFont="1" applyFill="1" applyBorder="1" applyAlignment="1">
      <alignment horizontal="center" vertical="center"/>
    </xf>
    <xf numFmtId="0" fontId="36" fillId="8" borderId="121" xfId="5" applyFont="1" applyFill="1" applyBorder="1" applyAlignment="1">
      <alignment horizontal="center" vertical="center"/>
    </xf>
    <xf numFmtId="0" fontId="36" fillId="8" borderId="123" xfId="5" applyFont="1" applyFill="1" applyBorder="1" applyAlignment="1">
      <alignment horizontal="center" vertical="center"/>
    </xf>
    <xf numFmtId="0" fontId="71" fillId="4" borderId="0" xfId="0" applyFont="1" applyFill="1" applyBorder="1"/>
    <xf numFmtId="43" fontId="71" fillId="4" borderId="0" xfId="1" applyFont="1" applyFill="1" applyBorder="1"/>
    <xf numFmtId="0" fontId="31" fillId="0" borderId="0" xfId="0" applyFont="1" applyBorder="1" applyAlignment="1">
      <alignment vertical="center"/>
    </xf>
    <xf numFmtId="43" fontId="31" fillId="0" borderId="0" xfId="1" applyFont="1" applyBorder="1" applyAlignment="1">
      <alignment vertical="center"/>
    </xf>
    <xf numFmtId="0" fontId="31" fillId="2" borderId="0" xfId="0" applyFont="1" applyFill="1" applyBorder="1"/>
    <xf numFmtId="43" fontId="31" fillId="2" borderId="0" xfId="1" applyFont="1" applyFill="1" applyBorder="1"/>
    <xf numFmtId="4" fontId="36" fillId="8" borderId="126" xfId="0" applyNumberFormat="1" applyFont="1" applyFill="1" applyBorder="1" applyAlignment="1">
      <alignment vertical="center"/>
    </xf>
    <xf numFmtId="4" fontId="72" fillId="8" borderId="126" xfId="0" applyNumberFormat="1" applyFont="1" applyFill="1" applyBorder="1" applyAlignment="1">
      <alignment vertical="center"/>
    </xf>
    <xf numFmtId="0" fontId="36" fillId="8" borderId="125" xfId="0" applyFont="1" applyFill="1" applyBorder="1" applyAlignment="1">
      <alignment vertical="center"/>
    </xf>
    <xf numFmtId="0" fontId="0" fillId="0" borderId="127" xfId="0" applyBorder="1"/>
    <xf numFmtId="0" fontId="36" fillId="10" borderId="131" xfId="6" applyFont="1" applyFill="1" applyBorder="1" applyAlignment="1">
      <alignment horizontal="center" vertical="center" wrapText="1"/>
    </xf>
    <xf numFmtId="0" fontId="36" fillId="10" borderId="131" xfId="6" applyFont="1" applyFill="1" applyBorder="1" applyAlignment="1">
      <alignment horizontal="center" vertical="center"/>
    </xf>
    <xf numFmtId="0" fontId="36" fillId="10" borderId="133" xfId="6" applyFont="1" applyFill="1" applyBorder="1" applyAlignment="1">
      <alignment horizontal="center" vertical="center"/>
    </xf>
    <xf numFmtId="10" fontId="31" fillId="0" borderId="0" xfId="2" applyNumberFormat="1" applyFont="1" applyBorder="1"/>
    <xf numFmtId="20" fontId="36" fillId="10" borderId="135" xfId="6" applyNumberFormat="1" applyFont="1" applyFill="1" applyBorder="1" applyAlignment="1">
      <alignment horizontal="center" vertical="center"/>
    </xf>
    <xf numFmtId="0" fontId="36" fillId="10" borderId="136" xfId="6" applyFont="1" applyFill="1" applyBorder="1" applyAlignment="1">
      <alignment horizontal="center" vertical="center"/>
    </xf>
    <xf numFmtId="0" fontId="31" fillId="0" borderId="0" xfId="0" applyFont="1" applyBorder="1" applyAlignment="1">
      <alignment vertical="center" wrapText="1"/>
    </xf>
    <xf numFmtId="43" fontId="31" fillId="0" borderId="0" xfId="0" applyNumberFormat="1" applyFont="1" applyBorder="1" applyAlignment="1">
      <alignment vertical="center" wrapText="1"/>
    </xf>
    <xf numFmtId="43" fontId="31" fillId="2" borderId="0" xfId="0" applyNumberFormat="1" applyFont="1" applyFill="1" applyBorder="1"/>
    <xf numFmtId="10" fontId="36" fillId="8" borderId="126" xfId="2" applyNumberFormat="1" applyFont="1" applyFill="1" applyBorder="1" applyAlignment="1">
      <alignment vertical="center"/>
    </xf>
    <xf numFmtId="10" fontId="72" fillId="8" borderId="126" xfId="2" applyNumberFormat="1" applyFont="1" applyFill="1" applyBorder="1" applyAlignment="1">
      <alignment vertical="center"/>
    </xf>
    <xf numFmtId="0" fontId="72" fillId="8" borderId="125" xfId="0" applyFont="1" applyFill="1" applyBorder="1" applyAlignment="1">
      <alignment vertical="center"/>
    </xf>
    <xf numFmtId="0" fontId="21" fillId="2" borderId="90" xfId="0" quotePrefix="1" applyFont="1" applyFill="1" applyBorder="1" applyAlignment="1">
      <alignment vertical="center"/>
    </xf>
    <xf numFmtId="0" fontId="30" fillId="0" borderId="90" xfId="0" applyFont="1" applyBorder="1"/>
    <xf numFmtId="0" fontId="37" fillId="2" borderId="0" xfId="0" quotePrefix="1" applyFont="1" applyFill="1"/>
    <xf numFmtId="0" fontId="15" fillId="2" borderId="0" xfId="0" applyFont="1" applyFill="1" applyAlignment="1">
      <alignment horizontal="center"/>
    </xf>
    <xf numFmtId="0" fontId="15" fillId="2" borderId="0" xfId="0" applyFont="1" applyFill="1" applyAlignment="1">
      <alignment horizontal="left" vertical="center" wrapText="1"/>
    </xf>
    <xf numFmtId="0" fontId="15" fillId="2" borderId="0" xfId="0" applyFont="1" applyFill="1" applyAlignment="1">
      <alignment vertical="center" wrapText="1"/>
    </xf>
    <xf numFmtId="49" fontId="8" fillId="0" borderId="0" xfId="0" applyNumberFormat="1" applyFont="1" applyAlignment="1">
      <alignment horizontal="right"/>
    </xf>
    <xf numFmtId="49" fontId="8" fillId="0" borderId="0" xfId="0" applyNumberFormat="1" applyFont="1" applyAlignment="1">
      <alignment horizontal="center"/>
    </xf>
    <xf numFmtId="1" fontId="8" fillId="0" borderId="0" xfId="0" applyNumberFormat="1" applyFont="1" applyAlignment="1">
      <alignment horizontal="center"/>
    </xf>
    <xf numFmtId="0" fontId="3" fillId="2" borderId="0" xfId="0" applyFont="1" applyFill="1" applyAlignment="1">
      <alignment vertical="center" wrapText="1"/>
    </xf>
    <xf numFmtId="49" fontId="0" fillId="0" borderId="0" xfId="0" applyNumberFormat="1" applyFont="1" applyAlignment="1">
      <alignment horizontal="center"/>
    </xf>
    <xf numFmtId="1" fontId="0" fillId="0" borderId="0" xfId="0" applyNumberFormat="1" applyFont="1" applyAlignment="1">
      <alignment horizontal="center"/>
    </xf>
    <xf numFmtId="165" fontId="0" fillId="0" borderId="0" xfId="0" applyNumberFormat="1" applyFont="1" applyAlignment="1">
      <alignment horizontal="center"/>
    </xf>
    <xf numFmtId="165" fontId="8" fillId="0" borderId="0" xfId="0" applyNumberFormat="1" applyFont="1" applyAlignment="1">
      <alignment horizontal="center"/>
    </xf>
    <xf numFmtId="0" fontId="3" fillId="2" borderId="0" xfId="0" applyFont="1" applyFill="1" applyAlignment="1">
      <alignment horizontal="center" vertical="center" wrapText="1"/>
    </xf>
    <xf numFmtId="2" fontId="0" fillId="2" borderId="0" xfId="0" applyNumberFormat="1" applyFont="1" applyFill="1" applyAlignment="1">
      <alignment horizontal="center" vertical="center" wrapText="1"/>
    </xf>
    <xf numFmtId="2" fontId="3" fillId="2" borderId="0" xfId="0" applyNumberFormat="1" applyFont="1" applyFill="1" applyAlignment="1">
      <alignment vertical="center" wrapText="1"/>
    </xf>
    <xf numFmtId="0" fontId="0" fillId="0" borderId="0" xfId="0" applyFont="1" applyAlignment="1">
      <alignment horizontal="center"/>
    </xf>
    <xf numFmtId="2" fontId="15" fillId="2" borderId="0" xfId="0" applyNumberFormat="1" applyFont="1" applyFill="1" applyAlignment="1">
      <alignment vertical="center" wrapText="1"/>
    </xf>
    <xf numFmtId="0" fontId="0" fillId="0" borderId="0" xfId="0" applyFont="1" applyAlignment="1">
      <alignment vertical="center"/>
    </xf>
    <xf numFmtId="0" fontId="44" fillId="0" borderId="0" xfId="0" applyFont="1" applyAlignment="1">
      <alignment horizontal="center" vertical="center"/>
    </xf>
    <xf numFmtId="0" fontId="81" fillId="2" borderId="0" xfId="0" applyFont="1" applyFill="1" applyAlignment="1">
      <alignment horizontal="left" vertical="center" wrapText="1"/>
    </xf>
    <xf numFmtId="0" fontId="80" fillId="0" borderId="0" xfId="0" applyFont="1" applyAlignment="1">
      <alignment vertical="center"/>
    </xf>
    <xf numFmtId="0" fontId="71" fillId="0" borderId="30" xfId="0" applyFont="1" applyBorder="1"/>
    <xf numFmtId="10" fontId="31" fillId="0" borderId="31" xfId="2" applyNumberFormat="1" applyFont="1" applyBorder="1"/>
    <xf numFmtId="0" fontId="71" fillId="4" borderId="139" xfId="0" applyFont="1" applyFill="1" applyBorder="1"/>
    <xf numFmtId="10" fontId="71" fillId="4" borderId="140" xfId="2" applyNumberFormat="1" applyFont="1" applyFill="1" applyBorder="1"/>
    <xf numFmtId="0" fontId="71" fillId="0" borderId="30" xfId="0" applyFont="1" applyBorder="1" applyAlignment="1">
      <alignment vertical="center" wrapText="1"/>
    </xf>
    <xf numFmtId="10" fontId="31" fillId="0" borderId="31" xfId="2" applyNumberFormat="1" applyFont="1" applyBorder="1" applyAlignment="1">
      <alignment vertical="center" wrapText="1"/>
    </xf>
    <xf numFmtId="43" fontId="31" fillId="0" borderId="31" xfId="1" applyFont="1" applyBorder="1"/>
    <xf numFmtId="43" fontId="71" fillId="4" borderId="140" xfId="1" applyFont="1" applyFill="1" applyBorder="1"/>
    <xf numFmtId="0" fontId="31" fillId="0" borderId="31" xfId="0" applyFont="1" applyBorder="1"/>
    <xf numFmtId="0" fontId="71" fillId="2" borderId="30" xfId="0" applyFont="1" applyFill="1" applyBorder="1"/>
    <xf numFmtId="43" fontId="31" fillId="2" borderId="31" xfId="1" applyFont="1" applyFill="1" applyBorder="1"/>
    <xf numFmtId="0" fontId="71" fillId="4" borderId="141" xfId="0" applyFont="1" applyFill="1" applyBorder="1"/>
    <xf numFmtId="0" fontId="71" fillId="4" borderId="125" xfId="0" applyFont="1" applyFill="1" applyBorder="1"/>
    <xf numFmtId="43" fontId="71" fillId="4" borderId="125" xfId="1" applyFont="1" applyFill="1" applyBorder="1"/>
    <xf numFmtId="43" fontId="71" fillId="4" borderId="142" xfId="1" applyFont="1" applyFill="1" applyBorder="1"/>
    <xf numFmtId="0" fontId="71" fillId="0" borderId="30" xfId="0" applyFont="1" applyBorder="1" applyAlignment="1">
      <alignment wrapText="1"/>
    </xf>
    <xf numFmtId="43" fontId="31" fillId="0" borderId="31" xfId="1" applyFont="1" applyBorder="1" applyAlignment="1">
      <alignment vertical="center"/>
    </xf>
    <xf numFmtId="0" fontId="31" fillId="0" borderId="143" xfId="0" applyFont="1" applyBorder="1"/>
    <xf numFmtId="43" fontId="31" fillId="0" borderId="144" xfId="1" applyFont="1" applyBorder="1"/>
    <xf numFmtId="0" fontId="31" fillId="0" borderId="30" xfId="0" applyFont="1" applyBorder="1"/>
    <xf numFmtId="0" fontId="71" fillId="4" borderId="30" xfId="0" applyFont="1" applyFill="1" applyBorder="1"/>
    <xf numFmtId="43" fontId="71" fillId="4" borderId="31" xfId="1" applyFont="1" applyFill="1" applyBorder="1"/>
    <xf numFmtId="0" fontId="71" fillId="0" borderId="143" xfId="0" applyFont="1" applyBorder="1"/>
    <xf numFmtId="2" fontId="13" fillId="0" borderId="0" xfId="0" applyNumberFormat="1" applyFont="1" applyBorder="1" applyAlignment="1">
      <alignment horizontal="right" vertical="center"/>
    </xf>
    <xf numFmtId="2" fontId="13" fillId="4" borderId="6" xfId="0" applyNumberFormat="1" applyFont="1" applyFill="1" applyBorder="1" applyAlignment="1">
      <alignment horizontal="right" vertical="center"/>
    </xf>
    <xf numFmtId="2" fontId="13" fillId="0" borderId="7" xfId="0" applyNumberFormat="1" applyFont="1" applyBorder="1" applyAlignment="1">
      <alignment horizontal="right" vertical="center"/>
    </xf>
    <xf numFmtId="2" fontId="21" fillId="4" borderId="8" xfId="0" applyNumberFormat="1" applyFont="1" applyFill="1" applyBorder="1" applyAlignment="1">
      <alignment horizontal="right" vertical="center"/>
    </xf>
    <xf numFmtId="9" fontId="31" fillId="0" borderId="144" xfId="2" applyFont="1" applyBorder="1"/>
    <xf numFmtId="10" fontId="31" fillId="0" borderId="144" xfId="2" applyNumberFormat="1" applyFont="1" applyBorder="1"/>
    <xf numFmtId="10" fontId="31" fillId="2" borderId="31" xfId="2" applyNumberFormat="1" applyFont="1" applyFill="1" applyBorder="1"/>
    <xf numFmtId="43" fontId="62" fillId="0" borderId="145" xfId="1" applyFont="1" applyBorder="1" applyAlignment="1">
      <alignment vertical="center" wrapText="1"/>
    </xf>
    <xf numFmtId="0" fontId="62" fillId="0" borderId="145" xfId="0" applyFont="1" applyBorder="1" applyAlignment="1">
      <alignment vertical="center" wrapText="1"/>
    </xf>
    <xf numFmtId="4" fontId="13" fillId="0" borderId="145" xfId="0" applyNumberFormat="1" applyFont="1" applyBorder="1" applyAlignment="1">
      <alignment horizontal="center" vertical="center"/>
    </xf>
    <xf numFmtId="167" fontId="13" fillId="0" borderId="145" xfId="2" applyNumberFormat="1" applyFont="1" applyBorder="1" applyAlignment="1">
      <alignment horizontal="center" vertical="center"/>
    </xf>
    <xf numFmtId="167" fontId="13" fillId="0" borderId="146" xfId="2" applyNumberFormat="1" applyFont="1" applyBorder="1" applyAlignment="1">
      <alignment horizontal="center" vertical="center"/>
    </xf>
    <xf numFmtId="167" fontId="13" fillId="0" borderId="147" xfId="2" applyNumberFormat="1" applyFont="1" applyBorder="1" applyAlignment="1">
      <alignment horizontal="center" vertical="center"/>
    </xf>
    <xf numFmtId="0" fontId="36" fillId="8" borderId="149" xfId="0" applyFont="1" applyFill="1" applyBorder="1" applyAlignment="1">
      <alignment horizontal="center" vertical="center" wrapText="1"/>
    </xf>
    <xf numFmtId="0" fontId="36" fillId="8" borderId="114" xfId="0" applyFont="1" applyFill="1" applyBorder="1" applyAlignment="1">
      <alignment horizontal="center" vertical="center" wrapText="1"/>
    </xf>
    <xf numFmtId="0" fontId="36" fillId="8" borderId="150" xfId="0" applyFont="1" applyFill="1" applyBorder="1" applyAlignment="1">
      <alignment horizontal="center" vertical="center" wrapText="1"/>
    </xf>
    <xf numFmtId="0" fontId="61" fillId="4" borderId="152" xfId="0" applyFont="1" applyFill="1" applyBorder="1" applyAlignment="1">
      <alignment horizontal="center" vertical="center"/>
    </xf>
    <xf numFmtId="4" fontId="61" fillId="4" borderId="153" xfId="0" applyNumberFormat="1" applyFont="1" applyFill="1" applyBorder="1" applyAlignment="1">
      <alignment horizontal="center" vertical="center"/>
    </xf>
    <xf numFmtId="0" fontId="31" fillId="0" borderId="0" xfId="0" applyFont="1" applyAlignment="1">
      <alignment vertical="center"/>
    </xf>
    <xf numFmtId="22" fontId="31" fillId="0" borderId="0" xfId="0" applyNumberFormat="1" applyFont="1" applyBorder="1" applyAlignment="1">
      <alignment horizontal="center" vertical="center" wrapText="1"/>
    </xf>
    <xf numFmtId="0" fontId="60" fillId="0" borderId="0" xfId="0" applyFont="1" applyBorder="1" applyAlignment="1">
      <alignment horizontal="justify" vertical="center" wrapText="1"/>
    </xf>
    <xf numFmtId="0" fontId="31" fillId="0" borderId="0" xfId="0" applyFont="1" applyBorder="1" applyAlignment="1">
      <alignment horizontal="center" vertical="center" wrapText="1"/>
    </xf>
    <xf numFmtId="0" fontId="82" fillId="0" borderId="0" xfId="0" applyFont="1"/>
    <xf numFmtId="0" fontId="82" fillId="0" borderId="0" xfId="0" applyFont="1" applyAlignment="1">
      <alignment horizontal="right"/>
    </xf>
    <xf numFmtId="0" fontId="83" fillId="4" borderId="151" xfId="0" applyFont="1" applyFill="1" applyBorder="1" applyAlignment="1">
      <alignment vertical="center"/>
    </xf>
    <xf numFmtId="0" fontId="60" fillId="2" borderId="84" xfId="0" quotePrefix="1" applyFont="1" applyFill="1" applyBorder="1" applyAlignment="1">
      <alignment vertical="center" wrapText="1"/>
    </xf>
    <xf numFmtId="0" fontId="27" fillId="4" borderId="49" xfId="0" applyFont="1" applyFill="1" applyBorder="1" applyAlignment="1">
      <alignment vertical="center" wrapText="1"/>
    </xf>
    <xf numFmtId="4" fontId="13" fillId="0" borderId="155" xfId="0" applyNumberFormat="1" applyFont="1" applyBorder="1" applyAlignment="1">
      <alignment horizontal="center" vertical="center"/>
    </xf>
    <xf numFmtId="0" fontId="83" fillId="0" borderId="151" xfId="0" applyFont="1" applyFill="1" applyBorder="1" applyAlignment="1">
      <alignment vertical="center" wrapText="1"/>
    </xf>
    <xf numFmtId="0" fontId="62" fillId="0" borderId="152" xfId="0" applyFont="1" applyFill="1" applyBorder="1" applyAlignment="1">
      <alignment horizontal="center" vertical="center"/>
    </xf>
    <xf numFmtId="0" fontId="62" fillId="0" borderId="152" xfId="2" applyNumberFormat="1" applyFont="1" applyFill="1" applyBorder="1" applyAlignment="1">
      <alignment horizontal="center" vertical="center"/>
    </xf>
    <xf numFmtId="0" fontId="61" fillId="0" borderId="152" xfId="0" applyFont="1" applyFill="1" applyBorder="1" applyAlignment="1">
      <alignment horizontal="center" vertical="center"/>
    </xf>
    <xf numFmtId="4" fontId="62" fillId="0" borderId="153" xfId="0" applyNumberFormat="1" applyFont="1" applyFill="1" applyBorder="1" applyAlignment="1">
      <alignment horizontal="center" vertical="center"/>
    </xf>
    <xf numFmtId="0" fontId="62" fillId="0" borderId="152" xfId="0" applyFont="1" applyFill="1" applyBorder="1" applyAlignment="1">
      <alignment horizontal="center" vertical="center" wrapText="1"/>
    </xf>
    <xf numFmtId="0" fontId="83" fillId="0" borderId="151" xfId="0" applyFont="1" applyFill="1" applyBorder="1" applyAlignment="1">
      <alignment vertical="center"/>
    </xf>
    <xf numFmtId="49" fontId="36" fillId="10" borderId="45" xfId="6" applyNumberFormat="1" applyFont="1" applyFill="1" applyBorder="1" applyAlignment="1">
      <alignment horizontal="center" vertical="center" wrapText="1"/>
    </xf>
    <xf numFmtId="0" fontId="76" fillId="0" borderId="0" xfId="0" applyFont="1"/>
    <xf numFmtId="2" fontId="76" fillId="0" borderId="0" xfId="0" applyNumberFormat="1" applyFont="1" applyAlignment="1">
      <alignment horizontal="center" vertical="center" wrapText="1"/>
    </xf>
    <xf numFmtId="2" fontId="76" fillId="0" borderId="0" xfId="0" quotePrefix="1" applyNumberFormat="1" applyFont="1" applyAlignment="1">
      <alignment horizontal="center" vertical="center" wrapText="1"/>
    </xf>
    <xf numFmtId="17" fontId="76" fillId="0" borderId="0" xfId="0" quotePrefix="1" applyNumberFormat="1" applyFont="1" applyAlignment="1">
      <alignment horizontal="center" vertical="center" wrapText="1"/>
    </xf>
    <xf numFmtId="0" fontId="76" fillId="0" borderId="0" xfId="0" quotePrefix="1" applyFont="1" applyAlignment="1">
      <alignment horizontal="center" vertical="center" wrapText="1"/>
    </xf>
    <xf numFmtId="2" fontId="76" fillId="0" borderId="0" xfId="0" applyNumberFormat="1" applyFont="1" applyAlignment="1">
      <alignment horizontal="left"/>
    </xf>
    <xf numFmtId="2" fontId="75" fillId="0" borderId="0" xfId="0" applyNumberFormat="1" applyFont="1" applyAlignment="1">
      <alignment horizontal="center"/>
    </xf>
    <xf numFmtId="2" fontId="76" fillId="0" borderId="0" xfId="0" applyNumberFormat="1" applyFont="1" applyAlignment="1">
      <alignment horizontal="center"/>
    </xf>
    <xf numFmtId="43" fontId="76" fillId="0" borderId="0" xfId="1" applyFont="1" applyAlignment="1">
      <alignment horizontal="left"/>
    </xf>
    <xf numFmtId="0" fontId="76" fillId="0" borderId="0" xfId="0" applyFont="1" applyAlignment="1">
      <alignment vertical="top" wrapText="1"/>
    </xf>
    <xf numFmtId="0" fontId="76" fillId="0" borderId="0" xfId="0" applyFont="1" applyAlignment="1">
      <alignment horizontal="left" vertical="top" wrapText="1"/>
    </xf>
    <xf numFmtId="0" fontId="76" fillId="0" borderId="0" xfId="0" applyFont="1" applyAlignment="1">
      <alignment horizontal="left"/>
    </xf>
    <xf numFmtId="166" fontId="50" fillId="0" borderId="0" xfId="0" applyNumberFormat="1" applyFont="1" applyAlignment="1">
      <alignment vertical="center"/>
    </xf>
    <xf numFmtId="172" fontId="67" fillId="7" borderId="0" xfId="3" applyNumberFormat="1" applyFont="1" applyFill="1" applyAlignment="1">
      <alignment horizontal="center"/>
    </xf>
    <xf numFmtId="2" fontId="67" fillId="7" borderId="0" xfId="3" applyNumberFormat="1" applyFont="1" applyFill="1"/>
    <xf numFmtId="2" fontId="67" fillId="7" borderId="0" xfId="3" applyNumberFormat="1" applyFont="1" applyFill="1" applyAlignment="1">
      <alignment horizontal="center"/>
    </xf>
    <xf numFmtId="175" fontId="84" fillId="7" borderId="0" xfId="0" applyNumberFormat="1" applyFont="1" applyFill="1" applyAlignment="1">
      <alignment vertical="center"/>
    </xf>
    <xf numFmtId="175" fontId="65" fillId="0" borderId="0" xfId="0" applyNumberFormat="1" applyFont="1" applyAlignment="1">
      <alignment vertical="center"/>
    </xf>
    <xf numFmtId="0" fontId="84" fillId="0" borderId="0" xfId="0" applyFont="1"/>
    <xf numFmtId="176" fontId="21" fillId="0" borderId="39" xfId="2" applyNumberFormat="1" applyFont="1" applyBorder="1" applyAlignment="1">
      <alignment horizontal="right" vertical="center"/>
    </xf>
    <xf numFmtId="0" fontId="0" fillId="0" borderId="0" xfId="0"/>
    <xf numFmtId="0" fontId="85" fillId="0" borderId="0" xfId="0" applyFont="1"/>
    <xf numFmtId="0" fontId="31" fillId="0" borderId="156" xfId="0" applyFont="1" applyBorder="1" applyAlignment="1">
      <alignment vertical="center" wrapText="1"/>
    </xf>
    <xf numFmtId="22" fontId="31" fillId="0" borderId="156" xfId="0" applyNumberFormat="1" applyFont="1" applyBorder="1" applyAlignment="1">
      <alignment horizontal="center" vertical="center" wrapText="1"/>
    </xf>
    <xf numFmtId="0" fontId="60" fillId="0" borderId="156" xfId="0" applyFont="1" applyBorder="1" applyAlignment="1">
      <alignment horizontal="justify" vertical="center" wrapText="1"/>
    </xf>
    <xf numFmtId="0" fontId="31" fillId="0" borderId="156" xfId="0" applyFont="1" applyBorder="1" applyAlignment="1">
      <alignment horizontal="center" vertical="center" wrapText="1"/>
    </xf>
    <xf numFmtId="0" fontId="31" fillId="0" borderId="157" xfId="0" applyFont="1" applyBorder="1" applyAlignment="1">
      <alignment vertical="center" wrapText="1"/>
    </xf>
    <xf numFmtId="22" fontId="31" fillId="0" borderId="157" xfId="0" applyNumberFormat="1" applyFont="1" applyBorder="1" applyAlignment="1">
      <alignment horizontal="center" vertical="center" wrapText="1"/>
    </xf>
    <xf numFmtId="0" fontId="60" fillId="0" borderId="157" xfId="0" applyFont="1" applyBorder="1" applyAlignment="1">
      <alignment horizontal="justify" vertical="center" wrapText="1"/>
    </xf>
    <xf numFmtId="0" fontId="31" fillId="0" borderId="157" xfId="0" applyFont="1" applyBorder="1" applyAlignment="1">
      <alignment horizontal="center" vertical="center" wrapText="1"/>
    </xf>
    <xf numFmtId="166" fontId="65" fillId="7" borderId="0" xfId="0" applyNumberFormat="1" applyFont="1" applyFill="1"/>
    <xf numFmtId="0" fontId="85" fillId="0" borderId="0" xfId="0" applyFont="1" applyAlignment="1">
      <alignment horizontal="center"/>
    </xf>
    <xf numFmtId="175" fontId="85" fillId="0" borderId="0" xfId="0" applyNumberFormat="1" applyFont="1" applyAlignment="1">
      <alignment horizontal="center"/>
    </xf>
    <xf numFmtId="17" fontId="52" fillId="0" borderId="0" xfId="0" applyNumberFormat="1" applyFont="1" applyAlignment="1">
      <alignment horizontal="center" vertical="center"/>
    </xf>
    <xf numFmtId="2" fontId="52" fillId="0" borderId="0" xfId="0" applyNumberFormat="1" applyFont="1" applyAlignment="1">
      <alignment horizontal="center" vertical="center"/>
    </xf>
    <xf numFmtId="2" fontId="52" fillId="0" borderId="0" xfId="0" quotePrefix="1" applyNumberFormat="1" applyFont="1" applyAlignment="1">
      <alignment horizontal="center" vertical="center" wrapText="1"/>
    </xf>
    <xf numFmtId="0" fontId="13" fillId="2" borderId="0" xfId="0" applyFont="1" applyFill="1" applyAlignment="1">
      <alignment horizontal="left" vertical="center"/>
    </xf>
    <xf numFmtId="43" fontId="21" fillId="4" borderId="40" xfId="1" applyNumberFormat="1" applyFont="1" applyFill="1" applyBorder="1" applyAlignment="1">
      <alignment horizontal="right" vertical="center"/>
    </xf>
    <xf numFmtId="0" fontId="32" fillId="3" borderId="94" xfId="0" applyFont="1" applyFill="1" applyBorder="1" applyAlignment="1">
      <alignment vertical="center"/>
    </xf>
    <xf numFmtId="174" fontId="32" fillId="3" borderId="94" xfId="0" applyNumberFormat="1" applyFont="1" applyFill="1" applyBorder="1" applyAlignment="1">
      <alignment vertical="center"/>
    </xf>
    <xf numFmtId="0" fontId="27" fillId="4" borderId="64" xfId="0" applyFont="1" applyFill="1" applyBorder="1" applyAlignment="1">
      <alignment vertical="center" wrapText="1"/>
    </xf>
    <xf numFmtId="2" fontId="27" fillId="4" borderId="64" xfId="0" applyNumberFormat="1" applyFont="1" applyFill="1" applyBorder="1" applyAlignment="1">
      <alignment vertical="center" wrapText="1"/>
    </xf>
    <xf numFmtId="0" fontId="71" fillId="4" borderId="139" xfId="0" applyFont="1" applyFill="1" applyBorder="1" applyAlignment="1">
      <alignment wrapText="1"/>
    </xf>
    <xf numFmtId="0" fontId="86" fillId="0" borderId="96" xfId="0" applyFont="1" applyBorder="1"/>
    <xf numFmtId="174" fontId="86" fillId="0" borderId="96" xfId="0" applyNumberFormat="1" applyFont="1" applyBorder="1"/>
    <xf numFmtId="174" fontId="86" fillId="11" borderId="96" xfId="0" applyNumberFormat="1" applyFont="1" applyFill="1" applyBorder="1"/>
    <xf numFmtId="43" fontId="62" fillId="0" borderId="155" xfId="1" applyFont="1" applyBorder="1" applyAlignment="1">
      <alignment vertical="center" wrapText="1"/>
    </xf>
    <xf numFmtId="0" fontId="62" fillId="0" borderId="155" xfId="0" applyFont="1" applyBorder="1" applyAlignment="1">
      <alignment vertical="center" wrapText="1"/>
    </xf>
    <xf numFmtId="0" fontId="87" fillId="0" borderId="0" xfId="0" applyFont="1" applyAlignment="1">
      <alignment vertical="center"/>
    </xf>
    <xf numFmtId="49" fontId="64" fillId="0" borderId="0" xfId="0" applyNumberFormat="1" applyFont="1" applyAlignment="1">
      <alignment horizontal="right"/>
    </xf>
    <xf numFmtId="1" fontId="64" fillId="0" borderId="0" xfId="0" applyNumberFormat="1" applyFont="1" applyAlignment="1">
      <alignment horizontal="right"/>
    </xf>
    <xf numFmtId="0" fontId="64" fillId="0" borderId="0" xfId="0" applyFont="1" applyAlignment="1">
      <alignment horizontal="right"/>
    </xf>
    <xf numFmtId="1" fontId="30" fillId="0" borderId="0" xfId="0" applyNumberFormat="1" applyFont="1" applyAlignment="1">
      <alignment horizontal="right"/>
    </xf>
    <xf numFmtId="2" fontId="0" fillId="0" borderId="0" xfId="0" applyNumberFormat="1" applyFont="1" applyAlignment="1">
      <alignment horizontal="right"/>
    </xf>
    <xf numFmtId="0" fontId="27" fillId="0" borderId="0" xfId="0" applyFont="1" applyAlignment="1">
      <alignment vertical="center" wrapText="1"/>
    </xf>
    <xf numFmtId="0" fontId="27" fillId="0" borderId="0" xfId="0" applyFont="1" applyAlignment="1">
      <alignment vertical="center"/>
    </xf>
    <xf numFmtId="0" fontId="32" fillId="8" borderId="125" xfId="0" applyFont="1" applyFill="1" applyBorder="1" applyAlignment="1">
      <alignment vertical="center"/>
    </xf>
    <xf numFmtId="0" fontId="88" fillId="0" borderId="0" xfId="0" applyFont="1"/>
    <xf numFmtId="175" fontId="88" fillId="0" borderId="0" xfId="0" applyNumberFormat="1" applyFont="1"/>
    <xf numFmtId="175" fontId="88" fillId="0" borderId="0" xfId="0" applyNumberFormat="1" applyFont="1" applyAlignment="1">
      <alignment horizontal="center"/>
    </xf>
    <xf numFmtId="0" fontId="88" fillId="0" borderId="0" xfId="0" applyFont="1" applyAlignment="1">
      <alignment horizontal="center"/>
    </xf>
    <xf numFmtId="0" fontId="27" fillId="4" borderId="0" xfId="0" applyFont="1" applyFill="1" applyBorder="1" applyAlignment="1">
      <alignment vertical="center"/>
    </xf>
    <xf numFmtId="167" fontId="33" fillId="4" borderId="0" xfId="2" applyNumberFormat="1" applyFont="1" applyFill="1" applyBorder="1" applyAlignment="1">
      <alignment vertical="center"/>
    </xf>
    <xf numFmtId="170" fontId="27" fillId="4" borderId="0" xfId="0" applyNumberFormat="1" applyFont="1" applyFill="1" applyBorder="1" applyAlignment="1">
      <alignment vertical="center"/>
    </xf>
    <xf numFmtId="1" fontId="64" fillId="0" borderId="0" xfId="0" applyNumberFormat="1" applyFont="1"/>
    <xf numFmtId="0" fontId="13" fillId="2" borderId="0" xfId="0" applyFont="1" applyFill="1" applyAlignment="1">
      <alignment horizontal="left" vertical="center"/>
    </xf>
    <xf numFmtId="9" fontId="21" fillId="4" borderId="78" xfId="2" applyFont="1" applyFill="1" applyBorder="1" applyAlignment="1">
      <alignment horizontal="center" vertical="center"/>
    </xf>
    <xf numFmtId="0" fontId="31" fillId="0" borderId="159" xfId="0" applyFont="1" applyBorder="1" applyAlignment="1">
      <alignment vertical="center" wrapText="1"/>
    </xf>
    <xf numFmtId="22" fontId="31" fillId="0" borderId="159" xfId="0" applyNumberFormat="1" applyFont="1" applyBorder="1" applyAlignment="1">
      <alignment horizontal="center" vertical="center" wrapText="1"/>
    </xf>
    <xf numFmtId="0" fontId="60" fillId="0" borderId="159" xfId="0" applyFont="1" applyBorder="1" applyAlignment="1">
      <alignment horizontal="justify" vertical="center" wrapText="1"/>
    </xf>
    <xf numFmtId="0" fontId="31" fillId="0" borderId="159" xfId="0" applyFont="1" applyBorder="1" applyAlignment="1">
      <alignment horizontal="center" vertical="center" wrapText="1"/>
    </xf>
    <xf numFmtId="0" fontId="30" fillId="0" borderId="0" xfId="0" applyFont="1" applyBorder="1" applyAlignment="1">
      <alignment vertical="center"/>
    </xf>
    <xf numFmtId="0" fontId="30" fillId="0" borderId="0" xfId="0" applyFont="1" applyBorder="1" applyAlignment="1">
      <alignment horizontal="center" vertical="center"/>
    </xf>
    <xf numFmtId="0" fontId="12" fillId="0" borderId="0" xfId="0" applyFont="1" applyAlignment="1">
      <alignment horizontal="center" vertical="center"/>
    </xf>
    <xf numFmtId="0" fontId="25" fillId="0" borderId="0" xfId="0" applyFont="1" applyAlignment="1">
      <alignment horizontal="center" vertical="center"/>
    </xf>
    <xf numFmtId="0" fontId="23" fillId="0" borderId="0" xfId="0" applyFont="1" applyAlignment="1">
      <alignment horizontal="left" vertical="center"/>
    </xf>
    <xf numFmtId="0" fontId="5" fillId="0" borderId="0" xfId="0" applyFont="1" applyAlignment="1">
      <alignment horizontal="right" vertical="center"/>
    </xf>
    <xf numFmtId="0" fontId="5" fillId="0" borderId="0" xfId="0" applyFont="1" applyAlignment="1">
      <alignment horizontal="center" vertical="center"/>
    </xf>
    <xf numFmtId="17" fontId="15" fillId="0" borderId="0" xfId="0" quotePrefix="1" applyNumberFormat="1" applyFont="1" applyAlignment="1">
      <alignment horizontal="center" vertical="center"/>
    </xf>
    <xf numFmtId="0" fontId="8" fillId="0" borderId="0" xfId="0" applyFont="1" applyAlignment="1">
      <alignment horizontal="justify" vertical="justify" wrapText="1" readingOrder="1"/>
    </xf>
    <xf numFmtId="0" fontId="8" fillId="0" borderId="0" xfId="0" applyFont="1" applyAlignment="1">
      <alignment horizontal="justify" vertical="justify" wrapText="1"/>
    </xf>
    <xf numFmtId="17" fontId="25" fillId="0" borderId="0" xfId="0" quotePrefix="1" applyNumberFormat="1" applyFont="1" applyAlignment="1">
      <alignment horizontal="center" vertical="center"/>
    </xf>
    <xf numFmtId="0" fontId="61" fillId="5" borderId="38" xfId="0" applyFont="1" applyFill="1" applyBorder="1" applyAlignment="1">
      <alignment horizontal="left" vertical="center"/>
    </xf>
    <xf numFmtId="0" fontId="61" fillId="5" borderId="40" xfId="0" applyFont="1" applyFill="1" applyBorder="1" applyAlignment="1">
      <alignment horizontal="left" vertical="center"/>
    </xf>
    <xf numFmtId="0" fontId="36" fillId="8" borderId="34" xfId="0" applyFont="1" applyFill="1" applyBorder="1" applyAlignment="1">
      <alignment horizontal="center" vertical="center" wrapText="1"/>
    </xf>
    <xf numFmtId="0" fontId="36" fillId="8" borderId="26" xfId="0" applyFont="1" applyFill="1" applyBorder="1" applyAlignment="1">
      <alignment horizontal="center" vertical="center" wrapText="1"/>
    </xf>
    <xf numFmtId="0" fontId="37" fillId="0" borderId="0" xfId="0" applyFont="1" applyAlignment="1">
      <alignment horizontal="left" wrapText="1"/>
    </xf>
    <xf numFmtId="0" fontId="12" fillId="2" borderId="0" xfId="0" applyFont="1" applyFill="1" applyAlignment="1">
      <alignment horizontal="center" vertical="center" wrapText="1"/>
    </xf>
    <xf numFmtId="0" fontId="61" fillId="5" borderId="27" xfId="0" applyFont="1" applyFill="1" applyBorder="1" applyAlignment="1">
      <alignment horizontal="left" vertical="center"/>
    </xf>
    <xf numFmtId="0" fontId="61" fillId="5" borderId="29" xfId="0" applyFont="1" applyFill="1" applyBorder="1" applyAlignment="1">
      <alignment horizontal="left" vertical="center"/>
    </xf>
    <xf numFmtId="0" fontId="61" fillId="2" borderId="30" xfId="0" applyFont="1" applyFill="1" applyBorder="1" applyAlignment="1">
      <alignment horizontal="left" vertical="center"/>
    </xf>
    <xf numFmtId="0" fontId="61" fillId="2" borderId="31" xfId="0" applyFont="1" applyFill="1" applyBorder="1" applyAlignment="1">
      <alignment horizontal="left" vertical="center"/>
    </xf>
    <xf numFmtId="0" fontId="61" fillId="5" borderId="30" xfId="0" applyFont="1" applyFill="1" applyBorder="1" applyAlignment="1">
      <alignment horizontal="left" vertical="center"/>
    </xf>
    <xf numFmtId="0" fontId="61" fillId="5" borderId="31" xfId="0" applyFont="1" applyFill="1" applyBorder="1" applyAlignment="1">
      <alignment horizontal="left" vertical="center"/>
    </xf>
    <xf numFmtId="0" fontId="61" fillId="2" borderId="32" xfId="0" applyFont="1" applyFill="1" applyBorder="1" applyAlignment="1">
      <alignment horizontal="left" vertical="center"/>
    </xf>
    <xf numFmtId="0" fontId="61" fillId="2" borderId="34" xfId="0" applyFont="1" applyFill="1" applyBorder="1" applyAlignment="1">
      <alignment horizontal="left" vertical="center"/>
    </xf>
    <xf numFmtId="0" fontId="62" fillId="2" borderId="0" xfId="0" quotePrefix="1" applyFont="1" applyFill="1" applyAlignment="1">
      <alignment horizontal="left" vertical="center"/>
    </xf>
    <xf numFmtId="0" fontId="62" fillId="2" borderId="0" xfId="0" quotePrefix="1" applyFont="1" applyFill="1" applyAlignment="1">
      <alignment horizontal="left" vertical="center" wrapText="1"/>
    </xf>
    <xf numFmtId="0" fontId="31" fillId="0" borderId="0" xfId="0" applyFont="1" applyAlignment="1">
      <alignment horizontal="justify" vertical="center" wrapText="1"/>
    </xf>
    <xf numFmtId="17" fontId="20" fillId="0" borderId="0" xfId="0" applyNumberFormat="1" applyFont="1" applyAlignment="1">
      <alignment horizontal="center" vertical="center"/>
    </xf>
    <xf numFmtId="0" fontId="20" fillId="0" borderId="0" xfId="0" applyFont="1" applyAlignment="1">
      <alignment horizontal="center" vertical="center"/>
    </xf>
    <xf numFmtId="0" fontId="2" fillId="8" borderId="17" xfId="0" quotePrefix="1" applyFont="1" applyFill="1" applyBorder="1" applyAlignment="1">
      <alignment horizontal="left" vertical="center" wrapText="1"/>
    </xf>
    <xf numFmtId="0" fontId="2" fillId="8" borderId="20" xfId="0" quotePrefix="1" applyFont="1" applyFill="1" applyBorder="1" applyAlignment="1">
      <alignment horizontal="left" vertical="center" wrapText="1"/>
    </xf>
    <xf numFmtId="0" fontId="12" fillId="0" borderId="0" xfId="0" applyFont="1" applyAlignment="1">
      <alignment horizontal="left" vertical="center"/>
    </xf>
    <xf numFmtId="0" fontId="4" fillId="0" borderId="0" xfId="0" quotePrefix="1" applyFont="1" applyAlignment="1">
      <alignment horizontal="left" vertical="center" wrapText="1"/>
    </xf>
    <xf numFmtId="43" fontId="2" fillId="8" borderId="18" xfId="1" applyFont="1" applyFill="1" applyBorder="1" applyAlignment="1">
      <alignment horizontal="center" vertical="center"/>
    </xf>
    <xf numFmtId="17" fontId="2" fillId="8" borderId="18" xfId="0" applyNumberFormat="1" applyFont="1" applyFill="1" applyBorder="1" applyAlignment="1">
      <alignment horizontal="center" vertical="center"/>
    </xf>
    <xf numFmtId="0" fontId="2" fillId="8" borderId="18" xfId="0" applyFont="1" applyFill="1" applyBorder="1" applyAlignment="1">
      <alignment horizontal="center" vertical="center"/>
    </xf>
    <xf numFmtId="0" fontId="2" fillId="8" borderId="19" xfId="0" applyFont="1" applyFill="1" applyBorder="1" applyAlignment="1">
      <alignment horizontal="center" vertical="center"/>
    </xf>
    <xf numFmtId="0" fontId="4" fillId="2" borderId="0" xfId="0" quotePrefix="1" applyFont="1" applyFill="1" applyAlignment="1">
      <alignment horizontal="left" vertical="top" wrapText="1"/>
    </xf>
    <xf numFmtId="43" fontId="2" fillId="8" borderId="23" xfId="1" applyFont="1" applyFill="1" applyBorder="1" applyAlignment="1">
      <alignment horizontal="center" vertical="center"/>
    </xf>
    <xf numFmtId="17" fontId="2" fillId="8" borderId="23" xfId="0" applyNumberFormat="1" applyFont="1" applyFill="1" applyBorder="1" applyAlignment="1">
      <alignment horizontal="center" vertical="center"/>
    </xf>
    <xf numFmtId="0" fontId="2" fillId="8" borderId="23" xfId="0" applyFont="1" applyFill="1" applyBorder="1" applyAlignment="1">
      <alignment horizontal="center" vertical="center"/>
    </xf>
    <xf numFmtId="0" fontId="2" fillId="8" borderId="23" xfId="0" quotePrefix="1" applyFont="1" applyFill="1" applyBorder="1" applyAlignment="1">
      <alignment horizontal="left" vertical="center" wrapText="1"/>
    </xf>
    <xf numFmtId="0" fontId="23" fillId="2" borderId="0" xfId="0" applyFont="1" applyFill="1" applyAlignment="1">
      <alignment horizontal="left" wrapText="1"/>
    </xf>
    <xf numFmtId="0" fontId="4" fillId="2" borderId="0" xfId="0" applyFont="1" applyFill="1" applyAlignment="1">
      <alignment horizontal="left" vertical="center" wrapText="1"/>
    </xf>
    <xf numFmtId="0" fontId="27" fillId="2" borderId="0" xfId="0" quotePrefix="1" applyFont="1" applyFill="1" applyAlignment="1">
      <alignment horizontal="justify" vertical="top" wrapText="1"/>
    </xf>
    <xf numFmtId="0" fontId="4" fillId="0" borderId="0" xfId="0" applyFont="1" applyAlignment="1">
      <alignment horizontal="left"/>
    </xf>
    <xf numFmtId="0" fontId="6" fillId="2" borderId="0" xfId="0" applyFont="1" applyFill="1" applyAlignment="1">
      <alignment horizontal="center"/>
    </xf>
    <xf numFmtId="0" fontId="0" fillId="2" borderId="0" xfId="0" quotePrefix="1" applyFill="1" applyAlignment="1">
      <alignment horizontal="left" vertical="top"/>
    </xf>
    <xf numFmtId="0" fontId="0" fillId="2" borderId="0" xfId="0" quotePrefix="1" applyFill="1" applyAlignment="1">
      <alignment horizontal="left" vertical="top" wrapText="1"/>
    </xf>
    <xf numFmtId="0" fontId="2" fillId="9" borderId="45" xfId="0" applyFont="1" applyFill="1" applyBorder="1" applyAlignment="1">
      <alignment horizontal="left" vertical="center"/>
    </xf>
    <xf numFmtId="43" fontId="2" fillId="8" borderId="45" xfId="1" applyFont="1" applyFill="1" applyBorder="1" applyAlignment="1">
      <alignment horizontal="center" vertical="center"/>
    </xf>
    <xf numFmtId="0" fontId="2" fillId="8" borderId="45" xfId="0" applyFont="1" applyFill="1" applyBorder="1" applyAlignment="1">
      <alignment horizontal="center" vertical="center"/>
    </xf>
    <xf numFmtId="0" fontId="21" fillId="2" borderId="0" xfId="0" applyFont="1" applyFill="1" applyAlignment="1">
      <alignment horizontal="center"/>
    </xf>
    <xf numFmtId="0" fontId="23" fillId="2" borderId="0" xfId="0" applyFont="1" applyFill="1" applyAlignment="1">
      <alignment horizontal="left" vertical="center" wrapText="1"/>
    </xf>
    <xf numFmtId="0" fontId="13" fillId="2" borderId="0" xfId="0" applyFont="1" applyFill="1" applyBorder="1" applyAlignment="1">
      <alignment horizontal="left" vertical="center" wrapText="1"/>
    </xf>
    <xf numFmtId="0" fontId="13" fillId="2" borderId="0" xfId="0" applyFont="1" applyFill="1" applyAlignment="1">
      <alignment horizontal="left" vertical="center"/>
    </xf>
    <xf numFmtId="0" fontId="13" fillId="2" borderId="0" xfId="0" applyFont="1" applyFill="1" applyAlignment="1">
      <alignment horizontal="left" vertical="center" wrapText="1"/>
    </xf>
    <xf numFmtId="0" fontId="27" fillId="2" borderId="0" xfId="0" quotePrefix="1" applyFont="1" applyFill="1" applyAlignment="1">
      <alignment horizontal="left" vertical="center" wrapText="1"/>
    </xf>
    <xf numFmtId="0" fontId="23" fillId="2" borderId="0" xfId="0" applyFont="1" applyFill="1" applyAlignment="1">
      <alignment horizontal="left" vertical="top" wrapText="1"/>
    </xf>
    <xf numFmtId="0" fontId="12" fillId="2" borderId="0" xfId="0" applyFont="1" applyFill="1" applyAlignment="1">
      <alignment horizontal="left" vertical="center"/>
    </xf>
    <xf numFmtId="0" fontId="4" fillId="2" borderId="0" xfId="0" quotePrefix="1" applyFont="1" applyFill="1" applyAlignment="1">
      <alignment horizontal="left" vertical="top"/>
    </xf>
    <xf numFmtId="43" fontId="32" fillId="8" borderId="23" xfId="1" applyFont="1" applyFill="1" applyBorder="1" applyAlignment="1">
      <alignment horizontal="center" vertical="center"/>
    </xf>
    <xf numFmtId="17" fontId="32" fillId="8" borderId="23" xfId="0" applyNumberFormat="1" applyFont="1" applyFill="1" applyBorder="1" applyAlignment="1">
      <alignment horizontal="center" vertical="center"/>
    </xf>
    <xf numFmtId="0" fontId="32" fillId="8" borderId="23" xfId="0" applyFont="1" applyFill="1" applyBorder="1" applyAlignment="1">
      <alignment horizontal="center" vertical="center"/>
    </xf>
    <xf numFmtId="167" fontId="32" fillId="8" borderId="23" xfId="2" applyNumberFormat="1" applyFont="1" applyFill="1" applyBorder="1" applyAlignment="1">
      <alignment horizontal="center" vertical="center" wrapText="1"/>
    </xf>
    <xf numFmtId="167" fontId="32" fillId="8" borderId="23" xfId="2" applyNumberFormat="1" applyFont="1" applyFill="1" applyBorder="1" applyAlignment="1">
      <alignment horizontal="center" vertical="center"/>
    </xf>
    <xf numFmtId="0" fontId="32" fillId="8" borderId="23" xfId="0" quotePrefix="1" applyFont="1" applyFill="1" applyBorder="1" applyAlignment="1">
      <alignment horizontal="left" vertical="center" wrapText="1"/>
    </xf>
    <xf numFmtId="0" fontId="13" fillId="2" borderId="0" xfId="0" quotePrefix="1" applyFont="1" applyFill="1" applyAlignment="1">
      <alignment horizontal="left" vertical="center" wrapText="1"/>
    </xf>
    <xf numFmtId="0" fontId="0" fillId="2" borderId="0" xfId="0" quotePrefix="1" applyFill="1" applyAlignment="1">
      <alignment horizontal="left" vertical="center" wrapText="1"/>
    </xf>
    <xf numFmtId="0" fontId="4" fillId="0" borderId="0" xfId="0" applyFont="1" applyAlignment="1">
      <alignment horizontal="left" vertical="center" wrapText="1"/>
    </xf>
    <xf numFmtId="0" fontId="2" fillId="9" borderId="57" xfId="0" applyFont="1" applyFill="1" applyBorder="1" applyAlignment="1">
      <alignment horizontal="center" vertical="center" wrapText="1"/>
    </xf>
    <xf numFmtId="0" fontId="2" fillId="9" borderId="59" xfId="0" applyFont="1" applyFill="1" applyBorder="1" applyAlignment="1">
      <alignment horizontal="center" vertical="center" wrapText="1"/>
    </xf>
    <xf numFmtId="43" fontId="2" fillId="8" borderId="57" xfId="1" applyFont="1" applyFill="1" applyBorder="1" applyAlignment="1">
      <alignment horizontal="center" vertical="center" wrapText="1"/>
    </xf>
    <xf numFmtId="0" fontId="2" fillId="8" borderId="57" xfId="0" applyFont="1" applyFill="1" applyBorder="1" applyAlignment="1">
      <alignment horizontal="center" vertical="center"/>
    </xf>
    <xf numFmtId="0" fontId="2" fillId="8" borderId="58" xfId="0" applyFont="1" applyFill="1" applyBorder="1" applyAlignment="1">
      <alignment horizontal="center" vertical="center"/>
    </xf>
    <xf numFmtId="0" fontId="21" fillId="2" borderId="0" xfId="0" applyFont="1" applyFill="1" applyAlignment="1">
      <alignment horizontal="center" vertical="top"/>
    </xf>
    <xf numFmtId="0" fontId="2" fillId="8" borderId="60" xfId="0" applyFont="1" applyFill="1" applyBorder="1" applyAlignment="1">
      <alignment horizontal="center" vertical="center"/>
    </xf>
    <xf numFmtId="0" fontId="4" fillId="2" borderId="0" xfId="0" applyFont="1" applyFill="1" applyAlignment="1">
      <alignment horizontal="left" vertical="center"/>
    </xf>
    <xf numFmtId="0" fontId="34" fillId="0" borderId="2" xfId="0" applyFont="1" applyBorder="1" applyAlignment="1">
      <alignment horizontal="left" vertical="center" wrapText="1"/>
    </xf>
    <xf numFmtId="0" fontId="4" fillId="2" borderId="0" xfId="0" applyFont="1" applyFill="1" applyAlignment="1">
      <alignment horizontal="center"/>
    </xf>
    <xf numFmtId="0" fontId="20" fillId="2" borderId="0" xfId="0" applyFont="1" applyFill="1" applyAlignment="1">
      <alignment horizontal="center" vertical="center" wrapText="1"/>
    </xf>
    <xf numFmtId="0" fontId="4" fillId="2" borderId="0" xfId="0" applyFont="1" applyFill="1" applyAlignment="1">
      <alignment horizontal="left"/>
    </xf>
    <xf numFmtId="0" fontId="23" fillId="2" borderId="0" xfId="0" applyFont="1" applyFill="1" applyAlignment="1">
      <alignment horizontal="left" vertical="center"/>
    </xf>
    <xf numFmtId="2" fontId="37" fillId="2" borderId="0" xfId="0" applyNumberFormat="1" applyFont="1" applyFill="1" applyAlignment="1">
      <alignment horizontal="left" vertical="center" wrapText="1"/>
    </xf>
    <xf numFmtId="2" fontId="37" fillId="2" borderId="0" xfId="0" applyNumberFormat="1" applyFont="1" applyFill="1" applyAlignment="1">
      <alignment horizontal="left" vertical="center"/>
    </xf>
    <xf numFmtId="2" fontId="37" fillId="2" borderId="101" xfId="0" applyNumberFormat="1" applyFont="1" applyFill="1" applyBorder="1" applyAlignment="1">
      <alignment horizontal="left" vertical="center" wrapText="1"/>
    </xf>
    <xf numFmtId="0" fontId="77" fillId="2" borderId="0" xfId="0" applyFont="1" applyFill="1" applyAlignment="1">
      <alignment horizontal="left" vertical="center"/>
    </xf>
    <xf numFmtId="43" fontId="62" fillId="0" borderId="154" xfId="1" applyFont="1" applyBorder="1" applyAlignment="1">
      <alignment horizontal="center" vertical="center" wrapText="1"/>
    </xf>
    <xf numFmtId="43" fontId="62" fillId="0" borderId="158" xfId="1" applyFont="1" applyBorder="1" applyAlignment="1">
      <alignment horizontal="center" vertical="center" wrapText="1"/>
    </xf>
    <xf numFmtId="0" fontId="27" fillId="2" borderId="0" xfId="0" applyFont="1" applyFill="1" applyAlignment="1">
      <alignment horizontal="left" vertical="center" wrapText="1"/>
    </xf>
    <xf numFmtId="0" fontId="37" fillId="2" borderId="0" xfId="0" applyFont="1" applyFill="1" applyAlignment="1">
      <alignment wrapText="1"/>
    </xf>
    <xf numFmtId="0" fontId="38" fillId="2" borderId="0" xfId="0" quotePrefix="1" applyFont="1" applyFill="1" applyAlignment="1">
      <alignment horizontal="center" vertical="center" wrapText="1"/>
    </xf>
    <xf numFmtId="0" fontId="38" fillId="2" borderId="0" xfId="0" applyFont="1" applyFill="1" applyAlignment="1">
      <alignment horizontal="center"/>
    </xf>
    <xf numFmtId="0" fontId="37" fillId="2" borderId="0" xfId="0" applyFont="1" applyFill="1" applyAlignment="1">
      <alignment vertical="center" wrapText="1"/>
    </xf>
    <xf numFmtId="43" fontId="36" fillId="8" borderId="85" xfId="1" applyFont="1" applyFill="1" applyBorder="1" applyAlignment="1">
      <alignment horizontal="center" vertical="center" wrapText="1"/>
    </xf>
    <xf numFmtId="43" fontId="36" fillId="8" borderId="148" xfId="1" applyFont="1" applyFill="1" applyBorder="1" applyAlignment="1">
      <alignment horizontal="center" vertical="center" wrapText="1"/>
    </xf>
    <xf numFmtId="0" fontId="11" fillId="2" borderId="0" xfId="0" applyFont="1" applyFill="1" applyAlignment="1">
      <alignment horizontal="left" vertical="center" wrapText="1"/>
    </xf>
    <xf numFmtId="0" fontId="4" fillId="2" borderId="86" xfId="0" applyFont="1" applyFill="1" applyBorder="1" applyAlignment="1">
      <alignment horizontal="left" vertical="center"/>
    </xf>
    <xf numFmtId="0" fontId="37" fillId="2" borderId="0" xfId="0" quotePrefix="1" applyFont="1" applyFill="1" applyBorder="1" applyAlignment="1">
      <alignment horizontal="left"/>
    </xf>
    <xf numFmtId="0" fontId="27" fillId="0" borderId="0" xfId="0" applyFont="1" applyAlignment="1">
      <alignment horizontal="left" vertical="center" wrapText="1"/>
    </xf>
    <xf numFmtId="0" fontId="36" fillId="8" borderId="118" xfId="5" applyFont="1" applyFill="1" applyBorder="1" applyAlignment="1">
      <alignment horizontal="center" vertical="center"/>
    </xf>
    <xf numFmtId="0" fontId="36" fillId="8" borderId="120" xfId="5" applyFont="1" applyFill="1" applyBorder="1" applyAlignment="1">
      <alignment horizontal="center" vertical="center"/>
    </xf>
    <xf numFmtId="0" fontId="36" fillId="8" borderId="122" xfId="5" applyFont="1" applyFill="1" applyBorder="1" applyAlignment="1">
      <alignment horizontal="center" vertical="center"/>
    </xf>
    <xf numFmtId="0" fontId="36" fillId="8" borderId="88" xfId="5" applyFont="1" applyFill="1" applyBorder="1" applyAlignment="1">
      <alignment horizontal="center" vertical="center"/>
    </xf>
    <xf numFmtId="0" fontId="36" fillId="8" borderId="87" xfId="5" applyFont="1" applyFill="1" applyBorder="1" applyAlignment="1">
      <alignment horizontal="center" vertical="center"/>
    </xf>
    <xf numFmtId="0" fontId="36" fillId="8" borderId="91" xfId="5" applyFont="1" applyFill="1" applyBorder="1" applyAlignment="1">
      <alignment horizontal="center" vertical="center"/>
    </xf>
    <xf numFmtId="17" fontId="36" fillId="8" borderId="88" xfId="0" applyNumberFormat="1" applyFont="1" applyFill="1" applyBorder="1" applyAlignment="1">
      <alignment horizontal="center" vertical="center"/>
    </xf>
    <xf numFmtId="0" fontId="36" fillId="8" borderId="87" xfId="0" applyFont="1" applyFill="1" applyBorder="1" applyAlignment="1">
      <alignment horizontal="center" vertical="center"/>
    </xf>
    <xf numFmtId="0" fontId="36" fillId="8" borderId="44" xfId="5" applyFont="1" applyFill="1" applyBorder="1" applyAlignment="1">
      <alignment horizontal="center" vertical="center" wrapText="1"/>
    </xf>
    <xf numFmtId="0" fontId="36" fillId="8" borderId="88" xfId="5" applyFont="1" applyFill="1" applyBorder="1" applyAlignment="1">
      <alignment horizontal="center" vertical="center" wrapText="1"/>
    </xf>
    <xf numFmtId="0" fontId="36" fillId="8" borderId="124" xfId="5" applyFont="1" applyFill="1" applyBorder="1" applyAlignment="1">
      <alignment horizontal="center" vertical="center"/>
    </xf>
    <xf numFmtId="0" fontId="36" fillId="8" borderId="44" xfId="5" applyFont="1" applyFill="1" applyBorder="1" applyAlignment="1">
      <alignment horizontal="center" vertical="center"/>
    </xf>
    <xf numFmtId="0" fontId="31" fillId="0" borderId="0" xfId="0" applyFont="1" applyAlignment="1">
      <alignment horizontal="left" vertical="center" wrapText="1"/>
    </xf>
    <xf numFmtId="0" fontId="31" fillId="0" borderId="0" xfId="0" applyFont="1" applyBorder="1" applyAlignment="1">
      <alignment horizontal="left" vertical="center" wrapText="1"/>
    </xf>
    <xf numFmtId="0" fontId="36" fillId="10" borderId="128" xfId="6" applyFont="1" applyFill="1" applyBorder="1" applyAlignment="1">
      <alignment horizontal="center" vertical="center"/>
    </xf>
    <xf numFmtId="0" fontId="36" fillId="10" borderId="130" xfId="6" applyFont="1" applyFill="1" applyBorder="1" applyAlignment="1">
      <alignment horizontal="center" vertical="center"/>
    </xf>
    <xf numFmtId="0" fontId="36" fillId="10" borderId="134" xfId="6" applyFont="1" applyFill="1" applyBorder="1" applyAlignment="1">
      <alignment horizontal="center" vertical="center"/>
    </xf>
    <xf numFmtId="0" fontId="36" fillId="10" borderId="95" xfId="6" applyFont="1" applyFill="1" applyBorder="1" applyAlignment="1">
      <alignment horizontal="center" vertical="center"/>
    </xf>
    <xf numFmtId="0" fontId="36" fillId="10" borderId="45" xfId="6" applyFont="1" applyFill="1" applyBorder="1" applyAlignment="1">
      <alignment horizontal="center" vertical="center"/>
    </xf>
    <xf numFmtId="0" fontId="36" fillId="10" borderId="135" xfId="6" applyFont="1" applyFill="1" applyBorder="1" applyAlignment="1">
      <alignment horizontal="center" vertical="center"/>
    </xf>
    <xf numFmtId="0" fontId="36" fillId="10" borderId="129" xfId="6" applyFont="1" applyFill="1" applyBorder="1" applyAlignment="1">
      <alignment horizontal="center" vertical="center"/>
    </xf>
    <xf numFmtId="0" fontId="36" fillId="10" borderId="137" xfId="6" applyFont="1" applyFill="1" applyBorder="1" applyAlignment="1">
      <alignment horizontal="center" vertical="center"/>
    </xf>
    <xf numFmtId="0" fontId="36" fillId="10" borderId="132" xfId="6" applyFont="1" applyFill="1" applyBorder="1" applyAlignment="1">
      <alignment horizontal="center" vertical="center"/>
    </xf>
    <xf numFmtId="0" fontId="36" fillId="10" borderId="18" xfId="6" applyFont="1" applyFill="1" applyBorder="1" applyAlignment="1">
      <alignment horizontal="center" vertical="center"/>
    </xf>
    <xf numFmtId="0" fontId="36" fillId="10" borderId="94" xfId="6" applyFont="1" applyFill="1" applyBorder="1" applyAlignment="1">
      <alignment horizontal="center" vertical="center"/>
    </xf>
    <xf numFmtId="0" fontId="36" fillId="10" borderId="138" xfId="6" applyFont="1" applyFill="1" applyBorder="1" applyAlignment="1">
      <alignment horizontal="center" vertical="center"/>
    </xf>
    <xf numFmtId="0" fontId="41" fillId="8" borderId="96" xfId="0" applyFont="1" applyFill="1" applyBorder="1" applyAlignment="1">
      <alignment horizontal="center" vertical="center"/>
    </xf>
    <xf numFmtId="174" fontId="41" fillId="8" borderId="96" xfId="0" applyNumberFormat="1" applyFont="1" applyFill="1" applyBorder="1" applyAlignment="1">
      <alignment horizontal="center"/>
    </xf>
  </cellXfs>
  <cellStyles count="9">
    <cellStyle name="Comma" xfId="1" builtinId="3"/>
    <cellStyle name="Currency" xfId="7" builtinId="4"/>
    <cellStyle name="Normal" xfId="0" builtinId="0"/>
    <cellStyle name="Normal 394" xfId="5" xr:uid="{00000000-0005-0000-0000-000003000000}"/>
    <cellStyle name="Normal 395" xfId="6" xr:uid="{00000000-0005-0000-0000-000004000000}"/>
    <cellStyle name="Normal 398" xfId="8" xr:uid="{00000000-0005-0000-0000-000005000000}"/>
    <cellStyle name="Normal 96" xfId="4" xr:uid="{00000000-0005-0000-0000-000006000000}"/>
    <cellStyle name="Normal_Informe Semanal 52_2011 2" xfId="3" xr:uid="{00000000-0005-0000-0000-000007000000}"/>
    <cellStyle name="Percent" xfId="2" builtinId="5"/>
  </cellStyles>
  <dxfs count="6">
    <dxf>
      <font>
        <color rgb="FF9C0006"/>
      </font>
    </dxf>
    <dxf>
      <font>
        <color rgb="FF9C0006"/>
      </font>
    </dxf>
    <dxf>
      <font>
        <color rgb="FF9C0006"/>
      </font>
    </dxf>
    <dxf>
      <font>
        <color rgb="FF9C0006"/>
      </font>
    </dxf>
    <dxf>
      <font>
        <color rgb="FF9C0006"/>
      </font>
    </dxf>
    <dxf>
      <font>
        <color rgb="FF9C0006"/>
      </font>
    </dxf>
  </dxfs>
  <tableStyles count="0" defaultTableStyle="TableStyleMedium2" defaultPivotStyle="PivotStyleLight16"/>
  <colors>
    <mruColors>
      <color rgb="FF0077A5"/>
      <color rgb="FFA7D7FF"/>
      <color rgb="FFC0E2FF"/>
      <color rgb="FF008FC8"/>
      <color rgb="FFD7E2FF"/>
      <color rgb="FFABE2FF"/>
      <color rgb="FFB9EBFF"/>
      <color rgb="FF0DBAFF"/>
      <color rgb="FFA3A3A3"/>
      <color rgb="FF9B9B9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2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30.xml.rels><?xml version="1.0" encoding="UTF-8" standalone="yes"?>
<Relationships xmlns="http://schemas.openxmlformats.org/package/2006/relationships"><Relationship Id="rId3" Type="http://schemas.openxmlformats.org/officeDocument/2006/relationships/chartUserShapes" Target="../drawings/drawing19.xml"/><Relationship Id="rId2" Type="http://schemas.microsoft.com/office/2011/relationships/chartColorStyle" Target="colors7.xml"/><Relationship Id="rId1" Type="http://schemas.microsoft.com/office/2011/relationships/chartStyle" Target="style7.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017529178630237E-2"/>
          <c:y val="0.21662474090665015"/>
          <c:w val="0.30372208039693654"/>
          <c:h val="0.53198128362328245"/>
        </c:manualLayout>
      </c:layout>
      <c:pieChart>
        <c:varyColors val="1"/>
        <c:ser>
          <c:idx val="0"/>
          <c:order val="0"/>
          <c:dPt>
            <c:idx val="0"/>
            <c:bubble3D val="0"/>
            <c:spPr>
              <a:solidFill>
                <a:srgbClr val="0077A5"/>
              </a:solidFill>
              <a:ln w="19050">
                <a:solidFill>
                  <a:schemeClr val="lt1"/>
                </a:solidFill>
              </a:ln>
              <a:effectLst/>
            </c:spPr>
            <c:extLst>
              <c:ext xmlns:c16="http://schemas.microsoft.com/office/drawing/2014/chart" uri="{C3380CC4-5D6E-409C-BE32-E72D297353CC}">
                <c16:uniqueId val="{00000001-3926-494B-9694-5F8CDAC72D0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926-494B-9694-5F8CDAC72D02}"/>
              </c:ext>
            </c:extLst>
          </c:dPt>
          <c:dPt>
            <c:idx val="2"/>
            <c:bubble3D val="0"/>
            <c:spPr>
              <a:solidFill>
                <a:srgbClr val="996600"/>
              </a:solidFill>
              <a:ln w="19050">
                <a:solidFill>
                  <a:schemeClr val="lt1"/>
                </a:solidFill>
              </a:ln>
              <a:effectLst/>
            </c:spPr>
            <c:extLst>
              <c:ext xmlns:c16="http://schemas.microsoft.com/office/drawing/2014/chart" uri="{C3380CC4-5D6E-409C-BE32-E72D297353CC}">
                <c16:uniqueId val="{00000005-3926-494B-9694-5F8CDAC72D02}"/>
              </c:ext>
            </c:extLst>
          </c:dPt>
          <c:dPt>
            <c:idx val="3"/>
            <c:bubble3D val="0"/>
            <c:spPr>
              <a:solidFill>
                <a:srgbClr val="FF0000"/>
              </a:solidFill>
              <a:ln w="19050">
                <a:solidFill>
                  <a:schemeClr val="lt1"/>
                </a:solidFill>
              </a:ln>
              <a:effectLst/>
            </c:spPr>
            <c:extLst>
              <c:ext xmlns:c16="http://schemas.microsoft.com/office/drawing/2014/chart" uri="{C3380CC4-5D6E-409C-BE32-E72D297353CC}">
                <c16:uniqueId val="{00000007-3926-494B-9694-5F8CDAC72D02}"/>
              </c:ext>
            </c:extLst>
          </c:dPt>
          <c:dPt>
            <c:idx val="4"/>
            <c:bubble3D val="0"/>
            <c:spPr>
              <a:solidFill>
                <a:schemeClr val="accent6"/>
              </a:solidFill>
              <a:ln w="19050">
                <a:solidFill>
                  <a:schemeClr val="lt1"/>
                </a:solidFill>
              </a:ln>
              <a:effectLst/>
            </c:spPr>
            <c:extLst>
              <c:ext xmlns:c16="http://schemas.microsoft.com/office/drawing/2014/chart" uri="{C3380CC4-5D6E-409C-BE32-E72D297353CC}">
                <c16:uniqueId val="{00000009-3926-494B-9694-5F8CDAC72D02}"/>
              </c:ext>
            </c:extLst>
          </c:dPt>
          <c:dPt>
            <c:idx val="5"/>
            <c:bubble3D val="0"/>
            <c:spPr>
              <a:solidFill>
                <a:srgbClr val="6DA6D9"/>
              </a:solidFill>
              <a:ln w="19050">
                <a:solidFill>
                  <a:schemeClr val="lt1"/>
                </a:solidFill>
              </a:ln>
              <a:effectLst/>
            </c:spPr>
            <c:extLst>
              <c:ext xmlns:c16="http://schemas.microsoft.com/office/drawing/2014/chart" uri="{C3380CC4-5D6E-409C-BE32-E72D297353CC}">
                <c16:uniqueId val="{0000000B-3926-494B-9694-5F8CDAC72D02}"/>
              </c:ext>
            </c:extLst>
          </c:dPt>
          <c:dPt>
            <c:idx val="6"/>
            <c:bubble3D val="0"/>
            <c:spPr>
              <a:solidFill>
                <a:schemeClr val="accent4"/>
              </a:solidFill>
              <a:ln w="19050">
                <a:solidFill>
                  <a:schemeClr val="lt1"/>
                </a:solidFill>
              </a:ln>
              <a:effectLst/>
            </c:spPr>
            <c:extLst>
              <c:ext xmlns:c16="http://schemas.microsoft.com/office/drawing/2014/chart" uri="{C3380CC4-5D6E-409C-BE32-E72D297353CC}">
                <c16:uniqueId val="{0000000D-3926-494B-9694-5F8CDAC72D02}"/>
              </c:ext>
            </c:extLst>
          </c:dPt>
          <c:dLbls>
            <c:dLbl>
              <c:idx val="0"/>
              <c:layout>
                <c:manualLayout>
                  <c:x val="2.0713177626832825E-2"/>
                  <c:y val="2.0362978785622692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3926-494B-9694-5F8CDAC72D02}"/>
                </c:ext>
              </c:extLst>
            </c:dLbl>
            <c:dLbl>
              <c:idx val="1"/>
              <c:layout>
                <c:manualLayout>
                  <c:x val="-2.5138601279980816E-2"/>
                  <c:y val="3.3254440191043447E-3"/>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3926-494B-9694-5F8CDAC72D02}"/>
                </c:ext>
              </c:extLst>
            </c:dLbl>
            <c:dLbl>
              <c:idx val="2"/>
              <c:layout>
                <c:manualLayout>
                  <c:x val="0.27651777005743106"/>
                  <c:y val="0.37047532542050371"/>
                </c:manualLayout>
              </c:layout>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Arial" panose="020B0604020202020204" pitchFamily="34" charset="0"/>
                      <a:ea typeface="+mn-ea"/>
                      <a:cs typeface="Arial" panose="020B0604020202020204" pitchFamily="34" charset="0"/>
                    </a:defRPr>
                  </a:pPr>
                  <a:endParaRPr lang="es-PE"/>
                </a:p>
              </c:txPr>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3926-494B-9694-5F8CDAC72D02}"/>
                </c:ext>
              </c:extLst>
            </c:dLbl>
            <c:dLbl>
              <c:idx val="3"/>
              <c:layout>
                <c:manualLayout>
                  <c:x val="-5.7100113362448628E-2"/>
                  <c:y val="-3.9890286787892651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7-3926-494B-9694-5F8CDAC72D02}"/>
                </c:ext>
              </c:extLst>
            </c:dLbl>
            <c:dLbl>
              <c:idx val="4"/>
              <c:layout>
                <c:manualLayout>
                  <c:x val="-3.3262798476447093E-2"/>
                  <c:y val="-9.9600584270217132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9-3926-494B-9694-5F8CDAC72D02}"/>
                </c:ext>
              </c:extLst>
            </c:dLbl>
            <c:dLbl>
              <c:idx val="5"/>
              <c:layout>
                <c:manualLayout>
                  <c:x val="5.421290431960829E-2"/>
                  <c:y val="-0.1014145953133727"/>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B-3926-494B-9694-5F8CDAC72D02}"/>
                </c:ext>
              </c:extLst>
            </c:dLbl>
            <c:dLbl>
              <c:idx val="6"/>
              <c:layout>
                <c:manualLayout>
                  <c:x val="0.11914777673447828"/>
                  <c:y val="-4.8148279761891184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D-3926-494B-9694-5F8CDAC72D02}"/>
                </c:ext>
              </c:extLst>
            </c:dLbl>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Resumen'!$O$23:$O$29</c:f>
              <c:numCache>
                <c:formatCode>0.00</c:formatCode>
                <c:ptCount val="7"/>
                <c:pt idx="0">
                  <c:v>2126.1102036450002</c:v>
                </c:pt>
                <c:pt idx="1">
                  <c:v>2074.23717308</c:v>
                </c:pt>
                <c:pt idx="2">
                  <c:v>8.6008893574999998</c:v>
                </c:pt>
                <c:pt idx="3">
                  <c:v>8.3248968874999996</c:v>
                </c:pt>
                <c:pt idx="4">
                  <c:v>26.186359665000001</c:v>
                </c:pt>
                <c:pt idx="5">
                  <c:v>162.04094952</c:v>
                </c:pt>
                <c:pt idx="6">
                  <c:v>77.070130602500001</c:v>
                </c:pt>
              </c:numCache>
            </c:numRef>
          </c:val>
          <c:extLst>
            <c:ext xmlns:c16="http://schemas.microsoft.com/office/drawing/2014/chart" uri="{C3380CC4-5D6E-409C-BE32-E72D297353CC}">
              <c16:uniqueId val="{0000000E-3926-494B-9694-5F8CDAC72D02}"/>
            </c:ext>
          </c:extLst>
        </c:ser>
        <c:ser>
          <c:idx val="1"/>
          <c:order val="1"/>
          <c:tx>
            <c:strRef>
              <c:f>'1. Resumen'!$N$24</c:f>
              <c:strCache>
                <c:ptCount val="1"/>
                <c:pt idx="0">
                  <c:v>Gas Natural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0-3926-494B-9694-5F8CDAC72D0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Resumen'!$O$24</c:f>
              <c:numCache>
                <c:formatCode>0.00</c:formatCode>
                <c:ptCount val="1"/>
                <c:pt idx="0">
                  <c:v>2074.23717308</c:v>
                </c:pt>
              </c:numCache>
            </c:numRef>
          </c:val>
          <c:extLst>
            <c:ext xmlns:c16="http://schemas.microsoft.com/office/drawing/2014/chart" uri="{C3380CC4-5D6E-409C-BE32-E72D297353CC}">
              <c16:uniqueId val="{00000011-3926-494B-9694-5F8CDAC72D02}"/>
            </c:ext>
          </c:extLst>
        </c:ser>
        <c:ser>
          <c:idx val="2"/>
          <c:order val="2"/>
          <c:tx>
            <c:strRef>
              <c:f>'1. Resumen'!$N$25</c:f>
              <c:strCache>
                <c:ptCount val="1"/>
                <c:pt idx="0">
                  <c:v>Carbón</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3-3926-494B-9694-5F8CDAC72D0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Resumen'!$O$25</c:f>
              <c:numCache>
                <c:formatCode>0.00</c:formatCode>
                <c:ptCount val="1"/>
                <c:pt idx="0">
                  <c:v>8.6008893574999998</c:v>
                </c:pt>
              </c:numCache>
            </c:numRef>
          </c:val>
          <c:extLst>
            <c:ext xmlns:c16="http://schemas.microsoft.com/office/drawing/2014/chart" uri="{C3380CC4-5D6E-409C-BE32-E72D297353CC}">
              <c16:uniqueId val="{00000014-3926-494B-9694-5F8CDAC72D02}"/>
            </c:ext>
          </c:extLst>
        </c:ser>
        <c:ser>
          <c:idx val="3"/>
          <c:order val="3"/>
          <c:tx>
            <c:strRef>
              <c:f>'1. Resumen'!$N$26</c:f>
              <c:strCache>
                <c:ptCount val="1"/>
                <c:pt idx="0">
                  <c:v>Diesel2/Residual500/Residual 6</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6-3926-494B-9694-5F8CDAC72D0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Resumen'!$O$26</c:f>
              <c:numCache>
                <c:formatCode>0.00</c:formatCode>
                <c:ptCount val="1"/>
                <c:pt idx="0">
                  <c:v>8.3248968874999996</c:v>
                </c:pt>
              </c:numCache>
            </c:numRef>
          </c:val>
          <c:extLst>
            <c:ext xmlns:c16="http://schemas.microsoft.com/office/drawing/2014/chart" uri="{C3380CC4-5D6E-409C-BE32-E72D297353CC}">
              <c16:uniqueId val="{00000017-3926-494B-9694-5F8CDAC72D02}"/>
            </c:ext>
          </c:extLst>
        </c:ser>
        <c:ser>
          <c:idx val="4"/>
          <c:order val="4"/>
          <c:tx>
            <c:strRef>
              <c:f>'1. Resumen'!$N$27</c:f>
              <c:strCache>
                <c:ptCount val="1"/>
                <c:pt idx="0">
                  <c:v>Bagazo / Biogás</c:v>
                </c:pt>
              </c:strCache>
            </c:strRef>
          </c:tx>
          <c:dPt>
            <c:idx val="0"/>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19-3926-494B-9694-5F8CDAC72D02}"/>
              </c:ext>
            </c:extLst>
          </c:dPt>
          <c:dLbls>
            <c:dLbl>
              <c:idx val="0"/>
              <c:layout>
                <c:manualLayout>
                  <c:x val="2.7985963329904041E-2"/>
                  <c:y val="-0.15054271205162184"/>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19-3926-494B-9694-5F8CDAC72D0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Resumen'!$O$27</c:f>
              <c:numCache>
                <c:formatCode>0.00</c:formatCode>
                <c:ptCount val="1"/>
                <c:pt idx="0">
                  <c:v>26.186359665000001</c:v>
                </c:pt>
              </c:numCache>
            </c:numRef>
          </c:val>
          <c:extLst>
            <c:ext xmlns:c16="http://schemas.microsoft.com/office/drawing/2014/chart" uri="{C3380CC4-5D6E-409C-BE32-E72D297353CC}">
              <c16:uniqueId val="{0000001A-3926-494B-9694-5F8CDAC72D02}"/>
            </c:ext>
          </c:extLst>
        </c:ser>
        <c:ser>
          <c:idx val="5"/>
          <c:order val="5"/>
          <c:tx>
            <c:strRef>
              <c:f>'1. Resumen'!$N$28</c:f>
              <c:strCache>
                <c:ptCount val="1"/>
                <c:pt idx="0">
                  <c:v>Eólico</c:v>
                </c:pt>
              </c:strCache>
            </c:strRef>
          </c:tx>
          <c:dPt>
            <c:idx val="0"/>
            <c:bubble3D val="0"/>
            <c:spPr>
              <a:solidFill>
                <a:srgbClr val="6DA6D9"/>
              </a:solidFill>
              <a:ln w="19050">
                <a:solidFill>
                  <a:schemeClr val="lt1"/>
                </a:solidFill>
              </a:ln>
              <a:effectLst/>
            </c:spPr>
            <c:extLst>
              <c:ext xmlns:c16="http://schemas.microsoft.com/office/drawing/2014/chart" uri="{C3380CC4-5D6E-409C-BE32-E72D297353CC}">
                <c16:uniqueId val="{0000001C-3926-494B-9694-5F8CDAC72D02}"/>
              </c:ext>
            </c:extLst>
          </c:dPt>
          <c:dLbls>
            <c:dLbl>
              <c:idx val="0"/>
              <c:layout>
                <c:manualLayout>
                  <c:x val="0.19016211696285543"/>
                  <c:y val="-0.1390137753490596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1C-3926-494B-9694-5F8CDAC72D0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Resumen'!$O$28</c:f>
              <c:numCache>
                <c:formatCode>0.00</c:formatCode>
                <c:ptCount val="1"/>
                <c:pt idx="0">
                  <c:v>162.04094952</c:v>
                </c:pt>
              </c:numCache>
            </c:numRef>
          </c:val>
          <c:extLst>
            <c:ext xmlns:c16="http://schemas.microsoft.com/office/drawing/2014/chart" uri="{C3380CC4-5D6E-409C-BE32-E72D297353CC}">
              <c16:uniqueId val="{0000001D-3926-494B-9694-5F8CDAC72D02}"/>
            </c:ext>
          </c:extLst>
        </c:ser>
        <c:ser>
          <c:idx val="6"/>
          <c:order val="6"/>
          <c:tx>
            <c:strRef>
              <c:f>'1. Resumen'!$N$29</c:f>
              <c:strCache>
                <c:ptCount val="1"/>
                <c:pt idx="0">
                  <c:v>Solar</c:v>
                </c:pt>
              </c:strCache>
            </c:strRef>
          </c:tx>
          <c:dPt>
            <c:idx val="0"/>
            <c:bubble3D val="0"/>
            <c:spPr>
              <a:solidFill>
                <a:schemeClr val="accent4"/>
              </a:solidFill>
              <a:ln w="19050">
                <a:solidFill>
                  <a:schemeClr val="lt1"/>
                </a:solidFill>
              </a:ln>
              <a:effectLst/>
            </c:spPr>
            <c:extLst>
              <c:ext xmlns:c16="http://schemas.microsoft.com/office/drawing/2014/chart" uri="{C3380CC4-5D6E-409C-BE32-E72D297353CC}">
                <c16:uniqueId val="{0000001F-3926-494B-9694-5F8CDAC72D02}"/>
              </c:ext>
            </c:extLst>
          </c:dPt>
          <c:dLbls>
            <c:dLbl>
              <c:idx val="0"/>
              <c:layout>
                <c:manualLayout>
                  <c:x val="0.27311658234329694"/>
                  <c:y val="-4.3522392220730254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1F-3926-494B-9694-5F8CDAC72D0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Resumen'!$O$29</c:f>
              <c:numCache>
                <c:formatCode>0.00</c:formatCode>
                <c:ptCount val="1"/>
                <c:pt idx="0">
                  <c:v>77.070130602500001</c:v>
                </c:pt>
              </c:numCache>
            </c:numRef>
          </c:val>
          <c:extLst>
            <c:ext xmlns:c16="http://schemas.microsoft.com/office/drawing/2014/chart" uri="{C3380CC4-5D6E-409C-BE32-E72D297353CC}">
              <c16:uniqueId val="{00000020-3926-494B-9694-5F8CDAC72D02}"/>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b"/>
      <c:layout>
        <c:manualLayout>
          <c:xMode val="edge"/>
          <c:yMode val="edge"/>
          <c:x val="5.9524485728891744E-3"/>
          <c:y val="0.82411660871049308"/>
          <c:w val="0.98548064638196187"/>
          <c:h val="0.1297294819925431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P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s-PE"/>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8.9922710535727243E-2"/>
          <c:y val="0.16211436059414794"/>
          <c:w val="0.8170087291370205"/>
          <c:h val="0.69222593635374485"/>
        </c:manualLayout>
      </c:layout>
      <c:barChart>
        <c:barDir val="col"/>
        <c:grouping val="clustered"/>
        <c:varyColors val="0"/>
        <c:ser>
          <c:idx val="0"/>
          <c:order val="0"/>
          <c:tx>
            <c:strRef>
              <c:f>'6. FP RER'!$O$5</c:f>
              <c:strCache>
                <c:ptCount val="1"/>
                <c:pt idx="0">
                  <c:v>Producción (GWh)</c:v>
                </c:pt>
              </c:strCache>
            </c:strRef>
          </c:tx>
          <c:spPr>
            <a:solidFill>
              <a:srgbClr val="6DA6D9"/>
            </a:solidFill>
          </c:spPr>
          <c:invertIfNegative val="0"/>
          <c:cat>
            <c:strRef>
              <c:f>'6. FP RER'!$L$31:$L$35</c:f>
              <c:strCache>
                <c:ptCount val="5"/>
                <c:pt idx="0">
                  <c:v>C.E. WAYRA I</c:v>
                </c:pt>
                <c:pt idx="1">
                  <c:v>C.E. TRES HERMANAS</c:v>
                </c:pt>
                <c:pt idx="2">
                  <c:v>C.E. CUPISNIQUE</c:v>
                </c:pt>
                <c:pt idx="3">
                  <c:v>C.E. MARCONA</c:v>
                </c:pt>
                <c:pt idx="4">
                  <c:v>C.E. TALARA</c:v>
                </c:pt>
              </c:strCache>
            </c:strRef>
          </c:cat>
          <c:val>
            <c:numRef>
              <c:f>'6. FP RER'!$O$31:$O$35</c:f>
              <c:numCache>
                <c:formatCode>0.00</c:formatCode>
                <c:ptCount val="5"/>
                <c:pt idx="0">
                  <c:v>57.365420159999999</c:v>
                </c:pt>
                <c:pt idx="1">
                  <c:v>44.209399752500005</c:v>
                </c:pt>
                <c:pt idx="2">
                  <c:v>31.639017800000001</c:v>
                </c:pt>
                <c:pt idx="3">
                  <c:v>15.26119701</c:v>
                </c:pt>
                <c:pt idx="4">
                  <c:v>13.5659147975</c:v>
                </c:pt>
              </c:numCache>
            </c:numRef>
          </c:val>
          <c:extLst>
            <c:ext xmlns:c16="http://schemas.microsoft.com/office/drawing/2014/chart" uri="{C3380CC4-5D6E-409C-BE32-E72D297353CC}">
              <c16:uniqueId val="{00000000-992C-4716-8A6B-C60C25F6D618}"/>
            </c:ext>
          </c:extLst>
        </c:ser>
        <c:dLbls>
          <c:showLegendKey val="0"/>
          <c:showVal val="0"/>
          <c:showCatName val="0"/>
          <c:showSerName val="0"/>
          <c:showPercent val="0"/>
          <c:showBubbleSize val="0"/>
        </c:dLbls>
        <c:gapWidth val="150"/>
        <c:axId val="869555200"/>
        <c:axId val="869557376"/>
      </c:barChart>
      <c:lineChart>
        <c:grouping val="standard"/>
        <c:varyColors val="0"/>
        <c:ser>
          <c:idx val="1"/>
          <c:order val="1"/>
          <c:tx>
            <c:strRef>
              <c:f>'6. FP RER'!$P$5</c:f>
              <c:strCache>
                <c:ptCount val="1"/>
                <c:pt idx="0">
                  <c:v>Factor de planta</c:v>
                </c:pt>
              </c:strCache>
            </c:strRef>
          </c:tx>
          <c:spPr>
            <a:ln w="12700">
              <a:solidFill>
                <a:schemeClr val="accent5">
                  <a:lumMod val="50000"/>
                </a:schemeClr>
              </a:solidFill>
            </a:ln>
          </c:spPr>
          <c:marker>
            <c:symbol val="diamond"/>
            <c:size val="8"/>
            <c:spPr>
              <a:solidFill>
                <a:srgbClr val="0070C0"/>
              </a:solidFill>
              <a:ln>
                <a:solidFill>
                  <a:schemeClr val="bg1"/>
                </a:solidFill>
              </a:ln>
            </c:spPr>
          </c:marker>
          <c:cat>
            <c:strRef>
              <c:f>'6. FP RER'!$L$31:$L$35</c:f>
              <c:strCache>
                <c:ptCount val="5"/>
                <c:pt idx="0">
                  <c:v>C.E. WAYRA I</c:v>
                </c:pt>
                <c:pt idx="1">
                  <c:v>C.E. TRES HERMANAS</c:v>
                </c:pt>
                <c:pt idx="2">
                  <c:v>C.E. CUPISNIQUE</c:v>
                </c:pt>
                <c:pt idx="3">
                  <c:v>C.E. MARCONA</c:v>
                </c:pt>
                <c:pt idx="4">
                  <c:v>C.E. TALARA</c:v>
                </c:pt>
              </c:strCache>
            </c:strRef>
          </c:cat>
          <c:val>
            <c:numRef>
              <c:f>'6. FP RER'!$P$31:$P$35</c:f>
              <c:numCache>
                <c:formatCode>0.00</c:formatCode>
                <c:ptCount val="5"/>
                <c:pt idx="0">
                  <c:v>0.58279712286348229</c:v>
                </c:pt>
                <c:pt idx="1">
                  <c:v>0.61164422260914553</c:v>
                </c:pt>
                <c:pt idx="2">
                  <c:v>0.51143188886518076</c:v>
                </c:pt>
                <c:pt idx="3">
                  <c:v>0.64101129914314514</c:v>
                </c:pt>
                <c:pt idx="4">
                  <c:v>0.5908540650762375</c:v>
                </c:pt>
              </c:numCache>
            </c:numRef>
          </c:val>
          <c:smooth val="0"/>
          <c:extLst>
            <c:ext xmlns:c16="http://schemas.microsoft.com/office/drawing/2014/chart" uri="{C3380CC4-5D6E-409C-BE32-E72D297353CC}">
              <c16:uniqueId val="{00000001-992C-4716-8A6B-C60C25F6D618}"/>
            </c:ext>
          </c:extLst>
        </c:ser>
        <c:dLbls>
          <c:showLegendKey val="0"/>
          <c:showVal val="0"/>
          <c:showCatName val="0"/>
          <c:showSerName val="0"/>
          <c:showPercent val="0"/>
          <c:showBubbleSize val="0"/>
        </c:dLbls>
        <c:marker val="1"/>
        <c:smooth val="0"/>
        <c:axId val="869565568"/>
        <c:axId val="869559296"/>
      </c:lineChart>
      <c:catAx>
        <c:axId val="869555200"/>
        <c:scaling>
          <c:orientation val="minMax"/>
        </c:scaling>
        <c:delete val="0"/>
        <c:axPos val="b"/>
        <c:numFmt formatCode="General" sourceLinked="1"/>
        <c:majorTickMark val="out"/>
        <c:minorTickMark val="none"/>
        <c:tickLblPos val="nextTo"/>
        <c:txPr>
          <a:bodyPr/>
          <a:lstStyle/>
          <a:p>
            <a:pPr>
              <a:defRPr sz="600">
                <a:latin typeface="Arial" panose="020B0604020202020204" pitchFamily="34" charset="0"/>
                <a:cs typeface="Arial" panose="020B0604020202020204" pitchFamily="34" charset="0"/>
              </a:defRPr>
            </a:pPr>
            <a:endParaRPr lang="es-PE"/>
          </a:p>
        </c:txPr>
        <c:crossAx val="869557376"/>
        <c:crosses val="autoZero"/>
        <c:auto val="1"/>
        <c:lblAlgn val="ctr"/>
        <c:lblOffset val="100"/>
        <c:noMultiLvlLbl val="0"/>
      </c:catAx>
      <c:valAx>
        <c:axId val="869557376"/>
        <c:scaling>
          <c:orientation val="minMax"/>
        </c:scaling>
        <c:delete val="0"/>
        <c:axPos val="l"/>
        <c:majorGridlines>
          <c:spPr>
            <a:ln>
              <a:solidFill>
                <a:schemeClr val="accent1">
                  <a:lumMod val="60000"/>
                  <a:lumOff val="40000"/>
                </a:schemeClr>
              </a:solidFill>
              <a:prstDash val="dash"/>
            </a:ln>
          </c:spPr>
        </c:majorGridlines>
        <c:title>
          <c:tx>
            <c:rich>
              <a:bodyPr rot="0" vert="horz"/>
              <a:lstStyle/>
              <a:p>
                <a:pPr>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GWh</a:t>
                </a:r>
              </a:p>
            </c:rich>
          </c:tx>
          <c:layout>
            <c:manualLayout>
              <c:xMode val="edge"/>
              <c:yMode val="edge"/>
              <c:x val="8.6166638306803128E-3"/>
              <c:y val="2.0912216575499461E-2"/>
            </c:manualLayout>
          </c:layout>
          <c:overlay val="0"/>
        </c:title>
        <c:numFmt formatCode="0.0" sourceLinked="0"/>
        <c:majorTickMark val="out"/>
        <c:minorTickMark val="none"/>
        <c:tickLblPos val="nextTo"/>
        <c:txPr>
          <a:bodyPr/>
          <a:lstStyle/>
          <a:p>
            <a:pPr>
              <a:defRPr sz="700" b="1">
                <a:latin typeface="Arial" panose="020B0604020202020204" pitchFamily="34" charset="0"/>
                <a:cs typeface="Arial" panose="020B0604020202020204" pitchFamily="34" charset="0"/>
              </a:defRPr>
            </a:pPr>
            <a:endParaRPr lang="es-PE"/>
          </a:p>
        </c:txPr>
        <c:crossAx val="869555200"/>
        <c:crosses val="autoZero"/>
        <c:crossBetween val="between"/>
      </c:valAx>
      <c:valAx>
        <c:axId val="869559296"/>
        <c:scaling>
          <c:orientation val="minMax"/>
          <c:max val="1.1000000000000001"/>
          <c:min val="0"/>
        </c:scaling>
        <c:delete val="0"/>
        <c:axPos val="r"/>
        <c:title>
          <c:tx>
            <c:rich>
              <a:bodyPr rot="0" vert="horz"/>
              <a:lstStyle/>
              <a:p>
                <a:pPr>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Factor de Planta</a:t>
                </a:r>
              </a:p>
            </c:rich>
          </c:tx>
          <c:layout>
            <c:manualLayout>
              <c:xMode val="edge"/>
              <c:yMode val="edge"/>
              <c:x val="0.86107792797715521"/>
              <c:y val="1.6792462943913664E-2"/>
            </c:manualLayout>
          </c:layout>
          <c:overlay val="0"/>
        </c:title>
        <c:numFmt formatCode="0.00" sourceLinked="1"/>
        <c:majorTickMark val="out"/>
        <c:minorTickMark val="none"/>
        <c:tickLblPos val="nextTo"/>
        <c:txPr>
          <a:bodyPr/>
          <a:lstStyle/>
          <a:p>
            <a:pPr>
              <a:defRPr sz="700" b="1">
                <a:solidFill>
                  <a:srgbClr val="00729A"/>
                </a:solidFill>
                <a:latin typeface="Arial" panose="020B0604020202020204" pitchFamily="34" charset="0"/>
                <a:cs typeface="Arial" panose="020B0604020202020204" pitchFamily="34" charset="0"/>
              </a:defRPr>
            </a:pPr>
            <a:endParaRPr lang="es-PE"/>
          </a:p>
        </c:txPr>
        <c:crossAx val="869565568"/>
        <c:crosses val="max"/>
        <c:crossBetween val="between"/>
      </c:valAx>
      <c:catAx>
        <c:axId val="869565568"/>
        <c:scaling>
          <c:orientation val="minMax"/>
        </c:scaling>
        <c:delete val="1"/>
        <c:axPos val="b"/>
        <c:title>
          <c:tx>
            <c:rich>
              <a:bodyPr/>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CENTRALES EÓLICAS</a:t>
                </a:r>
              </a:p>
            </c:rich>
          </c:tx>
          <c:layout>
            <c:manualLayout>
              <c:xMode val="edge"/>
              <c:yMode val="edge"/>
              <c:x val="0.39128379159877441"/>
              <c:y val="1.6531596264144108E-2"/>
            </c:manualLayout>
          </c:layout>
          <c:overlay val="0"/>
        </c:title>
        <c:numFmt formatCode="General" sourceLinked="1"/>
        <c:majorTickMark val="out"/>
        <c:minorTickMark val="none"/>
        <c:tickLblPos val="nextTo"/>
        <c:crossAx val="869559296"/>
        <c:crosses val="autoZero"/>
        <c:auto val="1"/>
        <c:lblAlgn val="ctr"/>
        <c:lblOffset val="100"/>
        <c:noMultiLvlLbl val="0"/>
      </c:catAx>
    </c:plotArea>
    <c:legend>
      <c:legendPos val="r"/>
      <c:layout>
        <c:manualLayout>
          <c:xMode val="edge"/>
          <c:yMode val="edge"/>
          <c:x val="0.12349469274382696"/>
          <c:y val="0.12272220251116085"/>
          <c:w val="0.74158443997192824"/>
          <c:h val="8.1723030889469792E-2"/>
        </c:manualLayout>
      </c:layout>
      <c:overlay val="0"/>
      <c:spPr>
        <a:solidFill>
          <a:schemeClr val="bg1"/>
        </a:solidFill>
      </c:spPr>
      <c:txPr>
        <a:bodyPr/>
        <a:lstStyle/>
        <a:p>
          <a:pPr>
            <a:defRPr sz="600">
              <a:latin typeface="Arial" panose="020B0604020202020204" pitchFamily="34" charset="0"/>
              <a:cs typeface="Arial" panose="020B0604020202020204" pitchFamily="34" charset="0"/>
            </a:defRPr>
          </a:pPr>
          <a:endParaRPr lang="es-PE"/>
        </a:p>
      </c:txPr>
    </c:legend>
    <c:plotVisOnly val="1"/>
    <c:dispBlanksAs val="gap"/>
    <c:showDLblsOverMax val="0"/>
  </c:chart>
  <c:spPr>
    <a:noFill/>
    <a:ln>
      <a:noFill/>
    </a:ln>
  </c:sp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5.1136226354565349E-2"/>
          <c:y val="0.11937571023454374"/>
          <c:w val="0.88942191114999514"/>
          <c:h val="0.71535655053798686"/>
        </c:manualLayout>
      </c:layout>
      <c:barChart>
        <c:barDir val="col"/>
        <c:grouping val="clustered"/>
        <c:varyColors val="0"/>
        <c:ser>
          <c:idx val="0"/>
          <c:order val="0"/>
          <c:tx>
            <c:strRef>
              <c:f>'6. FP RER'!$O$5</c:f>
              <c:strCache>
                <c:ptCount val="1"/>
                <c:pt idx="0">
                  <c:v>Producción (GWh)</c:v>
                </c:pt>
              </c:strCache>
            </c:strRef>
          </c:tx>
          <c:spPr>
            <a:solidFill>
              <a:schemeClr val="accent4">
                <a:lumMod val="75000"/>
              </a:schemeClr>
            </a:solidFill>
          </c:spPr>
          <c:invertIfNegative val="0"/>
          <c:cat>
            <c:strRef>
              <c:f>'6. FP RER'!$L$36:$L$42</c:f>
              <c:strCache>
                <c:ptCount val="7"/>
                <c:pt idx="0">
                  <c:v>C.S. RUBI</c:v>
                </c:pt>
                <c:pt idx="1">
                  <c:v>C.S. INTIPAMPA</c:v>
                </c:pt>
                <c:pt idx="2">
                  <c:v>C.S. PANAMERICANA SOLAR</c:v>
                </c:pt>
                <c:pt idx="3">
                  <c:v>C.S. MOQUEGUA FV</c:v>
                </c:pt>
                <c:pt idx="4">
                  <c:v>C.S. TACNA SOLAR</c:v>
                </c:pt>
                <c:pt idx="5">
                  <c:v>C.S. MAJES SOLAR</c:v>
                </c:pt>
                <c:pt idx="6">
                  <c:v>C.S. REPARTICION</c:v>
                </c:pt>
              </c:strCache>
            </c:strRef>
          </c:cat>
          <c:val>
            <c:numRef>
              <c:f>'6. FP RER'!$O$36:$O$42</c:f>
              <c:numCache>
                <c:formatCode>0.00</c:formatCode>
                <c:ptCount val="7"/>
                <c:pt idx="0">
                  <c:v>44.026813802500001</c:v>
                </c:pt>
                <c:pt idx="1">
                  <c:v>10.98026924</c:v>
                </c:pt>
                <c:pt idx="2">
                  <c:v>5.0934307200000006</c:v>
                </c:pt>
                <c:pt idx="3">
                  <c:v>4.6652179999999994</c:v>
                </c:pt>
                <c:pt idx="4">
                  <c:v>4.4378233575000001</c:v>
                </c:pt>
                <c:pt idx="5">
                  <c:v>3.9791125000000003</c:v>
                </c:pt>
                <c:pt idx="6">
                  <c:v>3.8874629825000002</c:v>
                </c:pt>
              </c:numCache>
            </c:numRef>
          </c:val>
          <c:extLst>
            <c:ext xmlns:c16="http://schemas.microsoft.com/office/drawing/2014/chart" uri="{C3380CC4-5D6E-409C-BE32-E72D297353CC}">
              <c16:uniqueId val="{00000000-7A42-4F72-9BAA-B690DCEA941E}"/>
            </c:ext>
          </c:extLst>
        </c:ser>
        <c:dLbls>
          <c:showLegendKey val="0"/>
          <c:showVal val="0"/>
          <c:showCatName val="0"/>
          <c:showSerName val="0"/>
          <c:showPercent val="0"/>
          <c:showBubbleSize val="0"/>
        </c:dLbls>
        <c:gapWidth val="264"/>
        <c:axId val="869584256"/>
        <c:axId val="869590528"/>
      </c:barChart>
      <c:lineChart>
        <c:grouping val="standard"/>
        <c:varyColors val="0"/>
        <c:ser>
          <c:idx val="1"/>
          <c:order val="1"/>
          <c:tx>
            <c:strRef>
              <c:f>'6. FP RER'!$P$5</c:f>
              <c:strCache>
                <c:ptCount val="1"/>
                <c:pt idx="0">
                  <c:v>Factor de planta</c:v>
                </c:pt>
              </c:strCache>
            </c:strRef>
          </c:tx>
          <c:spPr>
            <a:ln w="15875">
              <a:solidFill>
                <a:srgbClr val="583B00"/>
              </a:solidFill>
            </a:ln>
          </c:spPr>
          <c:marker>
            <c:symbol val="diamond"/>
            <c:size val="6"/>
            <c:spPr>
              <a:solidFill>
                <a:srgbClr val="996633"/>
              </a:solidFill>
              <a:ln w="9525">
                <a:solidFill>
                  <a:schemeClr val="bg1"/>
                </a:solidFill>
              </a:ln>
            </c:spPr>
          </c:marker>
          <c:cat>
            <c:strRef>
              <c:f>'6. FP RER'!$L$36:$L$42</c:f>
              <c:strCache>
                <c:ptCount val="7"/>
                <c:pt idx="0">
                  <c:v>C.S. RUBI</c:v>
                </c:pt>
                <c:pt idx="1">
                  <c:v>C.S. INTIPAMPA</c:v>
                </c:pt>
                <c:pt idx="2">
                  <c:v>C.S. PANAMERICANA SOLAR</c:v>
                </c:pt>
                <c:pt idx="3">
                  <c:v>C.S. MOQUEGUA FV</c:v>
                </c:pt>
                <c:pt idx="4">
                  <c:v>C.S. TACNA SOLAR</c:v>
                </c:pt>
                <c:pt idx="5">
                  <c:v>C.S. MAJES SOLAR</c:v>
                </c:pt>
                <c:pt idx="6">
                  <c:v>C.S. REPARTICION</c:v>
                </c:pt>
              </c:strCache>
            </c:strRef>
          </c:cat>
          <c:val>
            <c:numRef>
              <c:f>'6. FP RER'!$P$36:$P$42</c:f>
              <c:numCache>
                <c:formatCode>0.00</c:formatCode>
                <c:ptCount val="7"/>
                <c:pt idx="0">
                  <c:v>0.4095779692923604</c:v>
                </c:pt>
                <c:pt idx="1">
                  <c:v>0.33135218675010014</c:v>
                </c:pt>
                <c:pt idx="2">
                  <c:v>0.34230045161290323</c:v>
                </c:pt>
                <c:pt idx="3">
                  <c:v>0.39190339381720429</c:v>
                </c:pt>
                <c:pt idx="4">
                  <c:v>0.29824081703629035</c:v>
                </c:pt>
                <c:pt idx="5">
                  <c:v>0.26741347446236563</c:v>
                </c:pt>
                <c:pt idx="6">
                  <c:v>0.26125423269489251</c:v>
                </c:pt>
              </c:numCache>
            </c:numRef>
          </c:val>
          <c:smooth val="0"/>
          <c:extLst>
            <c:ext xmlns:c16="http://schemas.microsoft.com/office/drawing/2014/chart" uri="{C3380CC4-5D6E-409C-BE32-E72D297353CC}">
              <c16:uniqueId val="{00000001-7A42-4F72-9BAA-B690DCEA941E}"/>
            </c:ext>
          </c:extLst>
        </c:ser>
        <c:dLbls>
          <c:showLegendKey val="0"/>
          <c:showVal val="0"/>
          <c:showCatName val="0"/>
          <c:showSerName val="0"/>
          <c:showPercent val="0"/>
          <c:showBubbleSize val="0"/>
        </c:dLbls>
        <c:marker val="1"/>
        <c:smooth val="0"/>
        <c:axId val="952436224"/>
        <c:axId val="869592448"/>
      </c:lineChart>
      <c:catAx>
        <c:axId val="869584256"/>
        <c:scaling>
          <c:orientation val="minMax"/>
        </c:scaling>
        <c:delete val="0"/>
        <c:axPos val="b"/>
        <c:numFmt formatCode="General" sourceLinked="1"/>
        <c:majorTickMark val="out"/>
        <c:minorTickMark val="none"/>
        <c:tickLblPos val="nextTo"/>
        <c:txPr>
          <a:bodyPr/>
          <a:lstStyle/>
          <a:p>
            <a:pPr>
              <a:defRPr sz="500">
                <a:latin typeface="Arial" panose="020B0604020202020204" pitchFamily="34" charset="0"/>
                <a:cs typeface="Arial" panose="020B0604020202020204" pitchFamily="34" charset="0"/>
              </a:defRPr>
            </a:pPr>
            <a:endParaRPr lang="es-PE"/>
          </a:p>
        </c:txPr>
        <c:crossAx val="869590528"/>
        <c:crosses val="autoZero"/>
        <c:auto val="1"/>
        <c:lblAlgn val="ctr"/>
        <c:lblOffset val="100"/>
        <c:noMultiLvlLbl val="0"/>
      </c:catAx>
      <c:valAx>
        <c:axId val="869590528"/>
        <c:scaling>
          <c:orientation val="minMax"/>
        </c:scaling>
        <c:delete val="0"/>
        <c:axPos val="l"/>
        <c:majorGridlines>
          <c:spPr>
            <a:ln>
              <a:solidFill>
                <a:schemeClr val="accent1">
                  <a:lumMod val="60000"/>
                  <a:lumOff val="40000"/>
                </a:schemeClr>
              </a:solidFill>
              <a:prstDash val="dash"/>
            </a:ln>
          </c:spPr>
        </c:majorGridlines>
        <c:title>
          <c:tx>
            <c:rich>
              <a:bodyPr rot="0" vert="horz"/>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GWh</a:t>
                </a:r>
              </a:p>
            </c:rich>
          </c:tx>
          <c:layout>
            <c:manualLayout>
              <c:xMode val="edge"/>
              <c:yMode val="edge"/>
              <c:x val="1.7912575742846954E-2"/>
              <c:y val="1.5509809628846696E-2"/>
            </c:manualLayout>
          </c:layout>
          <c:overlay val="0"/>
        </c:title>
        <c:numFmt formatCode="0.0" sourceLinked="0"/>
        <c:majorTickMark val="out"/>
        <c:minorTickMark val="none"/>
        <c:tickLblPos val="nextTo"/>
        <c:txPr>
          <a:bodyPr/>
          <a:lstStyle/>
          <a:p>
            <a:pPr>
              <a:defRPr sz="800" b="1">
                <a:latin typeface="Arial" panose="020B0604020202020204" pitchFamily="34" charset="0"/>
                <a:cs typeface="Arial" panose="020B0604020202020204" pitchFamily="34" charset="0"/>
              </a:defRPr>
            </a:pPr>
            <a:endParaRPr lang="es-PE"/>
          </a:p>
        </c:txPr>
        <c:crossAx val="869584256"/>
        <c:crosses val="autoZero"/>
        <c:crossBetween val="between"/>
      </c:valAx>
      <c:valAx>
        <c:axId val="869592448"/>
        <c:scaling>
          <c:orientation val="minMax"/>
          <c:max val="1.1000000000000001"/>
          <c:min val="0"/>
        </c:scaling>
        <c:delete val="0"/>
        <c:axPos val="r"/>
        <c:title>
          <c:tx>
            <c:rich>
              <a:bodyPr rot="0" vert="horz"/>
              <a:lstStyle/>
              <a:p>
                <a:pPr>
                  <a:defRPr sz="800"/>
                </a:pPr>
                <a:r>
                  <a:rPr lang="es-PA" sz="800"/>
                  <a:t>Factor de Planta</a:t>
                </a:r>
              </a:p>
            </c:rich>
          </c:tx>
          <c:layout>
            <c:manualLayout>
              <c:xMode val="edge"/>
              <c:yMode val="edge"/>
              <c:x val="0.86388359439446849"/>
              <c:y val="3.0837536947991497E-2"/>
            </c:manualLayout>
          </c:layout>
          <c:overlay val="0"/>
        </c:title>
        <c:numFmt formatCode="0.00" sourceLinked="1"/>
        <c:majorTickMark val="out"/>
        <c:minorTickMark val="none"/>
        <c:tickLblPos val="nextTo"/>
        <c:txPr>
          <a:bodyPr/>
          <a:lstStyle/>
          <a:p>
            <a:pPr>
              <a:defRPr sz="800" b="1">
                <a:solidFill>
                  <a:srgbClr val="8E6C00"/>
                </a:solidFill>
                <a:latin typeface="Arial" panose="020B0604020202020204" pitchFamily="34" charset="0"/>
                <a:cs typeface="Arial" panose="020B0604020202020204" pitchFamily="34" charset="0"/>
              </a:defRPr>
            </a:pPr>
            <a:endParaRPr lang="es-PE"/>
          </a:p>
        </c:txPr>
        <c:crossAx val="952436224"/>
        <c:crosses val="max"/>
        <c:crossBetween val="between"/>
      </c:valAx>
      <c:catAx>
        <c:axId val="952436224"/>
        <c:scaling>
          <c:orientation val="minMax"/>
        </c:scaling>
        <c:delete val="1"/>
        <c:axPos val="b"/>
        <c:title>
          <c:tx>
            <c:rich>
              <a:bodyPr/>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CENTRALES SOLARES</a:t>
                </a:r>
              </a:p>
            </c:rich>
          </c:tx>
          <c:layout>
            <c:manualLayout>
              <c:xMode val="edge"/>
              <c:yMode val="edge"/>
              <c:x val="0.41637251655312219"/>
              <c:y val="1.4159901309390965E-2"/>
            </c:manualLayout>
          </c:layout>
          <c:overlay val="0"/>
        </c:title>
        <c:numFmt formatCode="General" sourceLinked="1"/>
        <c:majorTickMark val="out"/>
        <c:minorTickMark val="none"/>
        <c:tickLblPos val="nextTo"/>
        <c:crossAx val="869592448"/>
        <c:crosses val="autoZero"/>
        <c:auto val="1"/>
        <c:lblAlgn val="ctr"/>
        <c:lblOffset val="100"/>
        <c:noMultiLvlLbl val="0"/>
      </c:catAx>
    </c:plotArea>
    <c:legend>
      <c:legendPos val="r"/>
      <c:layout>
        <c:manualLayout>
          <c:xMode val="edge"/>
          <c:yMode val="edge"/>
          <c:x val="0.18940872276550574"/>
          <c:y val="0.13351388657970101"/>
          <c:w val="0.68604916188755094"/>
          <c:h val="8.1723030889469792E-2"/>
        </c:manualLayout>
      </c:layout>
      <c:overlay val="0"/>
      <c:spPr>
        <a:solidFill>
          <a:schemeClr val="bg1"/>
        </a:solidFill>
      </c:spPr>
      <c:txPr>
        <a:bodyPr/>
        <a:lstStyle/>
        <a:p>
          <a:pPr>
            <a:defRPr sz="800">
              <a:latin typeface="Arial" panose="020B0604020202020204" pitchFamily="34" charset="0"/>
              <a:cs typeface="Arial" panose="020B0604020202020204" pitchFamily="34" charset="0"/>
            </a:defRPr>
          </a:pPr>
          <a:endParaRPr lang="es-PE"/>
        </a:p>
      </c:txPr>
    </c:legend>
    <c:plotVisOnly val="1"/>
    <c:dispBlanksAs val="gap"/>
    <c:showDLblsOverMax val="0"/>
  </c:chart>
  <c:spPr>
    <a:noFill/>
    <a:ln>
      <a:noFill/>
    </a:ln>
  </c:spPr>
  <c:printSettings>
    <c:headerFooter>
      <c:oddHeader>&amp;R&amp;7Informe de la Operación Mensual - Diciembre 2018
INFSGI-MES-12-2018
15/01/2019
Versión: 01</c:oddHeader>
    </c:headerFooter>
    <c:pageMargins b="0.75" l="0.7" r="0.7" t="0.75" header="0.3" footer="0.3"/>
    <c:pageSetup orientation="portrait"/>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6.9629279428704269E-2"/>
          <c:y val="0.16862839298582752"/>
          <c:w val="0.81927235019550793"/>
          <c:h val="0.66501303329537842"/>
        </c:manualLayout>
      </c:layout>
      <c:barChart>
        <c:barDir val="col"/>
        <c:grouping val="clustered"/>
        <c:varyColors val="0"/>
        <c:ser>
          <c:idx val="0"/>
          <c:order val="0"/>
          <c:tx>
            <c:strRef>
              <c:f>'6. FP RER'!$O$5</c:f>
              <c:strCache>
                <c:ptCount val="1"/>
                <c:pt idx="0">
                  <c:v>Producción (GWh)</c:v>
                </c:pt>
              </c:strCache>
            </c:strRef>
          </c:tx>
          <c:spPr>
            <a:solidFill>
              <a:srgbClr val="C00000"/>
            </a:solidFill>
          </c:spPr>
          <c:invertIfNegative val="0"/>
          <c:cat>
            <c:strRef>
              <c:f>'6. FP RER'!$L$43:$L$46</c:f>
              <c:strCache>
                <c:ptCount val="4"/>
                <c:pt idx="0">
                  <c:v>C.T. PARAMONGA</c:v>
                </c:pt>
                <c:pt idx="1">
                  <c:v>C.T. HUAYCOLORO</c:v>
                </c:pt>
                <c:pt idx="2">
                  <c:v>C.T. LA GRINGA</c:v>
                </c:pt>
                <c:pt idx="3">
                  <c:v>C.T. DOÑA CATALINA</c:v>
                </c:pt>
              </c:strCache>
            </c:strRef>
          </c:cat>
          <c:val>
            <c:numRef>
              <c:f>'6. FP RER'!$O$43:$O$46</c:f>
              <c:numCache>
                <c:formatCode>0.00</c:formatCode>
                <c:ptCount val="4"/>
                <c:pt idx="0">
                  <c:v>8.5392450775000004</c:v>
                </c:pt>
                <c:pt idx="1">
                  <c:v>2.9997862500000001</c:v>
                </c:pt>
                <c:pt idx="2">
                  <c:v>2.0256033499999999</c:v>
                </c:pt>
                <c:pt idx="3">
                  <c:v>1.061873675</c:v>
                </c:pt>
              </c:numCache>
            </c:numRef>
          </c:val>
          <c:extLst>
            <c:ext xmlns:c16="http://schemas.microsoft.com/office/drawing/2014/chart" uri="{C3380CC4-5D6E-409C-BE32-E72D297353CC}">
              <c16:uniqueId val="{00000000-136E-4B27-873F-868D28563A1D}"/>
            </c:ext>
          </c:extLst>
        </c:ser>
        <c:dLbls>
          <c:showLegendKey val="0"/>
          <c:showVal val="0"/>
          <c:showCatName val="0"/>
          <c:showSerName val="0"/>
          <c:showPercent val="0"/>
          <c:showBubbleSize val="0"/>
        </c:dLbls>
        <c:gapWidth val="150"/>
        <c:axId val="952479744"/>
        <c:axId val="952481664"/>
      </c:barChart>
      <c:lineChart>
        <c:grouping val="standard"/>
        <c:varyColors val="0"/>
        <c:ser>
          <c:idx val="1"/>
          <c:order val="1"/>
          <c:tx>
            <c:strRef>
              <c:f>'6. FP RER'!$P$5</c:f>
              <c:strCache>
                <c:ptCount val="1"/>
                <c:pt idx="0">
                  <c:v>Factor de planta</c:v>
                </c:pt>
              </c:strCache>
            </c:strRef>
          </c:tx>
          <c:spPr>
            <a:ln w="12700">
              <a:solidFill>
                <a:schemeClr val="tx2"/>
              </a:solidFill>
            </a:ln>
          </c:spPr>
          <c:marker>
            <c:symbol val="diamond"/>
            <c:size val="8"/>
            <c:spPr>
              <a:solidFill>
                <a:schemeClr val="accent6">
                  <a:lumMod val="50000"/>
                </a:schemeClr>
              </a:solidFill>
              <a:ln>
                <a:solidFill>
                  <a:schemeClr val="bg1"/>
                </a:solidFill>
              </a:ln>
            </c:spPr>
          </c:marker>
          <c:cat>
            <c:strRef>
              <c:f>'6. FP RER'!$L$43:$L$46</c:f>
              <c:strCache>
                <c:ptCount val="4"/>
                <c:pt idx="0">
                  <c:v>C.T. PARAMONGA</c:v>
                </c:pt>
                <c:pt idx="1">
                  <c:v>C.T. HUAYCOLORO</c:v>
                </c:pt>
                <c:pt idx="2">
                  <c:v>C.T. LA GRINGA</c:v>
                </c:pt>
                <c:pt idx="3">
                  <c:v>C.T. DOÑA CATALINA</c:v>
                </c:pt>
              </c:strCache>
            </c:strRef>
          </c:cat>
          <c:val>
            <c:numRef>
              <c:f>'6. FP RER'!$P$43:$P$46</c:f>
              <c:numCache>
                <c:formatCode>0.00</c:formatCode>
                <c:ptCount val="4"/>
                <c:pt idx="0">
                  <c:v>0.90082685044610489</c:v>
                </c:pt>
                <c:pt idx="1">
                  <c:v>0.94591689527953837</c:v>
                </c:pt>
                <c:pt idx="2">
                  <c:v>0.92175412122065958</c:v>
                </c:pt>
                <c:pt idx="3">
                  <c:v>0.59468731798835128</c:v>
                </c:pt>
              </c:numCache>
            </c:numRef>
          </c:val>
          <c:smooth val="0"/>
          <c:extLst>
            <c:ext xmlns:c16="http://schemas.microsoft.com/office/drawing/2014/chart" uri="{C3380CC4-5D6E-409C-BE32-E72D297353CC}">
              <c16:uniqueId val="{00000001-136E-4B27-873F-868D28563A1D}"/>
            </c:ext>
          </c:extLst>
        </c:ser>
        <c:dLbls>
          <c:showLegendKey val="0"/>
          <c:showVal val="0"/>
          <c:showCatName val="0"/>
          <c:showSerName val="0"/>
          <c:showPercent val="0"/>
          <c:showBubbleSize val="0"/>
        </c:dLbls>
        <c:marker val="1"/>
        <c:smooth val="0"/>
        <c:axId val="952489856"/>
        <c:axId val="952487936"/>
      </c:lineChart>
      <c:catAx>
        <c:axId val="952479744"/>
        <c:scaling>
          <c:orientation val="minMax"/>
        </c:scaling>
        <c:delete val="0"/>
        <c:axPos val="b"/>
        <c:numFmt formatCode="General" sourceLinked="1"/>
        <c:majorTickMark val="out"/>
        <c:minorTickMark val="none"/>
        <c:tickLblPos val="nextTo"/>
        <c:txPr>
          <a:bodyPr rot="0" vert="horz"/>
          <a:lstStyle/>
          <a:p>
            <a:pPr>
              <a:defRPr sz="600">
                <a:latin typeface="Arial" panose="020B0604020202020204" pitchFamily="34" charset="0"/>
                <a:cs typeface="Arial" panose="020B0604020202020204" pitchFamily="34" charset="0"/>
              </a:defRPr>
            </a:pPr>
            <a:endParaRPr lang="es-PE"/>
          </a:p>
        </c:txPr>
        <c:crossAx val="952481664"/>
        <c:crosses val="autoZero"/>
        <c:auto val="1"/>
        <c:lblAlgn val="ctr"/>
        <c:lblOffset val="100"/>
        <c:noMultiLvlLbl val="0"/>
      </c:catAx>
      <c:valAx>
        <c:axId val="952481664"/>
        <c:scaling>
          <c:orientation val="minMax"/>
        </c:scaling>
        <c:delete val="0"/>
        <c:axPos val="l"/>
        <c:majorGridlines>
          <c:spPr>
            <a:ln>
              <a:solidFill>
                <a:schemeClr val="bg1">
                  <a:lumMod val="65000"/>
                </a:schemeClr>
              </a:solidFill>
              <a:prstDash val="dash"/>
            </a:ln>
          </c:spPr>
        </c:majorGridlines>
        <c:title>
          <c:tx>
            <c:rich>
              <a:bodyPr rot="0" vert="horz"/>
              <a:lstStyle/>
              <a:p>
                <a:pPr>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GWh</a:t>
                </a:r>
              </a:p>
            </c:rich>
          </c:tx>
          <c:layout>
            <c:manualLayout>
              <c:xMode val="edge"/>
              <c:yMode val="edge"/>
              <c:x val="4.3316253188149662E-5"/>
              <c:y val="3.2337779497474503E-2"/>
            </c:manualLayout>
          </c:layout>
          <c:overlay val="0"/>
        </c:title>
        <c:numFmt formatCode="0.0" sourceLinked="0"/>
        <c:majorTickMark val="out"/>
        <c:minorTickMark val="none"/>
        <c:tickLblPos val="nextTo"/>
        <c:txPr>
          <a:bodyPr/>
          <a:lstStyle/>
          <a:p>
            <a:pPr>
              <a:defRPr sz="700" b="1">
                <a:latin typeface="Arial" panose="020B0604020202020204" pitchFamily="34" charset="0"/>
                <a:cs typeface="Arial" panose="020B0604020202020204" pitchFamily="34" charset="0"/>
              </a:defRPr>
            </a:pPr>
            <a:endParaRPr lang="es-PE"/>
          </a:p>
        </c:txPr>
        <c:crossAx val="952479744"/>
        <c:crosses val="autoZero"/>
        <c:crossBetween val="between"/>
      </c:valAx>
      <c:valAx>
        <c:axId val="952487936"/>
        <c:scaling>
          <c:orientation val="minMax"/>
          <c:max val="1.1000000000000001"/>
          <c:min val="0"/>
        </c:scaling>
        <c:delete val="0"/>
        <c:axPos val="r"/>
        <c:title>
          <c:tx>
            <c:rich>
              <a:bodyPr rot="0" vert="horz"/>
              <a:lstStyle/>
              <a:p>
                <a:pPr>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Factor de Planta</a:t>
                </a:r>
              </a:p>
            </c:rich>
          </c:tx>
          <c:layout>
            <c:manualLayout>
              <c:xMode val="edge"/>
              <c:yMode val="edge"/>
              <c:x val="0.81381937081662914"/>
              <c:y val="4.6253393152950475E-2"/>
            </c:manualLayout>
          </c:layout>
          <c:overlay val="0"/>
        </c:title>
        <c:numFmt formatCode="0.00" sourceLinked="1"/>
        <c:majorTickMark val="out"/>
        <c:minorTickMark val="none"/>
        <c:tickLblPos val="nextTo"/>
        <c:txPr>
          <a:bodyPr/>
          <a:lstStyle/>
          <a:p>
            <a:pPr>
              <a:defRPr sz="700" b="1">
                <a:solidFill>
                  <a:srgbClr val="C00000"/>
                </a:solidFill>
                <a:latin typeface="Arial" panose="020B0604020202020204" pitchFamily="34" charset="0"/>
                <a:cs typeface="Arial" panose="020B0604020202020204" pitchFamily="34" charset="0"/>
              </a:defRPr>
            </a:pPr>
            <a:endParaRPr lang="es-PE"/>
          </a:p>
        </c:txPr>
        <c:crossAx val="952489856"/>
        <c:crosses val="max"/>
        <c:crossBetween val="between"/>
      </c:valAx>
      <c:catAx>
        <c:axId val="952489856"/>
        <c:scaling>
          <c:orientation val="minMax"/>
        </c:scaling>
        <c:delete val="1"/>
        <c:axPos val="b"/>
        <c:title>
          <c:tx>
            <c:rich>
              <a:bodyPr/>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CENTRALES TERMOELÉCTRICAS</a:t>
                </a:r>
              </a:p>
            </c:rich>
          </c:tx>
          <c:layout>
            <c:manualLayout>
              <c:xMode val="edge"/>
              <c:yMode val="edge"/>
              <c:x val="0.15648830409458397"/>
              <c:y val="1.3569528608466211E-2"/>
            </c:manualLayout>
          </c:layout>
          <c:overlay val="0"/>
        </c:title>
        <c:numFmt formatCode="General" sourceLinked="1"/>
        <c:majorTickMark val="out"/>
        <c:minorTickMark val="none"/>
        <c:tickLblPos val="nextTo"/>
        <c:crossAx val="952487936"/>
        <c:crosses val="autoZero"/>
        <c:auto val="1"/>
        <c:lblAlgn val="ctr"/>
        <c:lblOffset val="100"/>
        <c:noMultiLvlLbl val="0"/>
      </c:catAx>
    </c:plotArea>
    <c:legend>
      <c:legendPos val="r"/>
      <c:layout>
        <c:manualLayout>
          <c:xMode val="edge"/>
          <c:yMode val="edge"/>
          <c:x val="0.13960279666467945"/>
          <c:y val="0.12439227312960172"/>
          <c:w val="0.64277515901919891"/>
          <c:h val="8.1723030889469792E-2"/>
        </c:manualLayout>
      </c:layout>
      <c:overlay val="0"/>
      <c:spPr>
        <a:solidFill>
          <a:schemeClr val="bg1"/>
        </a:solidFill>
      </c:spPr>
      <c:txPr>
        <a:bodyPr/>
        <a:lstStyle/>
        <a:p>
          <a:pPr>
            <a:defRPr sz="600">
              <a:latin typeface="Arial" panose="020B0604020202020204" pitchFamily="34" charset="0"/>
              <a:cs typeface="Arial" panose="020B0604020202020204" pitchFamily="34" charset="0"/>
            </a:defRPr>
          </a:pPr>
          <a:endParaRPr lang="es-PE"/>
        </a:p>
      </c:txPr>
    </c:legend>
    <c:plotVisOnly val="1"/>
    <c:dispBlanksAs val="gap"/>
    <c:showDLblsOverMax val="0"/>
  </c:chart>
  <c:spPr>
    <a:ln>
      <a:noFill/>
    </a:ln>
  </c:spPr>
  <c:printSettings>
    <c:headerFooter>
      <c:oddHeader>&amp;R&amp;7Informe de la Operación Mensual - Enero 2018
INFSGI-MES-01-2018
15/02/2018
Versión: 01</c:oddHeader>
    </c:headerFooter>
    <c:pageMargins b="0.75" l="0.7" r="0.7" t="0.75" header="0.3" footer="0.3"/>
    <c:pageSetup orientation="portrait"/>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1"/>
    <c:plotArea>
      <c:layout>
        <c:manualLayout>
          <c:layoutTarget val="inner"/>
          <c:xMode val="edge"/>
          <c:yMode val="edge"/>
          <c:x val="3.8925506466173806E-2"/>
          <c:y val="0.13171494306901146"/>
          <c:w val="0.92424727089955627"/>
          <c:h val="0.35757584321786989"/>
        </c:manualLayout>
      </c:layout>
      <c:barChart>
        <c:barDir val="col"/>
        <c:grouping val="clustered"/>
        <c:varyColors val="0"/>
        <c:ser>
          <c:idx val="1"/>
          <c:order val="0"/>
          <c:tx>
            <c:strRef>
              <c:f>'6. FP RER'!$U$5</c:f>
              <c:strCache>
                <c:ptCount val="1"/>
                <c:pt idx="0">
                  <c:v>2019</c:v>
                </c:pt>
              </c:strCache>
            </c:strRef>
          </c:tx>
          <c:spPr>
            <a:solidFill>
              <a:srgbClr val="0077A5"/>
            </a:solidFill>
          </c:spPr>
          <c:invertIfNegative val="0"/>
          <c:cat>
            <c:multiLvlStrRef>
              <c:f>'6. FP RER'!$S$6:$T$46</c:f>
              <c:multiLvlStrCache>
                <c:ptCount val="41"/>
                <c:lvl>
                  <c:pt idx="0">
                    <c:v>C.H. YARUCAYA</c:v>
                  </c:pt>
                  <c:pt idx="1">
                    <c:v>C.H. RENOVANDES H1</c:v>
                  </c:pt>
                  <c:pt idx="2">
                    <c:v>C.H. LA JOYA</c:v>
                  </c:pt>
                  <c:pt idx="3">
                    <c:v>C.H. IMPERIAL</c:v>
                  </c:pt>
                  <c:pt idx="4">
                    <c:v>C.H. CARHUAQUERO IV</c:v>
                  </c:pt>
                  <c:pt idx="5">
                    <c:v>C.H. CANCHAYLLO</c:v>
                  </c:pt>
                  <c:pt idx="6">
                    <c:v>C.H. HER 1</c:v>
                  </c:pt>
                  <c:pt idx="7">
                    <c:v>C.H. CAÑA BRAVA</c:v>
                  </c:pt>
                  <c:pt idx="8">
                    <c:v>C.H. CARHUAC</c:v>
                  </c:pt>
                  <c:pt idx="9">
                    <c:v>C.H. POECHOS II</c:v>
                  </c:pt>
                  <c:pt idx="10">
                    <c:v>C.H. YANAPAMPA</c:v>
                  </c:pt>
                  <c:pt idx="11">
                    <c:v>C.H. ZAÑA</c:v>
                  </c:pt>
                  <c:pt idx="12">
                    <c:v>C.H. RUNATULLO III</c:v>
                  </c:pt>
                  <c:pt idx="13">
                    <c:v>C.H. POTRERO</c:v>
                  </c:pt>
                  <c:pt idx="14">
                    <c:v>C.H. LAS PIZARRAS</c:v>
                  </c:pt>
                  <c:pt idx="15">
                    <c:v>C.H. HUASAHUASI II</c:v>
                  </c:pt>
                  <c:pt idx="16">
                    <c:v>C.H. HUASAHUASI I</c:v>
                  </c:pt>
                  <c:pt idx="17">
                    <c:v>C.H. SANTA CRUZ II</c:v>
                  </c:pt>
                  <c:pt idx="18">
                    <c:v>C.H. SANTA CRUZ I</c:v>
                  </c:pt>
                  <c:pt idx="19">
                    <c:v>C.H. RUNATULLO II</c:v>
                  </c:pt>
                  <c:pt idx="20">
                    <c:v>C.H. RONCADOR</c:v>
                  </c:pt>
                  <c:pt idx="21">
                    <c:v>C.H. ÁNGEL II</c:v>
                  </c:pt>
                  <c:pt idx="22">
                    <c:v>C.H. ÁNGEL III</c:v>
                  </c:pt>
                  <c:pt idx="23">
                    <c:v>C.H. ÁNGEL I</c:v>
                  </c:pt>
                  <c:pt idx="24">
                    <c:v>C.H. PURMACANA</c:v>
                  </c:pt>
                  <c:pt idx="25">
                    <c:v>C.E. MARCONA</c:v>
                  </c:pt>
                  <c:pt idx="26">
                    <c:v>C.E. TRES HERMANAS</c:v>
                  </c:pt>
                  <c:pt idx="27">
                    <c:v>C.E. WAYRA I</c:v>
                  </c:pt>
                  <c:pt idx="28">
                    <c:v>C.E. TALARA</c:v>
                  </c:pt>
                  <c:pt idx="29">
                    <c:v>C.E. CUPISNIQUE</c:v>
                  </c:pt>
                  <c:pt idx="30">
                    <c:v>C.S. MOQUEGUA FV</c:v>
                  </c:pt>
                  <c:pt idx="31">
                    <c:v>C.S. RUBI</c:v>
                  </c:pt>
                  <c:pt idx="32">
                    <c:v>C.S. PANAMERICANA SOLAR</c:v>
                  </c:pt>
                  <c:pt idx="33">
                    <c:v>C.S. TACNA SOLAR</c:v>
                  </c:pt>
                  <c:pt idx="34">
                    <c:v>C.S. INTIPAMPA</c:v>
                  </c:pt>
                  <c:pt idx="35">
                    <c:v>C.S. MAJES SOLAR</c:v>
                  </c:pt>
                  <c:pt idx="36">
                    <c:v>C.S. REPARTICION</c:v>
                  </c:pt>
                  <c:pt idx="37">
                    <c:v>C.T. HUAYCOLORO</c:v>
                  </c:pt>
                  <c:pt idx="38">
                    <c:v>C.T. PARAMONGA</c:v>
                  </c:pt>
                  <c:pt idx="39">
                    <c:v>C.T. LA GRINGA</c:v>
                  </c:pt>
                  <c:pt idx="40">
                    <c:v>C.T. DOÑA CATALINA</c:v>
                  </c:pt>
                </c:lvl>
                <c:lvl>
                  <c:pt idx="0">
                    <c:v>HIDROELÉCTRICAS</c:v>
                  </c:pt>
                  <c:pt idx="25">
                    <c:v>EÓLICAS</c:v>
                  </c:pt>
                  <c:pt idx="30">
                    <c:v>SOLARES</c:v>
                  </c:pt>
                  <c:pt idx="37">
                    <c:v>TERMOELÉCTRICAS</c:v>
                  </c:pt>
                </c:lvl>
              </c:multiLvlStrCache>
            </c:multiLvlStrRef>
          </c:cat>
          <c:val>
            <c:numRef>
              <c:f>'6. FP RER'!$U$6:$U$46</c:f>
              <c:numCache>
                <c:formatCode>0.000</c:formatCode>
                <c:ptCount val="41"/>
                <c:pt idx="0">
                  <c:v>1</c:v>
                </c:pt>
                <c:pt idx="1">
                  <c:v>0.9277130315227945</c:v>
                </c:pt>
                <c:pt idx="2">
                  <c:v>0.8448903011050567</c:v>
                </c:pt>
                <c:pt idx="3">
                  <c:v>0.81309153544178703</c:v>
                </c:pt>
                <c:pt idx="4">
                  <c:v>0.79028453764766293</c:v>
                </c:pt>
                <c:pt idx="5">
                  <c:v>0.70373506957827447</c:v>
                </c:pt>
                <c:pt idx="6">
                  <c:v>0.68988177425986852</c:v>
                </c:pt>
                <c:pt idx="7">
                  <c:v>0.66272024552846265</c:v>
                </c:pt>
                <c:pt idx="8">
                  <c:v>0.65202095319353059</c:v>
                </c:pt>
                <c:pt idx="9">
                  <c:v>0.64653590530933969</c:v>
                </c:pt>
                <c:pt idx="10">
                  <c:v>0.6463665163883664</c:v>
                </c:pt>
                <c:pt idx="11">
                  <c:v>0.63047591693559779</c:v>
                </c:pt>
                <c:pt idx="12">
                  <c:v>0.61923019014108505</c:v>
                </c:pt>
                <c:pt idx="13">
                  <c:v>0.61411513230213588</c:v>
                </c:pt>
                <c:pt idx="14">
                  <c:v>0.57804130789553076</c:v>
                </c:pt>
                <c:pt idx="15">
                  <c:v>0.57220904999606348</c:v>
                </c:pt>
                <c:pt idx="16">
                  <c:v>0.56510989378089094</c:v>
                </c:pt>
                <c:pt idx="17">
                  <c:v>0.518594176563002</c:v>
                </c:pt>
                <c:pt idx="18">
                  <c:v>0.50451430756177074</c:v>
                </c:pt>
                <c:pt idx="19">
                  <c:v>0.49724945787056346</c:v>
                </c:pt>
                <c:pt idx="20">
                  <c:v>0.48030503665211005</c:v>
                </c:pt>
                <c:pt idx="21">
                  <c:v>0.42427745190001365</c:v>
                </c:pt>
                <c:pt idx="22">
                  <c:v>0.41678017506058984</c:v>
                </c:pt>
                <c:pt idx="23">
                  <c:v>0.36887424165815469</c:v>
                </c:pt>
                <c:pt idx="24">
                  <c:v>0.13394654317386234</c:v>
                </c:pt>
                <c:pt idx="25">
                  <c:v>0.58047248119688866</c:v>
                </c:pt>
                <c:pt idx="26">
                  <c:v>0.55925986658345617</c:v>
                </c:pt>
                <c:pt idx="27">
                  <c:v>0.50630471276519251</c:v>
                </c:pt>
                <c:pt idx="28">
                  <c:v>0.45328315114959244</c:v>
                </c:pt>
                <c:pt idx="29">
                  <c:v>0.43507429522169161</c:v>
                </c:pt>
                <c:pt idx="30">
                  <c:v>0.32639194372344421</c:v>
                </c:pt>
                <c:pt idx="31">
                  <c:v>0.31882706975858138</c:v>
                </c:pt>
                <c:pt idx="32">
                  <c:v>0.28309870516378843</c:v>
                </c:pt>
                <c:pt idx="33">
                  <c:v>0.26080528387129931</c:v>
                </c:pt>
                <c:pt idx="34">
                  <c:v>0.25753480639568999</c:v>
                </c:pt>
                <c:pt idx="35">
                  <c:v>0.24868255595531796</c:v>
                </c:pt>
                <c:pt idx="36">
                  <c:v>0.24356213481702299</c:v>
                </c:pt>
                <c:pt idx="37">
                  <c:v>0.90856390276920274</c:v>
                </c:pt>
                <c:pt idx="38">
                  <c:v>0.85171654507460615</c:v>
                </c:pt>
                <c:pt idx="39">
                  <c:v>0.69686170406475001</c:v>
                </c:pt>
                <c:pt idx="40">
                  <c:v>0.68783994968704343</c:v>
                </c:pt>
              </c:numCache>
            </c:numRef>
          </c:val>
          <c:extLst>
            <c:ext xmlns:c16="http://schemas.microsoft.com/office/drawing/2014/chart" uri="{C3380CC4-5D6E-409C-BE32-E72D297353CC}">
              <c16:uniqueId val="{00000000-85FF-4DF3-8743-548E0D4D72F7}"/>
            </c:ext>
          </c:extLst>
        </c:ser>
        <c:ser>
          <c:idx val="0"/>
          <c:order val="1"/>
          <c:tx>
            <c:strRef>
              <c:f>'6. FP RER'!$V$5</c:f>
              <c:strCache>
                <c:ptCount val="1"/>
                <c:pt idx="0">
                  <c:v>2018</c:v>
                </c:pt>
              </c:strCache>
            </c:strRef>
          </c:tx>
          <c:spPr>
            <a:solidFill>
              <a:schemeClr val="accent2"/>
            </a:solidFill>
          </c:spPr>
          <c:invertIfNegative val="0"/>
          <c:cat>
            <c:multiLvlStrRef>
              <c:f>'6. FP RER'!$S$6:$T$46</c:f>
              <c:multiLvlStrCache>
                <c:ptCount val="41"/>
                <c:lvl>
                  <c:pt idx="0">
                    <c:v>C.H. YARUCAYA</c:v>
                  </c:pt>
                  <c:pt idx="1">
                    <c:v>C.H. RENOVANDES H1</c:v>
                  </c:pt>
                  <c:pt idx="2">
                    <c:v>C.H. LA JOYA</c:v>
                  </c:pt>
                  <c:pt idx="3">
                    <c:v>C.H. IMPERIAL</c:v>
                  </c:pt>
                  <c:pt idx="4">
                    <c:v>C.H. CARHUAQUERO IV</c:v>
                  </c:pt>
                  <c:pt idx="5">
                    <c:v>C.H. CANCHAYLLO</c:v>
                  </c:pt>
                  <c:pt idx="6">
                    <c:v>C.H. HER 1</c:v>
                  </c:pt>
                  <c:pt idx="7">
                    <c:v>C.H. CAÑA BRAVA</c:v>
                  </c:pt>
                  <c:pt idx="8">
                    <c:v>C.H. CARHUAC</c:v>
                  </c:pt>
                  <c:pt idx="9">
                    <c:v>C.H. POECHOS II</c:v>
                  </c:pt>
                  <c:pt idx="10">
                    <c:v>C.H. YANAPAMPA</c:v>
                  </c:pt>
                  <c:pt idx="11">
                    <c:v>C.H. ZAÑA</c:v>
                  </c:pt>
                  <c:pt idx="12">
                    <c:v>C.H. RUNATULLO III</c:v>
                  </c:pt>
                  <c:pt idx="13">
                    <c:v>C.H. POTRERO</c:v>
                  </c:pt>
                  <c:pt idx="14">
                    <c:v>C.H. LAS PIZARRAS</c:v>
                  </c:pt>
                  <c:pt idx="15">
                    <c:v>C.H. HUASAHUASI II</c:v>
                  </c:pt>
                  <c:pt idx="16">
                    <c:v>C.H. HUASAHUASI I</c:v>
                  </c:pt>
                  <c:pt idx="17">
                    <c:v>C.H. SANTA CRUZ II</c:v>
                  </c:pt>
                  <c:pt idx="18">
                    <c:v>C.H. SANTA CRUZ I</c:v>
                  </c:pt>
                  <c:pt idx="19">
                    <c:v>C.H. RUNATULLO II</c:v>
                  </c:pt>
                  <c:pt idx="20">
                    <c:v>C.H. RONCADOR</c:v>
                  </c:pt>
                  <c:pt idx="21">
                    <c:v>C.H. ÁNGEL II</c:v>
                  </c:pt>
                  <c:pt idx="22">
                    <c:v>C.H. ÁNGEL III</c:v>
                  </c:pt>
                  <c:pt idx="23">
                    <c:v>C.H. ÁNGEL I</c:v>
                  </c:pt>
                  <c:pt idx="24">
                    <c:v>C.H. PURMACANA</c:v>
                  </c:pt>
                  <c:pt idx="25">
                    <c:v>C.E. MARCONA</c:v>
                  </c:pt>
                  <c:pt idx="26">
                    <c:v>C.E. TRES HERMANAS</c:v>
                  </c:pt>
                  <c:pt idx="27">
                    <c:v>C.E. WAYRA I</c:v>
                  </c:pt>
                  <c:pt idx="28">
                    <c:v>C.E. TALARA</c:v>
                  </c:pt>
                  <c:pt idx="29">
                    <c:v>C.E. CUPISNIQUE</c:v>
                  </c:pt>
                  <c:pt idx="30">
                    <c:v>C.S. MOQUEGUA FV</c:v>
                  </c:pt>
                  <c:pt idx="31">
                    <c:v>C.S. RUBI</c:v>
                  </c:pt>
                  <c:pt idx="32">
                    <c:v>C.S. PANAMERICANA SOLAR</c:v>
                  </c:pt>
                  <c:pt idx="33">
                    <c:v>C.S. TACNA SOLAR</c:v>
                  </c:pt>
                  <c:pt idx="34">
                    <c:v>C.S. INTIPAMPA</c:v>
                  </c:pt>
                  <c:pt idx="35">
                    <c:v>C.S. MAJES SOLAR</c:v>
                  </c:pt>
                  <c:pt idx="36">
                    <c:v>C.S. REPARTICION</c:v>
                  </c:pt>
                  <c:pt idx="37">
                    <c:v>C.T. HUAYCOLORO</c:v>
                  </c:pt>
                  <c:pt idx="38">
                    <c:v>C.T. PARAMONGA</c:v>
                  </c:pt>
                  <c:pt idx="39">
                    <c:v>C.T. LA GRINGA</c:v>
                  </c:pt>
                  <c:pt idx="40">
                    <c:v>C.T. DOÑA CATALINA</c:v>
                  </c:pt>
                </c:lvl>
                <c:lvl>
                  <c:pt idx="0">
                    <c:v>HIDROELÉCTRICAS</c:v>
                  </c:pt>
                  <c:pt idx="25">
                    <c:v>EÓLICAS</c:v>
                  </c:pt>
                  <c:pt idx="30">
                    <c:v>SOLARES</c:v>
                  </c:pt>
                  <c:pt idx="37">
                    <c:v>TERMOELÉCTRICAS</c:v>
                  </c:pt>
                </c:lvl>
              </c:multiLvlStrCache>
            </c:multiLvlStrRef>
          </c:cat>
          <c:val>
            <c:numRef>
              <c:f>'6. FP RER'!$V$6:$V$46</c:f>
              <c:numCache>
                <c:formatCode>0.000</c:formatCode>
                <c:ptCount val="41"/>
                <c:pt idx="0">
                  <c:v>1</c:v>
                </c:pt>
                <c:pt idx="1">
                  <c:v>0.92247543501106199</c:v>
                </c:pt>
                <c:pt idx="2">
                  <c:v>0.79657670483503795</c:v>
                </c:pt>
                <c:pt idx="3">
                  <c:v>0.72498013923557636</c:v>
                </c:pt>
                <c:pt idx="4">
                  <c:v>0.80760752342166986</c:v>
                </c:pt>
                <c:pt idx="5">
                  <c:v>0.72223784127470636</c:v>
                </c:pt>
                <c:pt idx="6">
                  <c:v>0.62342523620559342</c:v>
                </c:pt>
                <c:pt idx="7">
                  <c:v>0.56406359479911206</c:v>
                </c:pt>
                <c:pt idx="8">
                  <c:v>0</c:v>
                </c:pt>
                <c:pt idx="9">
                  <c:v>0.61858906865673069</c:v>
                </c:pt>
                <c:pt idx="10">
                  <c:v>0.72436166843439798</c:v>
                </c:pt>
                <c:pt idx="11">
                  <c:v>0</c:v>
                </c:pt>
                <c:pt idx="12">
                  <c:v>0.73547322570766127</c:v>
                </c:pt>
                <c:pt idx="13">
                  <c:v>0.51199034231946461</c:v>
                </c:pt>
                <c:pt idx="14">
                  <c:v>0.58484118015668696</c:v>
                </c:pt>
                <c:pt idx="15">
                  <c:v>0.6484942901428743</c:v>
                </c:pt>
                <c:pt idx="16">
                  <c:v>0.637441074937105</c:v>
                </c:pt>
                <c:pt idx="17">
                  <c:v>0.50913782063211288</c:v>
                </c:pt>
                <c:pt idx="18">
                  <c:v>0.48711546219673935</c:v>
                </c:pt>
                <c:pt idx="19">
                  <c:v>0.57810204036152524</c:v>
                </c:pt>
                <c:pt idx="20">
                  <c:v>0.77809183084495981</c:v>
                </c:pt>
                <c:pt idx="21">
                  <c:v>0.29723953650229384</c:v>
                </c:pt>
                <c:pt idx="22">
                  <c:v>0.29465895389791719</c:v>
                </c:pt>
                <c:pt idx="23">
                  <c:v>0.22657863612265891</c:v>
                </c:pt>
                <c:pt idx="24">
                  <c:v>0.16094468812693202</c:v>
                </c:pt>
                <c:pt idx="25">
                  <c:v>0.53260400750411185</c:v>
                </c:pt>
                <c:pt idx="26">
                  <c:v>0.54521277505042276</c:v>
                </c:pt>
                <c:pt idx="27">
                  <c:v>0.60836863533119623</c:v>
                </c:pt>
                <c:pt idx="28">
                  <c:v>0.43988691334965641</c:v>
                </c:pt>
                <c:pt idx="29">
                  <c:v>0.38215264612163208</c:v>
                </c:pt>
                <c:pt idx="30">
                  <c:v>0.33041765537195034</c:v>
                </c:pt>
                <c:pt idx="31">
                  <c:v>0.28797747650705646</c:v>
                </c:pt>
                <c:pt idx="32">
                  <c:v>0.28720138065378292</c:v>
                </c:pt>
                <c:pt idx="33">
                  <c:v>0.26609428714364036</c:v>
                </c:pt>
                <c:pt idx="34">
                  <c:v>0.2568725257194126</c:v>
                </c:pt>
                <c:pt idx="35">
                  <c:v>0.2482084762369792</c:v>
                </c:pt>
                <c:pt idx="36">
                  <c:v>0.22903059376713267</c:v>
                </c:pt>
                <c:pt idx="37">
                  <c:v>0.8229553828555074</c:v>
                </c:pt>
                <c:pt idx="38">
                  <c:v>0.80327685703305374</c:v>
                </c:pt>
                <c:pt idx="39">
                  <c:v>0.47584996213862607</c:v>
                </c:pt>
                <c:pt idx="40">
                  <c:v>0.19177316509046055</c:v>
                </c:pt>
              </c:numCache>
            </c:numRef>
          </c:val>
          <c:extLst>
            <c:ext xmlns:c16="http://schemas.microsoft.com/office/drawing/2014/chart" uri="{C3380CC4-5D6E-409C-BE32-E72D297353CC}">
              <c16:uniqueId val="{00000001-85FF-4DF3-8743-548E0D4D72F7}"/>
            </c:ext>
          </c:extLst>
        </c:ser>
        <c:dLbls>
          <c:showLegendKey val="0"/>
          <c:showVal val="0"/>
          <c:showCatName val="0"/>
          <c:showSerName val="0"/>
          <c:showPercent val="0"/>
          <c:showBubbleSize val="0"/>
        </c:dLbls>
        <c:gapWidth val="63"/>
        <c:axId val="969031040"/>
        <c:axId val="969032832"/>
      </c:barChart>
      <c:catAx>
        <c:axId val="969031040"/>
        <c:scaling>
          <c:orientation val="minMax"/>
        </c:scaling>
        <c:delete val="0"/>
        <c:axPos val="b"/>
        <c:numFmt formatCode="General" sourceLinked="1"/>
        <c:majorTickMark val="out"/>
        <c:minorTickMark val="none"/>
        <c:tickLblPos val="nextTo"/>
        <c:txPr>
          <a:bodyPr/>
          <a:lstStyle/>
          <a:p>
            <a:pPr>
              <a:defRPr sz="600">
                <a:latin typeface="Arial" panose="020B0604020202020204" pitchFamily="34" charset="0"/>
                <a:cs typeface="Arial" panose="020B0604020202020204" pitchFamily="34" charset="0"/>
              </a:defRPr>
            </a:pPr>
            <a:endParaRPr lang="es-PE"/>
          </a:p>
        </c:txPr>
        <c:crossAx val="969032832"/>
        <c:crosses val="autoZero"/>
        <c:auto val="1"/>
        <c:lblAlgn val="ctr"/>
        <c:lblOffset val="100"/>
        <c:noMultiLvlLbl val="0"/>
      </c:catAx>
      <c:valAx>
        <c:axId val="969032832"/>
        <c:scaling>
          <c:orientation val="minMax"/>
          <c:max val="1.1000000000000001"/>
          <c:min val="0"/>
        </c:scaling>
        <c:delete val="0"/>
        <c:axPos val="l"/>
        <c:majorGridlines>
          <c:spPr>
            <a:ln cap="flat" cmpd="sng">
              <a:solidFill>
                <a:schemeClr val="accent1">
                  <a:lumMod val="60000"/>
                  <a:lumOff val="40000"/>
                </a:schemeClr>
              </a:solidFill>
              <a:prstDash val="dash"/>
            </a:ln>
          </c:spPr>
        </c:majorGridlines>
        <c:title>
          <c:tx>
            <c:rich>
              <a:bodyPr rot="0" vert="horz"/>
              <a:lstStyle/>
              <a:p>
                <a:pPr algn="l">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Factor</a:t>
                </a:r>
                <a:br>
                  <a:rPr lang="es-PA" sz="700">
                    <a:latin typeface="Arial" panose="020B0604020202020204" pitchFamily="34" charset="0"/>
                    <a:cs typeface="Arial" panose="020B0604020202020204" pitchFamily="34" charset="0"/>
                  </a:rPr>
                </a:br>
                <a:r>
                  <a:rPr lang="es-PA" sz="700">
                    <a:latin typeface="Arial" panose="020B0604020202020204" pitchFamily="34" charset="0"/>
                    <a:cs typeface="Arial" panose="020B0604020202020204" pitchFamily="34" charset="0"/>
                  </a:rPr>
                  <a:t>de</a:t>
                </a:r>
                <a:r>
                  <a:rPr lang="es-PA" sz="700" baseline="0">
                    <a:latin typeface="Arial" panose="020B0604020202020204" pitchFamily="34" charset="0"/>
                    <a:cs typeface="Arial" panose="020B0604020202020204" pitchFamily="34" charset="0"/>
                  </a:rPr>
                  <a:t> </a:t>
                </a:r>
                <a:r>
                  <a:rPr lang="es-PA" sz="700">
                    <a:latin typeface="Arial" panose="020B0604020202020204" pitchFamily="34" charset="0"/>
                    <a:cs typeface="Arial" panose="020B0604020202020204" pitchFamily="34" charset="0"/>
                  </a:rPr>
                  <a:t>Planta</a:t>
                </a:r>
              </a:p>
            </c:rich>
          </c:tx>
          <c:layout>
            <c:manualLayout>
              <c:xMode val="edge"/>
              <c:yMode val="edge"/>
              <c:x val="1.0790799857874221E-3"/>
              <c:y val="6.2846059401588947E-3"/>
            </c:manualLayout>
          </c:layout>
          <c:overlay val="0"/>
        </c:title>
        <c:numFmt formatCode="0.000" sourceLinked="1"/>
        <c:majorTickMark val="out"/>
        <c:minorTickMark val="none"/>
        <c:tickLblPos val="nextTo"/>
        <c:txPr>
          <a:bodyPr/>
          <a:lstStyle/>
          <a:p>
            <a:pPr>
              <a:defRPr sz="800" b="1">
                <a:latin typeface="Arial" panose="020B0604020202020204" pitchFamily="34" charset="0"/>
                <a:cs typeface="Arial" panose="020B0604020202020204" pitchFamily="34" charset="0"/>
              </a:defRPr>
            </a:pPr>
            <a:endParaRPr lang="es-PE"/>
          </a:p>
        </c:txPr>
        <c:crossAx val="969031040"/>
        <c:crosses val="autoZero"/>
        <c:crossBetween val="between"/>
      </c:valAx>
    </c:plotArea>
    <c:legend>
      <c:legendPos val="r"/>
      <c:layout>
        <c:manualLayout>
          <c:xMode val="edge"/>
          <c:yMode val="edge"/>
          <c:x val="0.35893036281857355"/>
          <c:y val="8.1011984159950437E-2"/>
          <c:w val="0.25031763180510541"/>
          <c:h val="8.3306256695300285E-2"/>
        </c:manualLayout>
      </c:layout>
      <c:overlay val="0"/>
      <c:txPr>
        <a:bodyPr/>
        <a:lstStyle/>
        <a:p>
          <a:pPr>
            <a:defRPr sz="1000"/>
          </a:pPr>
          <a:endParaRPr lang="es-PE"/>
        </a:p>
      </c:txPr>
    </c:legend>
    <c:plotVisOnly val="1"/>
    <c:dispBlanksAs val="gap"/>
    <c:showDLblsOverMax val="0"/>
  </c:chart>
  <c:spPr>
    <a:noFill/>
    <a:ln>
      <a:noFill/>
    </a:ln>
  </c:sp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0.37494996095963978"/>
          <c:y val="1.2301968168956139E-2"/>
          <c:w val="0.55921220384484782"/>
          <c:h val="0.94558691825525532"/>
        </c:manualLayout>
      </c:layout>
      <c:barChart>
        <c:barDir val="bar"/>
        <c:grouping val="clustered"/>
        <c:varyColors val="0"/>
        <c:ser>
          <c:idx val="0"/>
          <c:order val="0"/>
          <c:tx>
            <c:strRef>
              <c:f>'7. Generacion empresa'!$M$4</c:f>
              <c:strCache>
                <c:ptCount val="1"/>
                <c:pt idx="0">
                  <c:v>2019</c:v>
                </c:pt>
              </c:strCache>
            </c:strRef>
          </c:tx>
          <c:spPr>
            <a:solidFill>
              <a:srgbClr val="0077A5"/>
            </a:solidFill>
          </c:spPr>
          <c:invertIfNegative val="0"/>
          <c:cat>
            <c:strRef>
              <c:f>'7. Generacion empresa'!$L$5:$L$61</c:f>
              <c:strCache>
                <c:ptCount val="57"/>
                <c:pt idx="0">
                  <c:v>AGROAURORA</c:v>
                </c:pt>
                <c:pt idx="1">
                  <c:v>ELECTRICA SANTA ROSA / ATRIA</c:v>
                </c:pt>
                <c:pt idx="2">
                  <c:v>SAMAY I</c:v>
                </c:pt>
                <c:pt idx="3">
                  <c:v>HYDRO PATAPO</c:v>
                </c:pt>
                <c:pt idx="4">
                  <c:v>SHOUGESA</c:v>
                </c:pt>
                <c:pt idx="5">
                  <c:v>MAJA ENERGIA</c:v>
                </c:pt>
                <c:pt idx="6">
                  <c:v>IYEPSA</c:v>
                </c:pt>
                <c:pt idx="7">
                  <c:v>EGECSAC</c:v>
                </c:pt>
                <c:pt idx="8">
                  <c:v>CERRO VERDE</c:v>
                </c:pt>
                <c:pt idx="9">
                  <c:v>ELECTRICA YANAPAMPA</c:v>
                </c:pt>
                <c:pt idx="10">
                  <c:v>PLANTA  ETEN</c:v>
                </c:pt>
                <c:pt idx="11">
                  <c:v>HIDROCAÑETE</c:v>
                </c:pt>
                <c:pt idx="12">
                  <c:v>ELECTRO ZAÑA</c:v>
                </c:pt>
                <c:pt idx="13">
                  <c:v>GTS REPARTICION</c:v>
                </c:pt>
                <c:pt idx="14">
                  <c:v>GTS MAJES</c:v>
                </c:pt>
                <c:pt idx="15">
                  <c:v>TACNA SOLAR</c:v>
                </c:pt>
                <c:pt idx="16">
                  <c:v>MOQUEGUA FV</c:v>
                </c:pt>
                <c:pt idx="17">
                  <c:v>RIO DOBLE</c:v>
                </c:pt>
                <c:pt idx="18">
                  <c:v>PANAMERICANA SOLAR</c:v>
                </c:pt>
                <c:pt idx="19">
                  <c:v>SAN JACINTO</c:v>
                </c:pt>
                <c:pt idx="20">
                  <c:v>PETRAMAS</c:v>
                </c:pt>
                <c:pt idx="21">
                  <c:v>BIOENERGIA DEL CHIRA </c:v>
                </c:pt>
                <c:pt idx="22">
                  <c:v>RIO BAÑOS</c:v>
                </c:pt>
                <c:pt idx="23">
                  <c:v>AIPSA</c:v>
                </c:pt>
                <c:pt idx="24">
                  <c:v>ANDEAN POWER</c:v>
                </c:pt>
                <c:pt idx="25">
                  <c:v>AGUA AZUL</c:v>
                </c:pt>
                <c:pt idx="26">
                  <c:v>EGESUR</c:v>
                </c:pt>
                <c:pt idx="27">
                  <c:v>HIDROMARAÑON/ CELEPSA RENOVABLES</c:v>
                </c:pt>
                <c:pt idx="28">
                  <c:v>HUAURA POWER</c:v>
                </c:pt>
                <c:pt idx="29">
                  <c:v>HIDROELECTRICA HUANCHOR</c:v>
                </c:pt>
                <c:pt idx="30">
                  <c:v>SANTA ANA</c:v>
                </c:pt>
                <c:pt idx="31">
                  <c:v>P.E. MARCONA</c:v>
                </c:pt>
                <c:pt idx="32">
                  <c:v>SINERSA</c:v>
                </c:pt>
                <c:pt idx="33">
                  <c:v>SDF ENERGIA</c:v>
                </c:pt>
                <c:pt idx="34">
                  <c:v>EMGE JUNÍN / SANTA CRUZ</c:v>
                </c:pt>
                <c:pt idx="35">
                  <c:v>GEPSA</c:v>
                </c:pt>
                <c:pt idx="36">
                  <c:v>EMGE HUANZA</c:v>
                </c:pt>
                <c:pt idx="37">
                  <c:v>P.E. TRES HERMANAS</c:v>
                </c:pt>
                <c:pt idx="38">
                  <c:v>ENERGÍA EÓLICA</c:v>
                </c:pt>
                <c:pt idx="39">
                  <c:v>INLAND</c:v>
                </c:pt>
                <c:pt idx="40">
                  <c:v>TERMOSELVA</c:v>
                </c:pt>
                <c:pt idx="41">
                  <c:v>CELEPSA</c:v>
                </c:pt>
                <c:pt idx="42">
                  <c:v>SAN GABAN</c:v>
                </c:pt>
                <c:pt idx="43">
                  <c:v>ENEL GENERACION PIURA</c:v>
                </c:pt>
                <c:pt idx="44">
                  <c:v>CHINANGO</c:v>
                </c:pt>
                <c:pt idx="45">
                  <c:v>EGASA</c:v>
                </c:pt>
                <c:pt idx="46">
                  <c:v>EGEMSA</c:v>
                </c:pt>
                <c:pt idx="47">
                  <c:v>ENEL GREEN POWER PERU</c:v>
                </c:pt>
                <c:pt idx="48">
                  <c:v>EMGE HUALLAGA</c:v>
                </c:pt>
                <c:pt idx="49">
                  <c:v>ORAZUL ENERGY PERÚ</c:v>
                </c:pt>
                <c:pt idx="50">
                  <c:v>TERMOCHILCA</c:v>
                </c:pt>
                <c:pt idx="51">
                  <c:v>STATKRAFT</c:v>
                </c:pt>
                <c:pt idx="52">
                  <c:v>FENIX POWER</c:v>
                </c:pt>
                <c:pt idx="53">
                  <c:v>ELECTROPERU</c:v>
                </c:pt>
                <c:pt idx="54">
                  <c:v>ENEL GENERACION PERU</c:v>
                </c:pt>
                <c:pt idx="55">
                  <c:v>ENGIE</c:v>
                </c:pt>
                <c:pt idx="56">
                  <c:v>KALLPA</c:v>
                </c:pt>
              </c:strCache>
            </c:strRef>
          </c:cat>
          <c:val>
            <c:numRef>
              <c:f>'7. Generacion empresa'!$M$5:$M$61</c:f>
              <c:numCache>
                <c:formatCode>General</c:formatCode>
                <c:ptCount val="57"/>
                <c:pt idx="0">
                  <c:v>0</c:v>
                </c:pt>
                <c:pt idx="1">
                  <c:v>0.2409587225</c:v>
                </c:pt>
                <c:pt idx="2">
                  <c:v>0.38157293249999996</c:v>
                </c:pt>
                <c:pt idx="3">
                  <c:v>0.410327</c:v>
                </c:pt>
                <c:pt idx="4">
                  <c:v>0.75443277499999994</c:v>
                </c:pt>
                <c:pt idx="5">
                  <c:v>0.90890776249999994</c:v>
                </c:pt>
                <c:pt idx="6">
                  <c:v>0.90991176250000005</c:v>
                </c:pt>
                <c:pt idx="7">
                  <c:v>1.2097734025000002</c:v>
                </c:pt>
                <c:pt idx="8">
                  <c:v>1.293120155</c:v>
                </c:pt>
                <c:pt idx="9">
                  <c:v>1.703283125</c:v>
                </c:pt>
                <c:pt idx="10">
                  <c:v>1.7925342850000001</c:v>
                </c:pt>
                <c:pt idx="11">
                  <c:v>2.4540999999999999</c:v>
                </c:pt>
                <c:pt idx="12">
                  <c:v>3.2163367274999999</c:v>
                </c:pt>
                <c:pt idx="13">
                  <c:v>3.8874629825000002</c:v>
                </c:pt>
                <c:pt idx="14">
                  <c:v>3.9791125000000003</c:v>
                </c:pt>
                <c:pt idx="15">
                  <c:v>4.4378233575000001</c:v>
                </c:pt>
                <c:pt idx="16">
                  <c:v>4.6652179999999994</c:v>
                </c:pt>
                <c:pt idx="17">
                  <c:v>4.7817676999999996</c:v>
                </c:pt>
                <c:pt idx="18">
                  <c:v>5.0934307200000006</c:v>
                </c:pt>
                <c:pt idx="19">
                  <c:v>5.2313902500000005</c:v>
                </c:pt>
                <c:pt idx="20">
                  <c:v>6.0872632749999998</c:v>
                </c:pt>
                <c:pt idx="21">
                  <c:v>6.3284610624999997</c:v>
                </c:pt>
                <c:pt idx="22">
                  <c:v>8.3398417474999995</c:v>
                </c:pt>
                <c:pt idx="23">
                  <c:v>8.5392450775000004</c:v>
                </c:pt>
                <c:pt idx="24">
                  <c:v>8.9568569525000008</c:v>
                </c:pt>
                <c:pt idx="25">
                  <c:v>9.2458196400000006</c:v>
                </c:pt>
                <c:pt idx="26">
                  <c:v>9.6892305249999993</c:v>
                </c:pt>
                <c:pt idx="27">
                  <c:v>9.7229389099999999</c:v>
                </c:pt>
                <c:pt idx="28">
                  <c:v>12.249863585</c:v>
                </c:pt>
                <c:pt idx="29">
                  <c:v>12.9292788775</c:v>
                </c:pt>
                <c:pt idx="30">
                  <c:v>14.561900835000001</c:v>
                </c:pt>
                <c:pt idx="31">
                  <c:v>15.26119701</c:v>
                </c:pt>
                <c:pt idx="32">
                  <c:v>16.7957603975</c:v>
                </c:pt>
                <c:pt idx="33">
                  <c:v>19.022962199999998</c:v>
                </c:pt>
                <c:pt idx="34">
                  <c:v>20.545914439999997</c:v>
                </c:pt>
                <c:pt idx="35">
                  <c:v>22.286422627499999</c:v>
                </c:pt>
                <c:pt idx="36">
                  <c:v>36.550209789999997</c:v>
                </c:pt>
                <c:pt idx="37">
                  <c:v>44.209399752500005</c:v>
                </c:pt>
                <c:pt idx="38">
                  <c:v>45.204932597500004</c:v>
                </c:pt>
                <c:pt idx="39">
                  <c:v>46.583902307499997</c:v>
                </c:pt>
                <c:pt idx="40">
                  <c:v>49.544273907499999</c:v>
                </c:pt>
                <c:pt idx="41">
                  <c:v>59.264519217500002</c:v>
                </c:pt>
                <c:pt idx="42">
                  <c:v>60.646513262500001</c:v>
                </c:pt>
                <c:pt idx="43">
                  <c:v>64.667762552499994</c:v>
                </c:pt>
                <c:pt idx="44">
                  <c:v>69.585147019999994</c:v>
                </c:pt>
                <c:pt idx="45">
                  <c:v>78.907008152499984</c:v>
                </c:pt>
                <c:pt idx="46">
                  <c:v>88.806342247499998</c:v>
                </c:pt>
                <c:pt idx="47">
                  <c:v>101.3922339625</c:v>
                </c:pt>
                <c:pt idx="48">
                  <c:v>113.63428374</c:v>
                </c:pt>
                <c:pt idx="49">
                  <c:v>120.613389375</c:v>
                </c:pt>
                <c:pt idx="50">
                  <c:v>121.10620091999999</c:v>
                </c:pt>
                <c:pt idx="51">
                  <c:v>166.49714083750001</c:v>
                </c:pt>
                <c:pt idx="52">
                  <c:v>347.31674387500004</c:v>
                </c:pt>
                <c:pt idx="53">
                  <c:v>572.44090935000008</c:v>
                </c:pt>
                <c:pt idx="54">
                  <c:v>599.47107346249982</c:v>
                </c:pt>
                <c:pt idx="55">
                  <c:v>669.62592800750008</c:v>
                </c:pt>
                <c:pt idx="56">
                  <c:v>778.58826709750008</c:v>
                </c:pt>
              </c:numCache>
            </c:numRef>
          </c:val>
          <c:extLst>
            <c:ext xmlns:c16="http://schemas.microsoft.com/office/drawing/2014/chart" uri="{C3380CC4-5D6E-409C-BE32-E72D297353CC}">
              <c16:uniqueId val="{00000000-EC2C-44BF-A1B0-E0FDC77FAEDA}"/>
            </c:ext>
          </c:extLst>
        </c:ser>
        <c:ser>
          <c:idx val="1"/>
          <c:order val="1"/>
          <c:tx>
            <c:strRef>
              <c:f>'7. Generacion empresa'!$N$4</c:f>
              <c:strCache>
                <c:ptCount val="1"/>
                <c:pt idx="0">
                  <c:v>2018</c:v>
                </c:pt>
              </c:strCache>
            </c:strRef>
          </c:tx>
          <c:spPr>
            <a:solidFill>
              <a:schemeClr val="accent2"/>
            </a:solidFill>
          </c:spPr>
          <c:invertIfNegative val="0"/>
          <c:cat>
            <c:strRef>
              <c:f>'7. Generacion empresa'!$L$5:$L$61</c:f>
              <c:strCache>
                <c:ptCount val="57"/>
                <c:pt idx="0">
                  <c:v>AGROAURORA</c:v>
                </c:pt>
                <c:pt idx="1">
                  <c:v>ELECTRICA SANTA ROSA / ATRIA</c:v>
                </c:pt>
                <c:pt idx="2">
                  <c:v>SAMAY I</c:v>
                </c:pt>
                <c:pt idx="3">
                  <c:v>HYDRO PATAPO</c:v>
                </c:pt>
                <c:pt idx="4">
                  <c:v>SHOUGESA</c:v>
                </c:pt>
                <c:pt idx="5">
                  <c:v>MAJA ENERGIA</c:v>
                </c:pt>
                <c:pt idx="6">
                  <c:v>IYEPSA</c:v>
                </c:pt>
                <c:pt idx="7">
                  <c:v>EGECSAC</c:v>
                </c:pt>
                <c:pt idx="8">
                  <c:v>CERRO VERDE</c:v>
                </c:pt>
                <c:pt idx="9">
                  <c:v>ELECTRICA YANAPAMPA</c:v>
                </c:pt>
                <c:pt idx="10">
                  <c:v>PLANTA  ETEN</c:v>
                </c:pt>
                <c:pt idx="11">
                  <c:v>HIDROCAÑETE</c:v>
                </c:pt>
                <c:pt idx="12">
                  <c:v>ELECTRO ZAÑA</c:v>
                </c:pt>
                <c:pt idx="13">
                  <c:v>GTS REPARTICION</c:v>
                </c:pt>
                <c:pt idx="14">
                  <c:v>GTS MAJES</c:v>
                </c:pt>
                <c:pt idx="15">
                  <c:v>TACNA SOLAR</c:v>
                </c:pt>
                <c:pt idx="16">
                  <c:v>MOQUEGUA FV</c:v>
                </c:pt>
                <c:pt idx="17">
                  <c:v>RIO DOBLE</c:v>
                </c:pt>
                <c:pt idx="18">
                  <c:v>PANAMERICANA SOLAR</c:v>
                </c:pt>
                <c:pt idx="19">
                  <c:v>SAN JACINTO</c:v>
                </c:pt>
                <c:pt idx="20">
                  <c:v>PETRAMAS</c:v>
                </c:pt>
                <c:pt idx="21">
                  <c:v>BIOENERGIA DEL CHIRA </c:v>
                </c:pt>
                <c:pt idx="22">
                  <c:v>RIO BAÑOS</c:v>
                </c:pt>
                <c:pt idx="23">
                  <c:v>AIPSA</c:v>
                </c:pt>
                <c:pt idx="24">
                  <c:v>ANDEAN POWER</c:v>
                </c:pt>
                <c:pt idx="25">
                  <c:v>AGUA AZUL</c:v>
                </c:pt>
                <c:pt idx="26">
                  <c:v>EGESUR</c:v>
                </c:pt>
                <c:pt idx="27">
                  <c:v>HIDROMARAÑON/ CELEPSA RENOVABLES</c:v>
                </c:pt>
                <c:pt idx="28">
                  <c:v>HUAURA POWER</c:v>
                </c:pt>
                <c:pt idx="29">
                  <c:v>HIDROELECTRICA HUANCHOR</c:v>
                </c:pt>
                <c:pt idx="30">
                  <c:v>SANTA ANA</c:v>
                </c:pt>
                <c:pt idx="31">
                  <c:v>P.E. MARCONA</c:v>
                </c:pt>
                <c:pt idx="32">
                  <c:v>SINERSA</c:v>
                </c:pt>
                <c:pt idx="33">
                  <c:v>SDF ENERGIA</c:v>
                </c:pt>
                <c:pt idx="34">
                  <c:v>EMGE JUNÍN / SANTA CRUZ</c:v>
                </c:pt>
                <c:pt idx="35">
                  <c:v>GEPSA</c:v>
                </c:pt>
                <c:pt idx="36">
                  <c:v>EMGE HUANZA</c:v>
                </c:pt>
                <c:pt idx="37">
                  <c:v>P.E. TRES HERMANAS</c:v>
                </c:pt>
                <c:pt idx="38">
                  <c:v>ENERGÍA EÓLICA</c:v>
                </c:pt>
                <c:pt idx="39">
                  <c:v>INLAND</c:v>
                </c:pt>
                <c:pt idx="40">
                  <c:v>TERMOSELVA</c:v>
                </c:pt>
                <c:pt idx="41">
                  <c:v>CELEPSA</c:v>
                </c:pt>
                <c:pt idx="42">
                  <c:v>SAN GABAN</c:v>
                </c:pt>
                <c:pt idx="43">
                  <c:v>ENEL GENERACION PIURA</c:v>
                </c:pt>
                <c:pt idx="44">
                  <c:v>CHINANGO</c:v>
                </c:pt>
                <c:pt idx="45">
                  <c:v>EGASA</c:v>
                </c:pt>
                <c:pt idx="46">
                  <c:v>EGEMSA</c:v>
                </c:pt>
                <c:pt idx="47">
                  <c:v>ENEL GREEN POWER PERU</c:v>
                </c:pt>
                <c:pt idx="48">
                  <c:v>EMGE HUALLAGA</c:v>
                </c:pt>
                <c:pt idx="49">
                  <c:v>ORAZUL ENERGY PERÚ</c:v>
                </c:pt>
                <c:pt idx="50">
                  <c:v>TERMOCHILCA</c:v>
                </c:pt>
                <c:pt idx="51">
                  <c:v>STATKRAFT</c:v>
                </c:pt>
                <c:pt idx="52">
                  <c:v>FENIX POWER</c:v>
                </c:pt>
                <c:pt idx="53">
                  <c:v>ELECTROPERU</c:v>
                </c:pt>
                <c:pt idx="54">
                  <c:v>ENEL GENERACION PERU</c:v>
                </c:pt>
                <c:pt idx="55">
                  <c:v>ENGIE</c:v>
                </c:pt>
                <c:pt idx="56">
                  <c:v>KALLPA</c:v>
                </c:pt>
              </c:strCache>
            </c:strRef>
          </c:cat>
          <c:val>
            <c:numRef>
              <c:f>'7. Generacion empresa'!$N$5:$N$61</c:f>
              <c:numCache>
                <c:formatCode>General</c:formatCode>
                <c:ptCount val="57"/>
                <c:pt idx="0">
                  <c:v>0</c:v>
                </c:pt>
                <c:pt idx="1">
                  <c:v>0.15833426499999997</c:v>
                </c:pt>
                <c:pt idx="2">
                  <c:v>0</c:v>
                </c:pt>
                <c:pt idx="3">
                  <c:v>0.39752925</c:v>
                </c:pt>
                <c:pt idx="4">
                  <c:v>7.4071750000000007E-4</c:v>
                </c:pt>
                <c:pt idx="5">
                  <c:v>1.4034282500000002</c:v>
                </c:pt>
                <c:pt idx="6">
                  <c:v>0.34828148500000006</c:v>
                </c:pt>
                <c:pt idx="7">
                  <c:v>1.2215764099999999</c:v>
                </c:pt>
                <c:pt idx="8">
                  <c:v>0</c:v>
                </c:pt>
                <c:pt idx="9">
                  <c:v>1.8358720900000001</c:v>
                </c:pt>
                <c:pt idx="10">
                  <c:v>2.0731304999999998E-2</c:v>
                </c:pt>
                <c:pt idx="11">
                  <c:v>2.3235999999999999</c:v>
                </c:pt>
                <c:pt idx="13">
                  <c:v>3.9441989975</c:v>
                </c:pt>
                <c:pt idx="14">
                  <c:v>4.0927147899999996</c:v>
                </c:pt>
                <c:pt idx="15">
                  <c:v>4.1696904450000005</c:v>
                </c:pt>
                <c:pt idx="16">
                  <c:v>4.5210780399999999</c:v>
                </c:pt>
                <c:pt idx="17">
                  <c:v>3.7095689250000001</c:v>
                </c:pt>
                <c:pt idx="18">
                  <c:v>4.9485728049999995</c:v>
                </c:pt>
                <c:pt idx="20">
                  <c:v>5.6186687375000002</c:v>
                </c:pt>
                <c:pt idx="23">
                  <c:v>8.2844029750000008</c:v>
                </c:pt>
                <c:pt idx="24">
                  <c:v>0.38860980499999997</c:v>
                </c:pt>
                <c:pt idx="25">
                  <c:v>4.3972217100000002</c:v>
                </c:pt>
                <c:pt idx="26">
                  <c:v>22.334061364999997</c:v>
                </c:pt>
                <c:pt idx="27">
                  <c:v>13.167072175000001</c:v>
                </c:pt>
                <c:pt idx="28">
                  <c:v>11.997897917500001</c:v>
                </c:pt>
                <c:pt idx="29">
                  <c:v>13.050101999999999</c:v>
                </c:pt>
                <c:pt idx="30">
                  <c:v>13.25724941</c:v>
                </c:pt>
                <c:pt idx="31">
                  <c:v>13.949160585</c:v>
                </c:pt>
                <c:pt idx="32">
                  <c:v>2.6621430650000004</c:v>
                </c:pt>
                <c:pt idx="33">
                  <c:v>4.7543686950000001</c:v>
                </c:pt>
                <c:pt idx="34">
                  <c:v>37.101784379999998</c:v>
                </c:pt>
                <c:pt idx="35">
                  <c:v>16.316552032499999</c:v>
                </c:pt>
                <c:pt idx="36">
                  <c:v>34.508522935000002</c:v>
                </c:pt>
                <c:pt idx="37">
                  <c:v>40.9515070725</c:v>
                </c:pt>
                <c:pt idx="38">
                  <c:v>38.743805764999998</c:v>
                </c:pt>
                <c:pt idx="39">
                  <c:v>57.817511275000001</c:v>
                </c:pt>
                <c:pt idx="40">
                  <c:v>14.149995952499999</c:v>
                </c:pt>
                <c:pt idx="41">
                  <c:v>54.221362575000001</c:v>
                </c:pt>
                <c:pt idx="42">
                  <c:v>59.925941157500006</c:v>
                </c:pt>
                <c:pt idx="43">
                  <c:v>60.860229275000002</c:v>
                </c:pt>
                <c:pt idx="44">
                  <c:v>107.82387637999999</c:v>
                </c:pt>
                <c:pt idx="45">
                  <c:v>80.122486187500002</c:v>
                </c:pt>
                <c:pt idx="46">
                  <c:v>108.7631830725</c:v>
                </c:pt>
                <c:pt idx="47">
                  <c:v>98.1267117525</c:v>
                </c:pt>
                <c:pt idx="48">
                  <c:v>207.48678108999999</c:v>
                </c:pt>
                <c:pt idx="49">
                  <c:v>124.66290317000002</c:v>
                </c:pt>
                <c:pt idx="50">
                  <c:v>210.78325315999999</c:v>
                </c:pt>
                <c:pt idx="51">
                  <c:v>187.43257640750002</c:v>
                </c:pt>
                <c:pt idx="52">
                  <c:v>397.157616625</c:v>
                </c:pt>
                <c:pt idx="53">
                  <c:v>628.97198311750003</c:v>
                </c:pt>
                <c:pt idx="54">
                  <c:v>515.00266392499987</c:v>
                </c:pt>
                <c:pt idx="55">
                  <c:v>544.46834497000009</c:v>
                </c:pt>
                <c:pt idx="56">
                  <c:v>582.23254020499996</c:v>
                </c:pt>
              </c:numCache>
            </c:numRef>
          </c:val>
          <c:extLst>
            <c:ext xmlns:c16="http://schemas.microsoft.com/office/drawing/2014/chart" uri="{C3380CC4-5D6E-409C-BE32-E72D297353CC}">
              <c16:uniqueId val="{00000001-EC2C-44BF-A1B0-E0FDC77FAEDA}"/>
            </c:ext>
          </c:extLst>
        </c:ser>
        <c:dLbls>
          <c:showLegendKey val="0"/>
          <c:showVal val="0"/>
          <c:showCatName val="0"/>
          <c:showSerName val="0"/>
          <c:showPercent val="0"/>
          <c:showBubbleSize val="0"/>
        </c:dLbls>
        <c:gapWidth val="150"/>
        <c:axId val="354657792"/>
        <c:axId val="354659328"/>
      </c:barChart>
      <c:catAx>
        <c:axId val="354657792"/>
        <c:scaling>
          <c:orientation val="minMax"/>
        </c:scaling>
        <c:delete val="0"/>
        <c:axPos val="l"/>
        <c:numFmt formatCode="General" sourceLinked="0"/>
        <c:majorTickMark val="out"/>
        <c:minorTickMark val="none"/>
        <c:tickLblPos val="nextTo"/>
        <c:txPr>
          <a:bodyPr/>
          <a:lstStyle/>
          <a:p>
            <a:pPr>
              <a:defRPr sz="600">
                <a:latin typeface="Arial" panose="020B0604020202020204" pitchFamily="34" charset="0"/>
                <a:cs typeface="Arial" panose="020B0604020202020204" pitchFamily="34" charset="0"/>
              </a:defRPr>
            </a:pPr>
            <a:endParaRPr lang="es-PE"/>
          </a:p>
        </c:txPr>
        <c:crossAx val="354659328"/>
        <c:crosses val="autoZero"/>
        <c:auto val="1"/>
        <c:lblAlgn val="ctr"/>
        <c:lblOffset val="100"/>
        <c:noMultiLvlLbl val="0"/>
      </c:catAx>
      <c:valAx>
        <c:axId val="354659328"/>
        <c:scaling>
          <c:orientation val="minMax"/>
          <c:max val="700"/>
          <c:min val="0"/>
        </c:scaling>
        <c:delete val="0"/>
        <c:axPos val="b"/>
        <c:title>
          <c:tx>
            <c:rich>
              <a:bodyPr/>
              <a:lstStyle/>
              <a:p>
                <a:pPr>
                  <a:defRPr sz="700">
                    <a:latin typeface="Arial" panose="020B0604020202020204" pitchFamily="34" charset="0"/>
                    <a:cs typeface="Arial" panose="020B0604020202020204" pitchFamily="34" charset="0"/>
                  </a:defRPr>
                </a:pPr>
                <a:r>
                  <a:rPr lang="es-PE" sz="700">
                    <a:latin typeface="Arial" panose="020B0604020202020204" pitchFamily="34" charset="0"/>
                    <a:cs typeface="Arial" panose="020B0604020202020204" pitchFamily="34" charset="0"/>
                  </a:rPr>
                  <a:t>GWh</a:t>
                </a:r>
              </a:p>
            </c:rich>
          </c:tx>
          <c:layout>
            <c:manualLayout>
              <c:xMode val="edge"/>
              <c:yMode val="edge"/>
              <c:x val="0.8876027369208187"/>
              <c:y val="0.97748859073676797"/>
            </c:manualLayout>
          </c:layout>
          <c:overlay val="0"/>
        </c:title>
        <c:numFmt formatCode="General" sourceLinked="1"/>
        <c:majorTickMark val="out"/>
        <c:minorTickMark val="none"/>
        <c:tickLblPos val="nextTo"/>
        <c:txPr>
          <a:bodyPr/>
          <a:lstStyle/>
          <a:p>
            <a:pPr>
              <a:defRPr sz="700" b="1">
                <a:latin typeface="Arial" panose="020B0604020202020204" pitchFamily="34" charset="0"/>
                <a:cs typeface="Arial" panose="020B0604020202020204" pitchFamily="34" charset="0"/>
              </a:defRPr>
            </a:pPr>
            <a:endParaRPr lang="es-PE"/>
          </a:p>
        </c:txPr>
        <c:crossAx val="354657792"/>
        <c:crosses val="autoZero"/>
        <c:crossBetween val="between"/>
      </c:valAx>
    </c:plotArea>
    <c:legend>
      <c:legendPos val="r"/>
      <c:layout>
        <c:manualLayout>
          <c:xMode val="edge"/>
          <c:yMode val="edge"/>
          <c:x val="0.51501665542750064"/>
          <c:y val="0.37751450409712056"/>
          <c:w val="0.24110417182030439"/>
          <c:h val="8.5183642057712866E-2"/>
        </c:manualLayout>
      </c:layout>
      <c:overlay val="0"/>
    </c:legend>
    <c:plotVisOnly val="1"/>
    <c:dispBlanksAs val="gap"/>
    <c:showDLblsOverMax val="0"/>
  </c:chart>
  <c:spPr>
    <a:ln>
      <a:noFill/>
    </a:ln>
  </c:spPr>
  <c:printSettings>
    <c:headerFooter>
      <c:oddHeader>&amp;L&amp;"Calibri Light,Regular"&amp;10 &amp;C&amp;"Calibri Light,Regular"&amp;10 &amp;R&amp;"Tahoma,Negrita"&amp;9Informe de la Operación Mensual - Agosto 2017
INFSGI-MES-08-2017
08/09/2017
Versión: 01</c:oddHeader>
      <c:oddFooter>&amp;L&amp;7COES SINAC, 2018
&amp;C7&amp;R&amp;7Dirección Ejecutiva
Sub Dirección de Gestión de Información</c:oddFooter>
    </c:headerFooter>
    <c:pageMargins b="0.75" l="0.7" r="0.7" t="0.75" header="0.3" footer="0.3"/>
    <c:pageSetup orientation="portrait"/>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9.0291272004103779E-2"/>
          <c:y val="0.15190762581022166"/>
          <c:w val="0.83360022102500342"/>
          <c:h val="0.74077532166518834"/>
        </c:manualLayout>
      </c:layout>
      <c:barChart>
        <c:barDir val="bar"/>
        <c:grouping val="stacked"/>
        <c:varyColors val="0"/>
        <c:ser>
          <c:idx val="0"/>
          <c:order val="0"/>
          <c:tx>
            <c:strRef>
              <c:f>'8. Max Potencia'!$A$10</c:f>
              <c:strCache>
                <c:ptCount val="1"/>
                <c:pt idx="0">
                  <c:v>Hidroeléctrica</c:v>
                </c:pt>
              </c:strCache>
            </c:strRef>
          </c:tx>
          <c:spPr>
            <a:solidFill>
              <a:srgbClr val="0077A5"/>
            </a:solidFill>
          </c:spPr>
          <c:invertIfNegative val="0"/>
          <c:cat>
            <c:numRef>
              <c:f>('8. Max Potencia'!$G$7:$H$7,'8. Max Potencia'!$J$7)</c:f>
              <c:numCache>
                <c:formatCode>General</c:formatCode>
                <c:ptCount val="3"/>
                <c:pt idx="0">
                  <c:v>2019</c:v>
                </c:pt>
                <c:pt idx="1">
                  <c:v>2018</c:v>
                </c:pt>
                <c:pt idx="2">
                  <c:v>2017</c:v>
                </c:pt>
              </c:numCache>
            </c:numRef>
          </c:cat>
          <c:val>
            <c:numRef>
              <c:f>('8. Max Potencia'!$G$10:$H$10,'8. Max Potencia'!$J$10)</c:f>
              <c:numCache>
                <c:formatCode>_(* #,##0.00_);_(* \(#,##0.00\);_(* "-"??_);_(@_)</c:formatCode>
                <c:ptCount val="3"/>
                <c:pt idx="0">
                  <c:v>4580.6239199999991</c:v>
                </c:pt>
                <c:pt idx="1">
                  <c:v>4457.8647499999988</c:v>
                </c:pt>
                <c:pt idx="2">
                  <c:v>4181.7234999999982</c:v>
                </c:pt>
              </c:numCache>
            </c:numRef>
          </c:val>
          <c:extLst>
            <c:ext xmlns:c16="http://schemas.microsoft.com/office/drawing/2014/chart" uri="{C3380CC4-5D6E-409C-BE32-E72D297353CC}">
              <c16:uniqueId val="{00000000-8473-4161-BA8B-91A066D44B7A}"/>
            </c:ext>
          </c:extLst>
        </c:ser>
        <c:ser>
          <c:idx val="1"/>
          <c:order val="1"/>
          <c:tx>
            <c:strRef>
              <c:f>'8. Max Potencia'!$A$11</c:f>
              <c:strCache>
                <c:ptCount val="1"/>
                <c:pt idx="0">
                  <c:v>Termoeléctrica</c:v>
                </c:pt>
              </c:strCache>
            </c:strRef>
          </c:tx>
          <c:spPr>
            <a:solidFill>
              <a:srgbClr val="FF6600"/>
            </a:solidFill>
          </c:spPr>
          <c:invertIfNegative val="0"/>
          <c:cat>
            <c:numRef>
              <c:f>('8. Max Potencia'!$G$7:$H$7,'8. Max Potencia'!$J$7)</c:f>
              <c:numCache>
                <c:formatCode>General</c:formatCode>
                <c:ptCount val="3"/>
                <c:pt idx="0">
                  <c:v>2019</c:v>
                </c:pt>
                <c:pt idx="1">
                  <c:v>2018</c:v>
                </c:pt>
                <c:pt idx="2">
                  <c:v>2017</c:v>
                </c:pt>
              </c:numCache>
            </c:numRef>
          </c:cat>
          <c:val>
            <c:numRef>
              <c:f>('8. Max Potencia'!$G$11:$H$11,'8. Max Potencia'!$J$11)</c:f>
              <c:numCache>
                <c:formatCode>_(* #,##0.00_);_(* \(#,##0.00\);_(* "-"??_);_(@_)</c:formatCode>
                <c:ptCount val="3"/>
                <c:pt idx="0">
                  <c:v>2106.5043700000006</c:v>
                </c:pt>
                <c:pt idx="1">
                  <c:v>1943.7948299999998</c:v>
                </c:pt>
                <c:pt idx="2">
                  <c:v>2286.1302900000001</c:v>
                </c:pt>
              </c:numCache>
            </c:numRef>
          </c:val>
          <c:extLst>
            <c:ext xmlns:c16="http://schemas.microsoft.com/office/drawing/2014/chart" uri="{C3380CC4-5D6E-409C-BE32-E72D297353CC}">
              <c16:uniqueId val="{00000001-8473-4161-BA8B-91A066D44B7A}"/>
            </c:ext>
          </c:extLst>
        </c:ser>
        <c:ser>
          <c:idx val="2"/>
          <c:order val="2"/>
          <c:tx>
            <c:strRef>
              <c:f>'8. Max Potencia'!$A$12</c:f>
              <c:strCache>
                <c:ptCount val="1"/>
                <c:pt idx="0">
                  <c:v>Eólica</c:v>
                </c:pt>
              </c:strCache>
            </c:strRef>
          </c:tx>
          <c:spPr>
            <a:solidFill>
              <a:srgbClr val="6DA6D9"/>
            </a:solidFill>
          </c:spPr>
          <c:invertIfNegative val="0"/>
          <c:cat>
            <c:numRef>
              <c:f>('8. Max Potencia'!$G$7:$H$7,'8. Max Potencia'!$J$7)</c:f>
              <c:numCache>
                <c:formatCode>General</c:formatCode>
                <c:ptCount val="3"/>
                <c:pt idx="0">
                  <c:v>2019</c:v>
                </c:pt>
                <c:pt idx="1">
                  <c:v>2018</c:v>
                </c:pt>
                <c:pt idx="2">
                  <c:v>2017</c:v>
                </c:pt>
              </c:numCache>
            </c:numRef>
          </c:cat>
          <c:val>
            <c:numRef>
              <c:f>('8. Max Potencia'!$G$12:$H$12,'8. Max Potencia'!$J$12)</c:f>
              <c:numCache>
                <c:formatCode>_(* #,##0.00_);_(* \(#,##0.00\);_(* "-"??_);_(@_)</c:formatCode>
                <c:ptCount val="3"/>
                <c:pt idx="0">
                  <c:v>303.54068999999998</c:v>
                </c:pt>
                <c:pt idx="1">
                  <c:v>309.01528000000002</c:v>
                </c:pt>
                <c:pt idx="2">
                  <c:v>91.209550000000007</c:v>
                </c:pt>
              </c:numCache>
            </c:numRef>
          </c:val>
          <c:extLst>
            <c:ext xmlns:c16="http://schemas.microsoft.com/office/drawing/2014/chart" uri="{C3380CC4-5D6E-409C-BE32-E72D297353CC}">
              <c16:uniqueId val="{00000002-8473-4161-BA8B-91A066D44B7A}"/>
            </c:ext>
          </c:extLst>
        </c:ser>
        <c:dLbls>
          <c:showLegendKey val="0"/>
          <c:showVal val="0"/>
          <c:showCatName val="0"/>
          <c:showSerName val="0"/>
          <c:showPercent val="0"/>
          <c:showBubbleSize val="0"/>
        </c:dLbls>
        <c:gapWidth val="150"/>
        <c:overlap val="100"/>
        <c:axId val="347148288"/>
        <c:axId val="347150208"/>
      </c:barChart>
      <c:catAx>
        <c:axId val="347148288"/>
        <c:scaling>
          <c:orientation val="minMax"/>
        </c:scaling>
        <c:delete val="0"/>
        <c:axPos val="l"/>
        <c:title>
          <c:tx>
            <c:rich>
              <a:bodyPr rot="0" vert="horz"/>
              <a:lstStyle/>
              <a:p>
                <a:pPr>
                  <a:defRPr/>
                </a:pPr>
                <a:r>
                  <a:rPr lang="en-US"/>
                  <a:t>AÑO</a:t>
                </a:r>
              </a:p>
            </c:rich>
          </c:tx>
          <c:layout>
            <c:manualLayout>
              <c:xMode val="edge"/>
              <c:yMode val="edge"/>
              <c:x val="3.8518727456497724E-2"/>
              <c:y val="9.1373367883468767E-2"/>
            </c:manualLayout>
          </c:layout>
          <c:overlay val="0"/>
        </c:title>
        <c:numFmt formatCode="#,##0" sourceLinked="0"/>
        <c:majorTickMark val="out"/>
        <c:minorTickMark val="none"/>
        <c:tickLblPos val="nextTo"/>
        <c:txPr>
          <a:bodyPr/>
          <a:lstStyle/>
          <a:p>
            <a:pPr>
              <a:defRPr b="1"/>
            </a:pPr>
            <a:endParaRPr lang="es-PE"/>
          </a:p>
        </c:txPr>
        <c:crossAx val="347150208"/>
        <c:crosses val="autoZero"/>
        <c:auto val="1"/>
        <c:lblAlgn val="ctr"/>
        <c:lblOffset val="100"/>
        <c:noMultiLvlLbl val="0"/>
      </c:catAx>
      <c:valAx>
        <c:axId val="347150208"/>
        <c:scaling>
          <c:orientation val="minMax"/>
          <c:min val="0"/>
        </c:scaling>
        <c:delete val="0"/>
        <c:axPos val="b"/>
        <c:majorGridlines/>
        <c:title>
          <c:tx>
            <c:rich>
              <a:bodyPr rot="0" vert="horz"/>
              <a:lstStyle/>
              <a:p>
                <a:pPr>
                  <a:defRPr/>
                </a:pPr>
                <a:r>
                  <a:rPr lang="en-US"/>
                  <a:t>MW</a:t>
                </a:r>
              </a:p>
            </c:rich>
          </c:tx>
          <c:layout>
            <c:manualLayout>
              <c:xMode val="edge"/>
              <c:yMode val="edge"/>
              <c:x val="0.95603494184405124"/>
              <c:y val="0.90544799048813929"/>
            </c:manualLayout>
          </c:layout>
          <c:overlay val="0"/>
        </c:title>
        <c:numFmt formatCode="#,##0" sourceLinked="0"/>
        <c:majorTickMark val="out"/>
        <c:minorTickMark val="none"/>
        <c:tickLblPos val="nextTo"/>
        <c:txPr>
          <a:bodyPr/>
          <a:lstStyle/>
          <a:p>
            <a:pPr>
              <a:defRPr b="1"/>
            </a:pPr>
            <a:endParaRPr lang="es-PE"/>
          </a:p>
        </c:txPr>
        <c:crossAx val="347148288"/>
        <c:crosses val="autoZero"/>
        <c:crossBetween val="between"/>
      </c:valAx>
    </c:plotArea>
    <c:legend>
      <c:legendPos val="t"/>
      <c:layout>
        <c:manualLayout>
          <c:xMode val="edge"/>
          <c:yMode val="edge"/>
          <c:x val="0.23570151027982611"/>
          <c:y val="1.9448058242493807E-2"/>
          <c:w val="0.53306253960238259"/>
          <c:h val="5.0239820088446303E-2"/>
        </c:manualLayout>
      </c:layout>
      <c:overlay val="0"/>
      <c:txPr>
        <a:bodyPr/>
        <a:lstStyle/>
        <a:p>
          <a:pPr>
            <a:defRPr sz="1200"/>
          </a:pPr>
          <a:endParaRPr lang="es-PE"/>
        </a:p>
      </c:txPr>
    </c:legend>
    <c:plotVisOnly val="1"/>
    <c:dispBlanksAs val="gap"/>
    <c:showDLblsOverMax val="0"/>
  </c:chart>
  <c:spPr>
    <a:ln>
      <a:noFill/>
    </a:ln>
  </c:sp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0.45245125578898315"/>
          <c:y val="1.4872857509963519E-2"/>
          <c:w val="0.59072253423018817"/>
          <c:h val="0.94076278528072366"/>
        </c:manualLayout>
      </c:layout>
      <c:barChart>
        <c:barDir val="bar"/>
        <c:grouping val="clustered"/>
        <c:varyColors val="0"/>
        <c:ser>
          <c:idx val="0"/>
          <c:order val="0"/>
          <c:tx>
            <c:strRef>
              <c:f>'9. Pot. Empresa'!$M$6</c:f>
              <c:strCache>
                <c:ptCount val="1"/>
                <c:pt idx="0">
                  <c:v>2019</c:v>
                </c:pt>
              </c:strCache>
            </c:strRef>
          </c:tx>
          <c:spPr>
            <a:solidFill>
              <a:srgbClr val="0077A5"/>
            </a:solidFill>
          </c:spPr>
          <c:invertIfNegative val="0"/>
          <c:cat>
            <c:strRef>
              <c:f>'9. Pot. Empresa'!$L$7:$L$63</c:f>
              <c:strCache>
                <c:ptCount val="57"/>
                <c:pt idx="0">
                  <c:v>AGROAURORA</c:v>
                </c:pt>
                <c:pt idx="1">
                  <c:v>CERRO VERDE</c:v>
                </c:pt>
                <c:pt idx="2">
                  <c:v>GTS MAJES</c:v>
                </c:pt>
                <c:pt idx="3">
                  <c:v>GTS REPARTICION</c:v>
                </c:pt>
                <c:pt idx="4">
                  <c:v>HYDRO PATAPO</c:v>
                </c:pt>
                <c:pt idx="5">
                  <c:v>IYEPSA</c:v>
                </c:pt>
                <c:pt idx="6">
                  <c:v>MOQUEGUA FV</c:v>
                </c:pt>
                <c:pt idx="7">
                  <c:v>PANAMERICANA SOLAR</c:v>
                </c:pt>
                <c:pt idx="8">
                  <c:v>PLANTA  ETEN</c:v>
                </c:pt>
                <c:pt idx="9">
                  <c:v>SAMAY I</c:v>
                </c:pt>
                <c:pt idx="10">
                  <c:v>SHOUGESA</c:v>
                </c:pt>
                <c:pt idx="11">
                  <c:v>TACNA SOLAR</c:v>
                </c:pt>
                <c:pt idx="12">
                  <c:v>ELECTRO ZAÑA</c:v>
                </c:pt>
                <c:pt idx="13">
                  <c:v>TERMOCHILCA</c:v>
                </c:pt>
                <c:pt idx="14">
                  <c:v>ELECTRICA SANTA ROSA / ATRIA</c:v>
                </c:pt>
                <c:pt idx="15">
                  <c:v>MAJA ENERGIA</c:v>
                </c:pt>
                <c:pt idx="16">
                  <c:v>EGECSAC</c:v>
                </c:pt>
                <c:pt idx="17">
                  <c:v>ELECTRICA YANAPAMPA</c:v>
                </c:pt>
                <c:pt idx="18">
                  <c:v>HIDROCAÑETE</c:v>
                </c:pt>
                <c:pt idx="19">
                  <c:v>SAN JACINTO</c:v>
                </c:pt>
                <c:pt idx="20">
                  <c:v>RIO DOBLE</c:v>
                </c:pt>
                <c:pt idx="21">
                  <c:v>PETRAMAS</c:v>
                </c:pt>
                <c:pt idx="22">
                  <c:v>RIO BAÑOS</c:v>
                </c:pt>
                <c:pt idx="23">
                  <c:v>BIOENERGIA DEL CHIRA </c:v>
                </c:pt>
                <c:pt idx="24">
                  <c:v>ANDEAN POWER</c:v>
                </c:pt>
                <c:pt idx="25">
                  <c:v>HIDROMARAÑON/ CELEPSA RENOVABLES</c:v>
                </c:pt>
                <c:pt idx="26">
                  <c:v>AIPSA</c:v>
                </c:pt>
                <c:pt idx="27">
                  <c:v>HUAURA POWER</c:v>
                </c:pt>
                <c:pt idx="28">
                  <c:v>HIDROELECTRICA HUANCHOR</c:v>
                </c:pt>
                <c:pt idx="29">
                  <c:v>AGUA AZUL</c:v>
                </c:pt>
                <c:pt idx="30">
                  <c:v>SANTA ANA</c:v>
                </c:pt>
                <c:pt idx="31">
                  <c:v>SINERSA</c:v>
                </c:pt>
                <c:pt idx="32">
                  <c:v>EMGE JUNÍN / SANTA CRUZ</c:v>
                </c:pt>
                <c:pt idx="33">
                  <c:v>EGESUR</c:v>
                </c:pt>
                <c:pt idx="34">
                  <c:v>SDF ENERGIA</c:v>
                </c:pt>
                <c:pt idx="35">
                  <c:v>GEPSA</c:v>
                </c:pt>
                <c:pt idx="36">
                  <c:v>P.E. MARCONA</c:v>
                </c:pt>
                <c:pt idx="37">
                  <c:v>EMGE HUANZA</c:v>
                </c:pt>
                <c:pt idx="38">
                  <c:v>INLAND</c:v>
                </c:pt>
                <c:pt idx="39">
                  <c:v>TERMOSELVA</c:v>
                </c:pt>
                <c:pt idx="40">
                  <c:v>ENERGÍA EÓLICA</c:v>
                </c:pt>
                <c:pt idx="41">
                  <c:v>ENEL GENERACION PIURA</c:v>
                </c:pt>
                <c:pt idx="42">
                  <c:v>P.E. TRES HERMANAS</c:v>
                </c:pt>
                <c:pt idx="43">
                  <c:v>EGEMSA</c:v>
                </c:pt>
                <c:pt idx="44">
                  <c:v>SAN GABAN</c:v>
                </c:pt>
                <c:pt idx="45">
                  <c:v>CHINANGO</c:v>
                </c:pt>
                <c:pt idx="46">
                  <c:v>ENEL GREEN POWER PERU</c:v>
                </c:pt>
                <c:pt idx="47">
                  <c:v>EGASA</c:v>
                </c:pt>
                <c:pt idx="48">
                  <c:v>CELEPSA</c:v>
                </c:pt>
                <c:pt idx="49">
                  <c:v>ORAZUL ENERGY PERÚ</c:v>
                </c:pt>
                <c:pt idx="50">
                  <c:v>STATKRAFT</c:v>
                </c:pt>
                <c:pt idx="51">
                  <c:v>FENIX POWER</c:v>
                </c:pt>
                <c:pt idx="52">
                  <c:v>EMGE HUALLAGA</c:v>
                </c:pt>
                <c:pt idx="53">
                  <c:v>ELECTROPERU</c:v>
                </c:pt>
                <c:pt idx="54">
                  <c:v>ENGIE</c:v>
                </c:pt>
                <c:pt idx="55">
                  <c:v>ENEL GENERACION PERU</c:v>
                </c:pt>
                <c:pt idx="56">
                  <c:v>KALLPA</c:v>
                </c:pt>
              </c:strCache>
            </c:strRef>
          </c:cat>
          <c:val>
            <c:numRef>
              <c:f>'9. Pot. Empresa'!$M$7:$M$63</c:f>
              <c:numCache>
                <c:formatCode>0</c:formatCode>
                <c:ptCount val="57"/>
                <c:pt idx="0">
                  <c:v>0</c:v>
                </c:pt>
                <c:pt idx="1">
                  <c:v>0</c:v>
                </c:pt>
                <c:pt idx="2">
                  <c:v>0</c:v>
                </c:pt>
                <c:pt idx="3">
                  <c:v>0</c:v>
                </c:pt>
                <c:pt idx="4">
                  <c:v>0</c:v>
                </c:pt>
                <c:pt idx="5">
                  <c:v>0</c:v>
                </c:pt>
                <c:pt idx="6">
                  <c:v>0</c:v>
                </c:pt>
                <c:pt idx="7">
                  <c:v>0</c:v>
                </c:pt>
                <c:pt idx="8">
                  <c:v>0</c:v>
                </c:pt>
                <c:pt idx="9">
                  <c:v>0</c:v>
                </c:pt>
                <c:pt idx="10">
                  <c:v>0</c:v>
                </c:pt>
                <c:pt idx="11">
                  <c:v>0</c:v>
                </c:pt>
                <c:pt idx="12">
                  <c:v>8.8300000000000003E-2</c:v>
                </c:pt>
                <c:pt idx="13">
                  <c:v>0.50978000000000001</c:v>
                </c:pt>
                <c:pt idx="14">
                  <c:v>0.86545000000000005</c:v>
                </c:pt>
                <c:pt idx="15">
                  <c:v>1.3524</c:v>
                </c:pt>
                <c:pt idx="16">
                  <c:v>1.6198300000000001</c:v>
                </c:pt>
                <c:pt idx="17">
                  <c:v>2.3477800000000002</c:v>
                </c:pt>
                <c:pt idx="18">
                  <c:v>3.6</c:v>
                </c:pt>
                <c:pt idx="19">
                  <c:v>7.8860000000000001</c:v>
                </c:pt>
                <c:pt idx="20">
                  <c:v>9.44374</c:v>
                </c:pt>
                <c:pt idx="21">
                  <c:v>9.6182999999999996</c:v>
                </c:pt>
                <c:pt idx="22">
                  <c:v>10.050419999999999</c:v>
                </c:pt>
                <c:pt idx="23">
                  <c:v>10.9375</c:v>
                </c:pt>
                <c:pt idx="24">
                  <c:v>11.063040000000001</c:v>
                </c:pt>
                <c:pt idx="25">
                  <c:v>12.681609999999999</c:v>
                </c:pt>
                <c:pt idx="26">
                  <c:v>15.04555</c:v>
                </c:pt>
                <c:pt idx="27">
                  <c:v>15.62922</c:v>
                </c:pt>
                <c:pt idx="28">
                  <c:v>18.948140000000002</c:v>
                </c:pt>
                <c:pt idx="29">
                  <c:v>19.29279</c:v>
                </c:pt>
                <c:pt idx="30">
                  <c:v>20.00038</c:v>
                </c:pt>
                <c:pt idx="31">
                  <c:v>20.43648</c:v>
                </c:pt>
                <c:pt idx="32">
                  <c:v>21.031730000000003</c:v>
                </c:pt>
                <c:pt idx="33">
                  <c:v>24.864000000000001</c:v>
                </c:pt>
                <c:pt idx="34">
                  <c:v>28.075600000000001</c:v>
                </c:pt>
                <c:pt idx="35">
                  <c:v>31.074109999999997</c:v>
                </c:pt>
                <c:pt idx="36">
                  <c:v>31.385619999999999</c:v>
                </c:pt>
                <c:pt idx="37">
                  <c:v>47.267439999999993</c:v>
                </c:pt>
                <c:pt idx="38">
                  <c:v>56.91836</c:v>
                </c:pt>
                <c:pt idx="39">
                  <c:v>75.331770000000006</c:v>
                </c:pt>
                <c:pt idx="40">
                  <c:v>82.920580000000001</c:v>
                </c:pt>
                <c:pt idx="41">
                  <c:v>90.786299999999997</c:v>
                </c:pt>
                <c:pt idx="42">
                  <c:v>91.066339999999997</c:v>
                </c:pt>
                <c:pt idx="43">
                  <c:v>107.57561</c:v>
                </c:pt>
                <c:pt idx="44">
                  <c:v>108.10897</c:v>
                </c:pt>
                <c:pt idx="45">
                  <c:v>115.81262</c:v>
                </c:pt>
                <c:pt idx="46">
                  <c:v>129.91175999999999</c:v>
                </c:pt>
                <c:pt idx="47">
                  <c:v>155.04728999999998</c:v>
                </c:pt>
                <c:pt idx="48">
                  <c:v>194.63587000000001</c:v>
                </c:pt>
                <c:pt idx="49">
                  <c:v>212.86322000000001</c:v>
                </c:pt>
                <c:pt idx="50">
                  <c:v>244.84998999999999</c:v>
                </c:pt>
                <c:pt idx="51">
                  <c:v>270.29468000000003</c:v>
                </c:pt>
                <c:pt idx="52">
                  <c:v>356.78033000000005</c:v>
                </c:pt>
                <c:pt idx="53">
                  <c:v>721.59647999999993</c:v>
                </c:pt>
                <c:pt idx="54">
                  <c:v>938.29721999999992</c:v>
                </c:pt>
                <c:pt idx="55">
                  <c:v>1184.59446</c:v>
                </c:pt>
                <c:pt idx="56">
                  <c:v>1328.0607600000001</c:v>
                </c:pt>
              </c:numCache>
            </c:numRef>
          </c:val>
          <c:extLst>
            <c:ext xmlns:c16="http://schemas.microsoft.com/office/drawing/2014/chart" uri="{C3380CC4-5D6E-409C-BE32-E72D297353CC}">
              <c16:uniqueId val="{00000000-2FE3-4C80-BE80-2E47F9F8F14C}"/>
            </c:ext>
          </c:extLst>
        </c:ser>
        <c:ser>
          <c:idx val="1"/>
          <c:order val="1"/>
          <c:tx>
            <c:strRef>
              <c:f>'9. Pot. Empresa'!$N$6</c:f>
              <c:strCache>
                <c:ptCount val="1"/>
                <c:pt idx="0">
                  <c:v>2018</c:v>
                </c:pt>
              </c:strCache>
            </c:strRef>
          </c:tx>
          <c:spPr>
            <a:solidFill>
              <a:srgbClr val="FF6600"/>
            </a:solidFill>
          </c:spPr>
          <c:invertIfNegative val="0"/>
          <c:cat>
            <c:strRef>
              <c:f>'9. Pot. Empresa'!$L$7:$L$63</c:f>
              <c:strCache>
                <c:ptCount val="57"/>
                <c:pt idx="0">
                  <c:v>AGROAURORA</c:v>
                </c:pt>
                <c:pt idx="1">
                  <c:v>CERRO VERDE</c:v>
                </c:pt>
                <c:pt idx="2">
                  <c:v>GTS MAJES</c:v>
                </c:pt>
                <c:pt idx="3">
                  <c:v>GTS REPARTICION</c:v>
                </c:pt>
                <c:pt idx="4">
                  <c:v>HYDRO PATAPO</c:v>
                </c:pt>
                <c:pt idx="5">
                  <c:v>IYEPSA</c:v>
                </c:pt>
                <c:pt idx="6">
                  <c:v>MOQUEGUA FV</c:v>
                </c:pt>
                <c:pt idx="7">
                  <c:v>PANAMERICANA SOLAR</c:v>
                </c:pt>
                <c:pt idx="8">
                  <c:v>PLANTA  ETEN</c:v>
                </c:pt>
                <c:pt idx="9">
                  <c:v>SAMAY I</c:v>
                </c:pt>
                <c:pt idx="10">
                  <c:v>SHOUGESA</c:v>
                </c:pt>
                <c:pt idx="11">
                  <c:v>TACNA SOLAR</c:v>
                </c:pt>
                <c:pt idx="12">
                  <c:v>ELECTRO ZAÑA</c:v>
                </c:pt>
                <c:pt idx="13">
                  <c:v>TERMOCHILCA</c:v>
                </c:pt>
                <c:pt idx="14">
                  <c:v>ELECTRICA SANTA ROSA / ATRIA</c:v>
                </c:pt>
                <c:pt idx="15">
                  <c:v>MAJA ENERGIA</c:v>
                </c:pt>
                <c:pt idx="16">
                  <c:v>EGECSAC</c:v>
                </c:pt>
                <c:pt idx="17">
                  <c:v>ELECTRICA YANAPAMPA</c:v>
                </c:pt>
                <c:pt idx="18">
                  <c:v>HIDROCAÑETE</c:v>
                </c:pt>
                <c:pt idx="19">
                  <c:v>SAN JACINTO</c:v>
                </c:pt>
                <c:pt idx="20">
                  <c:v>RIO DOBLE</c:v>
                </c:pt>
                <c:pt idx="21">
                  <c:v>PETRAMAS</c:v>
                </c:pt>
                <c:pt idx="22">
                  <c:v>RIO BAÑOS</c:v>
                </c:pt>
                <c:pt idx="23">
                  <c:v>BIOENERGIA DEL CHIRA </c:v>
                </c:pt>
                <c:pt idx="24">
                  <c:v>ANDEAN POWER</c:v>
                </c:pt>
                <c:pt idx="25">
                  <c:v>HIDROMARAÑON/ CELEPSA RENOVABLES</c:v>
                </c:pt>
                <c:pt idx="26">
                  <c:v>AIPSA</c:v>
                </c:pt>
                <c:pt idx="27">
                  <c:v>HUAURA POWER</c:v>
                </c:pt>
                <c:pt idx="28">
                  <c:v>HIDROELECTRICA HUANCHOR</c:v>
                </c:pt>
                <c:pt idx="29">
                  <c:v>AGUA AZUL</c:v>
                </c:pt>
                <c:pt idx="30">
                  <c:v>SANTA ANA</c:v>
                </c:pt>
                <c:pt idx="31">
                  <c:v>SINERSA</c:v>
                </c:pt>
                <c:pt idx="32">
                  <c:v>EMGE JUNÍN / SANTA CRUZ</c:v>
                </c:pt>
                <c:pt idx="33">
                  <c:v>EGESUR</c:v>
                </c:pt>
                <c:pt idx="34">
                  <c:v>SDF ENERGIA</c:v>
                </c:pt>
                <c:pt idx="35">
                  <c:v>GEPSA</c:v>
                </c:pt>
                <c:pt idx="36">
                  <c:v>P.E. MARCONA</c:v>
                </c:pt>
                <c:pt idx="37">
                  <c:v>EMGE HUANZA</c:v>
                </c:pt>
                <c:pt idx="38">
                  <c:v>INLAND</c:v>
                </c:pt>
                <c:pt idx="39">
                  <c:v>TERMOSELVA</c:v>
                </c:pt>
                <c:pt idx="40">
                  <c:v>ENERGÍA EÓLICA</c:v>
                </c:pt>
                <c:pt idx="41">
                  <c:v>ENEL GENERACION PIURA</c:v>
                </c:pt>
                <c:pt idx="42">
                  <c:v>P.E. TRES HERMANAS</c:v>
                </c:pt>
                <c:pt idx="43">
                  <c:v>EGEMSA</c:v>
                </c:pt>
                <c:pt idx="44">
                  <c:v>SAN GABAN</c:v>
                </c:pt>
                <c:pt idx="45">
                  <c:v>CHINANGO</c:v>
                </c:pt>
                <c:pt idx="46">
                  <c:v>ENEL GREEN POWER PERU</c:v>
                </c:pt>
                <c:pt idx="47">
                  <c:v>EGASA</c:v>
                </c:pt>
                <c:pt idx="48">
                  <c:v>CELEPSA</c:v>
                </c:pt>
                <c:pt idx="49">
                  <c:v>ORAZUL ENERGY PERÚ</c:v>
                </c:pt>
                <c:pt idx="50">
                  <c:v>STATKRAFT</c:v>
                </c:pt>
                <c:pt idx="51">
                  <c:v>FENIX POWER</c:v>
                </c:pt>
                <c:pt idx="52">
                  <c:v>EMGE HUALLAGA</c:v>
                </c:pt>
                <c:pt idx="53">
                  <c:v>ELECTROPERU</c:v>
                </c:pt>
                <c:pt idx="54">
                  <c:v>ENGIE</c:v>
                </c:pt>
                <c:pt idx="55">
                  <c:v>ENEL GENERACION PERU</c:v>
                </c:pt>
                <c:pt idx="56">
                  <c:v>KALLPA</c:v>
                </c:pt>
              </c:strCache>
            </c:strRef>
          </c:cat>
          <c:val>
            <c:numRef>
              <c:f>'9. Pot. Empresa'!$N$7:$N$63</c:f>
              <c:numCache>
                <c:formatCode>0</c:formatCode>
                <c:ptCount val="57"/>
                <c:pt idx="0">
                  <c:v>0</c:v>
                </c:pt>
                <c:pt idx="1">
                  <c:v>0</c:v>
                </c:pt>
                <c:pt idx="2">
                  <c:v>0</c:v>
                </c:pt>
                <c:pt idx="3">
                  <c:v>0</c:v>
                </c:pt>
                <c:pt idx="4">
                  <c:v>0.09</c:v>
                </c:pt>
                <c:pt idx="5">
                  <c:v>0</c:v>
                </c:pt>
                <c:pt idx="6">
                  <c:v>0</c:v>
                </c:pt>
                <c:pt idx="7">
                  <c:v>0</c:v>
                </c:pt>
                <c:pt idx="8">
                  <c:v>0</c:v>
                </c:pt>
                <c:pt idx="9">
                  <c:v>0</c:v>
                </c:pt>
                <c:pt idx="10">
                  <c:v>0</c:v>
                </c:pt>
                <c:pt idx="11">
                  <c:v>0</c:v>
                </c:pt>
                <c:pt idx="13">
                  <c:v>297.05750999999998</c:v>
                </c:pt>
                <c:pt idx="14">
                  <c:v>0</c:v>
                </c:pt>
                <c:pt idx="15">
                  <c:v>1.7150000000000001</c:v>
                </c:pt>
                <c:pt idx="16">
                  <c:v>1.50709</c:v>
                </c:pt>
                <c:pt idx="17">
                  <c:v>2.5080900000000002</c:v>
                </c:pt>
                <c:pt idx="18">
                  <c:v>3.6</c:v>
                </c:pt>
                <c:pt idx="20">
                  <c:v>3.1261299999999999</c:v>
                </c:pt>
                <c:pt idx="21">
                  <c:v>6.7560599999999997</c:v>
                </c:pt>
                <c:pt idx="24">
                  <c:v>0</c:v>
                </c:pt>
                <c:pt idx="25">
                  <c:v>18.926960000000001</c:v>
                </c:pt>
                <c:pt idx="26">
                  <c:v>9.3284199999999995</c:v>
                </c:pt>
                <c:pt idx="27">
                  <c:v>16.409300000000002</c:v>
                </c:pt>
                <c:pt idx="28">
                  <c:v>17.431999999999999</c:v>
                </c:pt>
                <c:pt idx="29">
                  <c:v>4.4659599999999999</c:v>
                </c:pt>
                <c:pt idx="30">
                  <c:v>6.3366600000000002</c:v>
                </c:pt>
                <c:pt idx="31">
                  <c:v>3.43588</c:v>
                </c:pt>
                <c:pt idx="32">
                  <c:v>60.228260000000006</c:v>
                </c:pt>
                <c:pt idx="33">
                  <c:v>48.050460000000001</c:v>
                </c:pt>
                <c:pt idx="34">
                  <c:v>0</c:v>
                </c:pt>
                <c:pt idx="35">
                  <c:v>6.4501600000000003</c:v>
                </c:pt>
                <c:pt idx="36">
                  <c:v>29.639150000000001</c:v>
                </c:pt>
                <c:pt idx="37">
                  <c:v>82.497349999999997</c:v>
                </c:pt>
                <c:pt idx="38">
                  <c:v>85.371499999999997</c:v>
                </c:pt>
                <c:pt idx="39">
                  <c:v>0</c:v>
                </c:pt>
                <c:pt idx="40">
                  <c:v>88.257440000000003</c:v>
                </c:pt>
                <c:pt idx="41">
                  <c:v>90.94068</c:v>
                </c:pt>
                <c:pt idx="42">
                  <c:v>85.351699999999994</c:v>
                </c:pt>
                <c:pt idx="43">
                  <c:v>158.59775999999999</c:v>
                </c:pt>
                <c:pt idx="44">
                  <c:v>111.07001</c:v>
                </c:pt>
                <c:pt idx="45">
                  <c:v>190.61745999999999</c:v>
                </c:pt>
                <c:pt idx="46">
                  <c:v>129.21872999999999</c:v>
                </c:pt>
                <c:pt idx="47">
                  <c:v>160.10578999999998</c:v>
                </c:pt>
                <c:pt idx="48">
                  <c:v>152.41277000000002</c:v>
                </c:pt>
                <c:pt idx="49">
                  <c:v>131.76463999999999</c:v>
                </c:pt>
                <c:pt idx="50">
                  <c:v>228.13911000000004</c:v>
                </c:pt>
                <c:pt idx="51">
                  <c:v>547.74076000000002</c:v>
                </c:pt>
                <c:pt idx="52">
                  <c:v>449.53442000000001</c:v>
                </c:pt>
                <c:pt idx="53">
                  <c:v>853.33679999999993</c:v>
                </c:pt>
                <c:pt idx="54">
                  <c:v>799.47267000000011</c:v>
                </c:pt>
                <c:pt idx="55">
                  <c:v>800.94775000000016</c:v>
                </c:pt>
                <c:pt idx="56">
                  <c:v>975.18330000000003</c:v>
                </c:pt>
              </c:numCache>
            </c:numRef>
          </c:val>
          <c:extLst>
            <c:ext xmlns:c16="http://schemas.microsoft.com/office/drawing/2014/chart" uri="{C3380CC4-5D6E-409C-BE32-E72D297353CC}">
              <c16:uniqueId val="{00000001-2FE3-4C80-BE80-2E47F9F8F14C}"/>
            </c:ext>
          </c:extLst>
        </c:ser>
        <c:dLbls>
          <c:showLegendKey val="0"/>
          <c:showVal val="0"/>
          <c:showCatName val="0"/>
          <c:showSerName val="0"/>
          <c:showPercent val="0"/>
          <c:showBubbleSize val="0"/>
        </c:dLbls>
        <c:gapWidth val="150"/>
        <c:axId val="351364992"/>
        <c:axId val="351366528"/>
      </c:barChart>
      <c:catAx>
        <c:axId val="351364992"/>
        <c:scaling>
          <c:orientation val="minMax"/>
        </c:scaling>
        <c:delete val="0"/>
        <c:axPos val="l"/>
        <c:numFmt formatCode="General" sourceLinked="0"/>
        <c:majorTickMark val="out"/>
        <c:minorTickMark val="none"/>
        <c:tickLblPos val="nextTo"/>
        <c:txPr>
          <a:bodyPr/>
          <a:lstStyle/>
          <a:p>
            <a:pPr>
              <a:defRPr sz="600">
                <a:latin typeface="Arial" panose="020B0604020202020204" pitchFamily="34" charset="0"/>
                <a:cs typeface="Arial" panose="020B0604020202020204" pitchFamily="34" charset="0"/>
              </a:defRPr>
            </a:pPr>
            <a:endParaRPr lang="es-PE"/>
          </a:p>
        </c:txPr>
        <c:crossAx val="351366528"/>
        <c:crosses val="autoZero"/>
        <c:auto val="1"/>
        <c:lblAlgn val="ctr"/>
        <c:lblOffset val="100"/>
        <c:noMultiLvlLbl val="0"/>
      </c:catAx>
      <c:valAx>
        <c:axId val="351366528"/>
        <c:scaling>
          <c:orientation val="minMax"/>
          <c:max val="1250"/>
          <c:min val="0"/>
        </c:scaling>
        <c:delete val="0"/>
        <c:axPos val="b"/>
        <c:majorGridlines/>
        <c:title>
          <c:tx>
            <c:rich>
              <a:bodyPr/>
              <a:lstStyle/>
              <a:p>
                <a:pPr>
                  <a:defRPr sz="700"/>
                </a:pPr>
                <a:r>
                  <a:rPr lang="es-PE" sz="700"/>
                  <a:t>MW</a:t>
                </a:r>
              </a:p>
            </c:rich>
          </c:tx>
          <c:layout>
            <c:manualLayout>
              <c:xMode val="edge"/>
              <c:yMode val="edge"/>
              <c:x val="0.90468298505554934"/>
              <c:y val="0.97894266121174733"/>
            </c:manualLayout>
          </c:layout>
          <c:overlay val="0"/>
        </c:title>
        <c:numFmt formatCode="0" sourceLinked="1"/>
        <c:majorTickMark val="out"/>
        <c:minorTickMark val="none"/>
        <c:tickLblPos val="nextTo"/>
        <c:txPr>
          <a:bodyPr/>
          <a:lstStyle/>
          <a:p>
            <a:pPr>
              <a:defRPr sz="700" b="0"/>
            </a:pPr>
            <a:endParaRPr lang="es-PE"/>
          </a:p>
        </c:txPr>
        <c:crossAx val="351364992"/>
        <c:crosses val="autoZero"/>
        <c:crossBetween val="between"/>
        <c:majorUnit val="400"/>
      </c:valAx>
    </c:plotArea>
    <c:legend>
      <c:legendPos val="r"/>
      <c:layout>
        <c:manualLayout>
          <c:xMode val="edge"/>
          <c:yMode val="edge"/>
          <c:x val="0.71936522423993388"/>
          <c:y val="0.39830742392059892"/>
          <c:w val="0.22095413152862417"/>
          <c:h val="6.0980304677881472E-2"/>
        </c:manualLayout>
      </c:layout>
      <c:overlay val="0"/>
    </c:legend>
    <c:plotVisOnly val="1"/>
    <c:dispBlanksAs val="gap"/>
    <c:showDLblsOverMax val="0"/>
  </c:chart>
  <c:spPr>
    <a:ln>
      <a:noFill/>
    </a:ln>
  </c:spPr>
  <c:printSettings>
    <c:headerFooter>
      <c:oddFooter>&amp;L&amp;7COES, 2018&amp;C9&amp;R&amp;7Dirección Ejecutiva
Sub Dirección de Gestión de Información</c:oddFooter>
    </c:headerFooter>
    <c:pageMargins b="0.75" l="0.7" r="0.7" t="0.75" header="0.3" footer="0.3"/>
    <c:pageSetup orientation="portrait"/>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000"/>
            </a:pPr>
            <a:r>
              <a:rPr lang="en-US" sz="1000" b="1" i="0" baseline="0">
                <a:effectLst/>
              </a:rPr>
              <a:t>VOLUMEN DE LAS  LAGUNAS ENEL (SANTA EULALIA Y MARCA)</a:t>
            </a:r>
            <a:endParaRPr lang="es-PE" sz="1000">
              <a:effectLst/>
            </a:endParaRPr>
          </a:p>
        </c:rich>
      </c:tx>
      <c:layout>
        <c:manualLayout>
          <c:xMode val="edge"/>
          <c:yMode val="edge"/>
          <c:x val="0.17934114999457987"/>
          <c:y val="4.5057884134650387E-2"/>
        </c:manualLayout>
      </c:layout>
      <c:overlay val="1"/>
    </c:title>
    <c:autoTitleDeleted val="0"/>
    <c:plotArea>
      <c:layout>
        <c:manualLayout>
          <c:layoutTarget val="inner"/>
          <c:xMode val="edge"/>
          <c:yMode val="edge"/>
          <c:x val="4.8044164228694813E-2"/>
          <c:y val="0.19371987512072408"/>
          <c:w val="0.93573858815800515"/>
          <c:h val="0.67796098989555775"/>
        </c:manualLayout>
      </c:layout>
      <c:lineChart>
        <c:grouping val="standard"/>
        <c:varyColors val="0"/>
        <c:ser>
          <c:idx val="2"/>
          <c:order val="0"/>
          <c:tx>
            <c:v>2016</c:v>
          </c:tx>
          <c:spPr>
            <a:ln w="19050">
              <a:solidFill>
                <a:schemeClr val="accent6"/>
              </a:solidFill>
            </a:ln>
          </c:spPr>
          <c:marker>
            <c:symbol val="star"/>
            <c:size val="7"/>
            <c:spPr>
              <a:noFill/>
              <a:ln>
                <a:solidFill>
                  <a:srgbClr val="00B050"/>
                </a:solidFill>
              </a:ln>
              <a:effectLst/>
            </c:spPr>
          </c:marker>
          <c:val>
            <c:numRef>
              <c:f>'10. Volúmenes'!$N$12:$N$63</c:f>
              <c:numCache>
                <c:formatCode>0.00</c:formatCode>
                <c:ptCount val="52"/>
                <c:pt idx="0">
                  <c:v>138.54</c:v>
                </c:pt>
                <c:pt idx="1">
                  <c:v>140.53</c:v>
                </c:pt>
                <c:pt idx="2">
                  <c:v>140.53</c:v>
                </c:pt>
                <c:pt idx="3">
                  <c:v>137.43800000000002</c:v>
                </c:pt>
                <c:pt idx="4">
                  <c:v>137.43800000000002</c:v>
                </c:pt>
                <c:pt idx="5">
                  <c:v>137.43800000000002</c:v>
                </c:pt>
                <c:pt idx="6">
                  <c:v>151.05499267578099</c:v>
                </c:pt>
                <c:pt idx="7">
                  <c:v>151.05499267578099</c:v>
                </c:pt>
                <c:pt idx="8">
                  <c:v>165.00500489999999</c:v>
                </c:pt>
                <c:pt idx="9">
                  <c:v>165.00500489999999</c:v>
                </c:pt>
                <c:pt idx="10">
                  <c:v>186.45199584960901</c:v>
                </c:pt>
                <c:pt idx="11">
                  <c:v>186.45199584960901</c:v>
                </c:pt>
                <c:pt idx="12">
                  <c:v>195.64999389648401</c:v>
                </c:pt>
                <c:pt idx="13">
                  <c:v>195.64999389648401</c:v>
                </c:pt>
                <c:pt idx="14">
                  <c:v>201.93600463867099</c:v>
                </c:pt>
                <c:pt idx="15">
                  <c:v>201.93600463867099</c:v>
                </c:pt>
                <c:pt idx="16">
                  <c:v>201.93600463867099</c:v>
                </c:pt>
                <c:pt idx="17">
                  <c:v>207.58900451660099</c:v>
                </c:pt>
                <c:pt idx="18">
                  <c:v>207.58900451660099</c:v>
                </c:pt>
                <c:pt idx="19">
                  <c:v>205.7</c:v>
                </c:pt>
                <c:pt idx="20">
                  <c:v>205.7</c:v>
                </c:pt>
                <c:pt idx="21">
                  <c:v>204.65</c:v>
                </c:pt>
                <c:pt idx="22">
                  <c:v>204.65</c:v>
                </c:pt>
                <c:pt idx="23">
                  <c:v>200.38</c:v>
                </c:pt>
                <c:pt idx="24">
                  <c:v>200.38</c:v>
                </c:pt>
                <c:pt idx="25">
                  <c:v>193.55099487304599</c:v>
                </c:pt>
                <c:pt idx="26">
                  <c:v>193.55099487304599</c:v>
                </c:pt>
                <c:pt idx="27">
                  <c:v>186.01199339999999</c:v>
                </c:pt>
                <c:pt idx="28">
                  <c:v>186.01199339999999</c:v>
                </c:pt>
                <c:pt idx="29">
                  <c:v>186.01199339999999</c:v>
                </c:pt>
                <c:pt idx="30">
                  <c:v>178.58200070000001</c:v>
                </c:pt>
                <c:pt idx="31">
                  <c:v>178.58200070000001</c:v>
                </c:pt>
                <c:pt idx="32">
                  <c:v>169.01100159999999</c:v>
                </c:pt>
                <c:pt idx="33">
                  <c:v>169.01100159999999</c:v>
                </c:pt>
                <c:pt idx="34">
                  <c:v>158.09199523925699</c:v>
                </c:pt>
                <c:pt idx="35">
                  <c:v>158.09199523925699</c:v>
                </c:pt>
                <c:pt idx="36">
                  <c:v>147.0650024</c:v>
                </c:pt>
                <c:pt idx="37">
                  <c:v>147.0650024</c:v>
                </c:pt>
                <c:pt idx="38">
                  <c:v>139.11000060000001</c:v>
                </c:pt>
                <c:pt idx="39">
                  <c:v>139.11000060000001</c:v>
                </c:pt>
                <c:pt idx="40">
                  <c:v>139.11000060000001</c:v>
                </c:pt>
                <c:pt idx="41">
                  <c:v>128.34500120000001</c:v>
                </c:pt>
                <c:pt idx="42">
                  <c:v>128.34500120000001</c:v>
                </c:pt>
                <c:pt idx="43">
                  <c:v>121.20099639999999</c:v>
                </c:pt>
                <c:pt idx="44">
                  <c:v>121.20099639999999</c:v>
                </c:pt>
                <c:pt idx="45">
                  <c:v>112.1429977</c:v>
                </c:pt>
                <c:pt idx="46">
                  <c:v>112.1429977</c:v>
                </c:pt>
                <c:pt idx="47">
                  <c:v>101.13500209999999</c:v>
                </c:pt>
                <c:pt idx="48">
                  <c:v>101.13500209999999</c:v>
                </c:pt>
                <c:pt idx="49">
                  <c:v>96.752998349999999</c:v>
                </c:pt>
                <c:pt idx="50">
                  <c:v>96.752998349999999</c:v>
                </c:pt>
                <c:pt idx="51">
                  <c:v>96.752998349999999</c:v>
                </c:pt>
              </c:numCache>
            </c:numRef>
          </c:val>
          <c:smooth val="0"/>
          <c:extLst>
            <c:ext xmlns:c16="http://schemas.microsoft.com/office/drawing/2014/chart" uri="{C3380CC4-5D6E-409C-BE32-E72D297353CC}">
              <c16:uniqueId val="{00000002-70C0-4DC4-934D-909B877B1C5A}"/>
            </c:ext>
          </c:extLst>
        </c:ser>
        <c:ser>
          <c:idx val="3"/>
          <c:order val="1"/>
          <c:tx>
            <c:v>2017</c:v>
          </c:tx>
          <c:spPr>
            <a:ln w="22225">
              <a:solidFill>
                <a:srgbClr val="C00000"/>
              </a:solidFill>
            </a:ln>
          </c:spPr>
          <c:marker>
            <c:symbol val="triangle"/>
            <c:size val="7"/>
            <c:spPr>
              <a:solidFill>
                <a:srgbClr val="C00000"/>
              </a:solidFill>
              <a:ln w="12700">
                <a:solidFill>
                  <a:schemeClr val="bg1"/>
                </a:solidFill>
              </a:ln>
            </c:spPr>
          </c:marker>
          <c:val>
            <c:numRef>
              <c:f>'10. Volúmenes'!$O$12:$O$63</c:f>
              <c:numCache>
                <c:formatCode>0.00</c:formatCode>
                <c:ptCount val="52"/>
                <c:pt idx="0">
                  <c:v>93.1</c:v>
                </c:pt>
                <c:pt idx="1">
                  <c:v>93.1</c:v>
                </c:pt>
                <c:pt idx="2">
                  <c:v>98.74</c:v>
                </c:pt>
                <c:pt idx="3">
                  <c:v>98.74</c:v>
                </c:pt>
                <c:pt idx="4">
                  <c:v>125.15</c:v>
                </c:pt>
                <c:pt idx="5">
                  <c:v>125.15</c:v>
                </c:pt>
                <c:pt idx="6">
                  <c:v>142.99</c:v>
                </c:pt>
                <c:pt idx="7">
                  <c:v>142.99</c:v>
                </c:pt>
                <c:pt idx="8">
                  <c:v>159.53</c:v>
                </c:pt>
                <c:pt idx="9">
                  <c:v>159.53</c:v>
                </c:pt>
                <c:pt idx="10">
                  <c:v>184.94</c:v>
                </c:pt>
                <c:pt idx="11">
                  <c:v>184.94</c:v>
                </c:pt>
                <c:pt idx="12">
                  <c:v>203.73</c:v>
                </c:pt>
                <c:pt idx="13">
                  <c:v>203.73</c:v>
                </c:pt>
                <c:pt idx="14">
                  <c:v>203.73</c:v>
                </c:pt>
                <c:pt idx="15">
                  <c:v>222.8</c:v>
                </c:pt>
                <c:pt idx="16">
                  <c:v>222.8</c:v>
                </c:pt>
                <c:pt idx="17">
                  <c:v>225.58</c:v>
                </c:pt>
                <c:pt idx="18">
                  <c:v>225.58</c:v>
                </c:pt>
                <c:pt idx="19">
                  <c:v>226.61</c:v>
                </c:pt>
                <c:pt idx="20">
                  <c:v>226.61</c:v>
                </c:pt>
                <c:pt idx="21">
                  <c:v>227.42</c:v>
                </c:pt>
                <c:pt idx="22">
                  <c:v>227.42</c:v>
                </c:pt>
                <c:pt idx="23">
                  <c:v>227.45</c:v>
                </c:pt>
                <c:pt idx="24">
                  <c:v>227.45</c:v>
                </c:pt>
                <c:pt idx="25">
                  <c:v>225.56</c:v>
                </c:pt>
                <c:pt idx="26">
                  <c:v>225.56</c:v>
                </c:pt>
                <c:pt idx="27">
                  <c:v>225.56</c:v>
                </c:pt>
                <c:pt idx="28">
                  <c:v>222.04</c:v>
                </c:pt>
                <c:pt idx="29">
                  <c:v>222.04</c:v>
                </c:pt>
                <c:pt idx="30">
                  <c:v>213.13</c:v>
                </c:pt>
                <c:pt idx="31">
                  <c:v>213.13</c:v>
                </c:pt>
                <c:pt idx="32">
                  <c:v>205.97</c:v>
                </c:pt>
                <c:pt idx="33">
                  <c:v>199.49</c:v>
                </c:pt>
                <c:pt idx="34">
                  <c:v>193.4</c:v>
                </c:pt>
                <c:pt idx="35">
                  <c:v>187.93</c:v>
                </c:pt>
                <c:pt idx="36">
                  <c:v>182.85</c:v>
                </c:pt>
                <c:pt idx="37">
                  <c:v>179.77</c:v>
                </c:pt>
                <c:pt idx="38">
                  <c:v>173.62</c:v>
                </c:pt>
                <c:pt idx="39">
                  <c:v>163</c:v>
                </c:pt>
                <c:pt idx="40">
                  <c:v>156.5</c:v>
                </c:pt>
                <c:pt idx="41">
                  <c:v>152.78</c:v>
                </c:pt>
                <c:pt idx="42">
                  <c:v>148.63</c:v>
                </c:pt>
                <c:pt idx="43">
                  <c:v>142.91</c:v>
                </c:pt>
                <c:pt idx="44">
                  <c:v>137.04</c:v>
                </c:pt>
                <c:pt idx="45">
                  <c:v>131.22999999999999</c:v>
                </c:pt>
                <c:pt idx="46">
                  <c:v>125.5</c:v>
                </c:pt>
                <c:pt idx="47">
                  <c:v>120.41</c:v>
                </c:pt>
                <c:pt idx="48">
                  <c:v>115.91300200000001</c:v>
                </c:pt>
                <c:pt idx="49">
                  <c:v>110.0599976</c:v>
                </c:pt>
                <c:pt idx="50">
                  <c:v>107.5970001</c:v>
                </c:pt>
                <c:pt idx="51">
                  <c:v>104.4029999</c:v>
                </c:pt>
              </c:numCache>
            </c:numRef>
          </c:val>
          <c:smooth val="0"/>
          <c:extLst>
            <c:ext xmlns:c16="http://schemas.microsoft.com/office/drawing/2014/chart" uri="{C3380CC4-5D6E-409C-BE32-E72D297353CC}">
              <c16:uniqueId val="{00000001-70C0-4DC4-934D-909B877B1C5A}"/>
            </c:ext>
          </c:extLst>
        </c:ser>
        <c:ser>
          <c:idx val="0"/>
          <c:order val="2"/>
          <c:tx>
            <c:v>2018</c:v>
          </c:tx>
          <c:marker>
            <c:symbol val="circle"/>
            <c:size val="4"/>
            <c:spPr>
              <a:solidFill>
                <a:srgbClr val="0077A5"/>
              </a:solidFill>
              <a:ln w="9525">
                <a:solidFill>
                  <a:schemeClr val="bg1">
                    <a:lumMod val="95000"/>
                  </a:schemeClr>
                </a:solidFill>
              </a:ln>
            </c:spPr>
          </c:marker>
          <c:val>
            <c:numRef>
              <c:f>'10. Volúmenes'!$P$12:$P$63</c:f>
              <c:numCache>
                <c:formatCode>0.00</c:formatCode>
                <c:ptCount val="52"/>
                <c:pt idx="0">
                  <c:v>104.46</c:v>
                </c:pt>
                <c:pt idx="1">
                  <c:v>103.4720001</c:v>
                </c:pt>
                <c:pt idx="2">
                  <c:v>106.08699799999999</c:v>
                </c:pt>
                <c:pt idx="3">
                  <c:v>112.7200012</c:v>
                </c:pt>
                <c:pt idx="4">
                  <c:v>122.3190002</c:v>
                </c:pt>
                <c:pt idx="5">
                  <c:v>126.1559982</c:v>
                </c:pt>
                <c:pt idx="6">
                  <c:v>142.9900055</c:v>
                </c:pt>
                <c:pt idx="7">
                  <c:v>134.13600159999999</c:v>
                </c:pt>
                <c:pt idx="8">
                  <c:v>153.34500120000001</c:v>
                </c:pt>
                <c:pt idx="9">
                  <c:v>153.0590057</c:v>
                </c:pt>
                <c:pt idx="10">
                  <c:v>162.93200680000001</c:v>
                </c:pt>
                <c:pt idx="11">
                  <c:v>172.76199339999999</c:v>
                </c:pt>
                <c:pt idx="12">
                  <c:v>182.13900760000001</c:v>
                </c:pt>
                <c:pt idx="13">
                  <c:v>191.4750061</c:v>
                </c:pt>
                <c:pt idx="14">
                  <c:v>198.43899540000001</c:v>
                </c:pt>
                <c:pt idx="15">
                  <c:v>201.52999879999999</c:v>
                </c:pt>
                <c:pt idx="16">
                  <c:v>206.03700259999999</c:v>
                </c:pt>
                <c:pt idx="17">
                  <c:v>213.67399599999999</c:v>
                </c:pt>
                <c:pt idx="18">
                  <c:v>216.75700380000001</c:v>
                </c:pt>
                <c:pt idx="19">
                  <c:v>217.29400630000001</c:v>
                </c:pt>
                <c:pt idx="20">
                  <c:v>218.3190002</c:v>
                </c:pt>
                <c:pt idx="21">
                  <c:v>218.79899599999999</c:v>
                </c:pt>
                <c:pt idx="22">
                  <c:v>217.8880005</c:v>
                </c:pt>
                <c:pt idx="23">
                  <c:v>216.04899599999999</c:v>
                </c:pt>
                <c:pt idx="24">
                  <c:v>212.24600219999999</c:v>
                </c:pt>
                <c:pt idx="25">
                  <c:v>210.22099299999999</c:v>
                </c:pt>
                <c:pt idx="26">
                  <c:v>209.85200499999999</c:v>
                </c:pt>
                <c:pt idx="27">
                  <c:v>203.92900090000001</c:v>
                </c:pt>
                <c:pt idx="28">
                  <c:v>200.56300350000001</c:v>
                </c:pt>
                <c:pt idx="29">
                  <c:v>194.94900509999999</c:v>
                </c:pt>
                <c:pt idx="30">
                  <c:v>188.386</c:v>
                </c:pt>
                <c:pt idx="31">
                  <c:v>184.72900390000001</c:v>
                </c:pt>
                <c:pt idx="32">
                  <c:v>178.8809967</c:v>
                </c:pt>
                <c:pt idx="33">
                  <c:v>176.98599239999999</c:v>
                </c:pt>
                <c:pt idx="34">
                  <c:v>173.36999510000001</c:v>
                </c:pt>
                <c:pt idx="35">
                  <c:v>167.63</c:v>
                </c:pt>
                <c:pt idx="36">
                  <c:v>162.30700680000001</c:v>
                </c:pt>
                <c:pt idx="37">
                  <c:v>159.02699279999999</c:v>
                </c:pt>
                <c:pt idx="38">
                  <c:v>153.61700440000001</c:v>
                </c:pt>
                <c:pt idx="39">
                  <c:v>151.72999569999999</c:v>
                </c:pt>
                <c:pt idx="40">
                  <c:v>147.996002197265</c:v>
                </c:pt>
                <c:pt idx="41">
                  <c:v>144.53999328613199</c:v>
                </c:pt>
                <c:pt idx="42">
                  <c:v>143.72300720214801</c:v>
                </c:pt>
                <c:pt idx="43">
                  <c:v>142.33900449999999</c:v>
                </c:pt>
                <c:pt idx="44">
                  <c:v>143.13200380000001</c:v>
                </c:pt>
                <c:pt idx="45">
                  <c:v>141.37</c:v>
                </c:pt>
                <c:pt idx="46">
                  <c:v>140.33900449999999</c:v>
                </c:pt>
                <c:pt idx="47">
                  <c:v>137.8150024</c:v>
                </c:pt>
                <c:pt idx="48">
                  <c:v>129.0279999</c:v>
                </c:pt>
                <c:pt idx="49">
                  <c:v>129.30000000000001</c:v>
                </c:pt>
                <c:pt idx="50">
                  <c:v>129</c:v>
                </c:pt>
                <c:pt idx="51">
                  <c:v>130.4810028</c:v>
                </c:pt>
              </c:numCache>
            </c:numRef>
          </c:val>
          <c:smooth val="0"/>
          <c:extLst>
            <c:ext xmlns:c16="http://schemas.microsoft.com/office/drawing/2014/chart" uri="{C3380CC4-5D6E-409C-BE32-E72D297353CC}">
              <c16:uniqueId val="{00000000-70C0-4DC4-934D-909B877B1C5A}"/>
            </c:ext>
          </c:extLst>
        </c:ser>
        <c:ser>
          <c:idx val="1"/>
          <c:order val="3"/>
          <c:tx>
            <c:strRef>
              <c:f>'10. Volúmenes'!$Q$11</c:f>
              <c:strCache>
                <c:ptCount val="1"/>
                <c:pt idx="0">
                  <c:v>2019</c:v>
                </c:pt>
              </c:strCache>
            </c:strRef>
          </c:tx>
          <c:spPr>
            <a:ln w="7620"/>
          </c:spPr>
          <c:val>
            <c:numRef>
              <c:f>'10. Volúmenes'!$Q$12:$Q$63</c:f>
              <c:numCache>
                <c:formatCode>0.00</c:formatCode>
                <c:ptCount val="52"/>
                <c:pt idx="0">
                  <c:v>117.2900009</c:v>
                </c:pt>
                <c:pt idx="1">
                  <c:v>116.0110016</c:v>
                </c:pt>
                <c:pt idx="2">
                  <c:v>117.6</c:v>
                </c:pt>
                <c:pt idx="3">
                  <c:v>128.32000729999999</c:v>
                </c:pt>
                <c:pt idx="4">
                  <c:v>139.2400055</c:v>
                </c:pt>
                <c:pt idx="5">
                  <c:v>150.94</c:v>
                </c:pt>
                <c:pt idx="6">
                  <c:v>162.4909973</c:v>
                </c:pt>
                <c:pt idx="7">
                  <c:v>169.03700259999999</c:v>
                </c:pt>
                <c:pt idx="8">
                  <c:v>182.64300539999999</c:v>
                </c:pt>
                <c:pt idx="9">
                  <c:v>190.99600219999999</c:v>
                </c:pt>
                <c:pt idx="10">
                  <c:v>200.89500427246</c:v>
                </c:pt>
                <c:pt idx="11">
                  <c:v>209.09500120000001</c:v>
                </c:pt>
                <c:pt idx="12">
                  <c:v>215.7310028</c:v>
                </c:pt>
                <c:pt idx="13">
                  <c:v>219.1710052</c:v>
                </c:pt>
                <c:pt idx="14">
                  <c:v>220.17399599999999</c:v>
                </c:pt>
                <c:pt idx="15">
                  <c:v>220.3150024</c:v>
                </c:pt>
                <c:pt idx="16">
                  <c:v>220.56</c:v>
                </c:pt>
                <c:pt idx="17" formatCode="0.0">
                  <c:v>224.15199279999999</c:v>
                </c:pt>
                <c:pt idx="18" formatCode="0.0">
                  <c:v>224.378006</c:v>
                </c:pt>
                <c:pt idx="19" formatCode="0.0">
                  <c:v>224.60401920000001</c:v>
                </c:pt>
                <c:pt idx="20" formatCode="0.0">
                  <c:v>223.4909973</c:v>
                </c:pt>
                <c:pt idx="21" formatCode="0.0">
                  <c:v>222.62600710000001</c:v>
                </c:pt>
                <c:pt idx="22" formatCode="0.0">
                  <c:v>221.62399289999999</c:v>
                </c:pt>
                <c:pt idx="23" formatCode="0.0">
                  <c:v>218.3840027</c:v>
                </c:pt>
                <c:pt idx="24" formatCode="0.0">
                  <c:v>215.08099369999999</c:v>
                </c:pt>
                <c:pt idx="25" formatCode="0.0">
                  <c:v>210.41900630000001</c:v>
                </c:pt>
                <c:pt idx="26" formatCode="0.0">
                  <c:v>204.23</c:v>
                </c:pt>
                <c:pt idx="27" formatCode="0.0">
                  <c:v>201.1309967</c:v>
                </c:pt>
                <c:pt idx="28" formatCode="0.0">
                  <c:v>196.16000366210901</c:v>
                </c:pt>
                <c:pt idx="29" formatCode="0.0">
                  <c:v>193.86</c:v>
                </c:pt>
                <c:pt idx="30" formatCode="0.0">
                  <c:v>186.24800110000001</c:v>
                </c:pt>
                <c:pt idx="31" formatCode="General">
                  <c:v>182.40899659999999</c:v>
                </c:pt>
                <c:pt idx="32" formatCode="General">
                  <c:v>178.6940002</c:v>
                </c:pt>
                <c:pt idx="33" formatCode="General">
                  <c:v>173.61300660000001</c:v>
                </c:pt>
                <c:pt idx="34" formatCode="General">
                  <c:v>170.0189972</c:v>
                </c:pt>
                <c:pt idx="35" formatCode="General">
                  <c:v>166.0690002</c:v>
                </c:pt>
                <c:pt idx="36" formatCode="General">
                  <c:v>159.17399599999999</c:v>
                </c:pt>
                <c:pt idx="37" formatCode="General">
                  <c:v>157.84</c:v>
                </c:pt>
                <c:pt idx="38" formatCode="General">
                  <c:v>156.28199768066401</c:v>
                </c:pt>
                <c:pt idx="39" formatCode="General">
                  <c:v>148.3529968</c:v>
                </c:pt>
                <c:pt idx="40" formatCode="General">
                  <c:v>151.04400630000001</c:v>
                </c:pt>
                <c:pt idx="41" formatCode="General">
                  <c:v>146.53</c:v>
                </c:pt>
                <c:pt idx="42" formatCode="General">
                  <c:v>137.7400055</c:v>
                </c:pt>
                <c:pt idx="43" formatCode="General">
                  <c:v>133.1380005</c:v>
                </c:pt>
              </c:numCache>
            </c:numRef>
          </c:val>
          <c:smooth val="0"/>
          <c:extLst>
            <c:ext xmlns:c16="http://schemas.microsoft.com/office/drawing/2014/chart" uri="{C3380CC4-5D6E-409C-BE32-E72D297353CC}">
              <c16:uniqueId val="{00000000-7C1B-41CE-A723-C95B6C4B48F3}"/>
            </c:ext>
          </c:extLst>
        </c:ser>
        <c:dLbls>
          <c:showLegendKey val="0"/>
          <c:showVal val="0"/>
          <c:showCatName val="0"/>
          <c:showSerName val="0"/>
          <c:showPercent val="0"/>
          <c:showBubbleSize val="0"/>
        </c:dLbls>
        <c:marker val="1"/>
        <c:smooth val="0"/>
        <c:axId val="350902528"/>
        <c:axId val="350913280"/>
      </c:lineChart>
      <c:catAx>
        <c:axId val="350902528"/>
        <c:scaling>
          <c:orientation val="minMax"/>
        </c:scaling>
        <c:delete val="0"/>
        <c:axPos val="b"/>
        <c:title>
          <c:tx>
            <c:rich>
              <a:bodyPr/>
              <a:lstStyle/>
              <a:p>
                <a:pPr>
                  <a:defRPr/>
                </a:pPr>
                <a:r>
                  <a:rPr lang="en-US"/>
                  <a:t>Semanas</a:t>
                </a:r>
              </a:p>
            </c:rich>
          </c:tx>
          <c:layout>
            <c:manualLayout>
              <c:xMode val="edge"/>
              <c:yMode val="edge"/>
              <c:x val="0.91317951613927173"/>
              <c:y val="0.92620699140030271"/>
            </c:manualLayout>
          </c:layout>
          <c:overlay val="0"/>
        </c:title>
        <c:majorTickMark val="out"/>
        <c:minorTickMark val="none"/>
        <c:tickLblPos val="nextTo"/>
        <c:crossAx val="350913280"/>
        <c:crosses val="autoZero"/>
        <c:auto val="1"/>
        <c:lblAlgn val="ctr"/>
        <c:lblOffset val="100"/>
        <c:tickLblSkip val="3"/>
        <c:tickMarkSkip val="1"/>
        <c:noMultiLvlLbl val="0"/>
      </c:catAx>
      <c:valAx>
        <c:axId val="350913280"/>
        <c:scaling>
          <c:orientation val="minMax"/>
          <c:min val="0"/>
        </c:scaling>
        <c:delete val="0"/>
        <c:axPos val="l"/>
        <c:majorGridlines/>
        <c:title>
          <c:tx>
            <c:rich>
              <a:bodyPr rot="0" vert="horz"/>
              <a:lstStyle/>
              <a:p>
                <a:pPr algn="l">
                  <a:defRPr/>
                </a:pPr>
                <a:r>
                  <a:rPr lang="en-US"/>
                  <a:t>Millones</a:t>
                </a:r>
                <a:br>
                  <a:rPr lang="en-US"/>
                </a:br>
                <a:r>
                  <a:rPr lang="en-US"/>
                  <a:t>de m3</a:t>
                </a:r>
              </a:p>
            </c:rich>
          </c:tx>
          <c:layout>
            <c:manualLayout>
              <c:xMode val="edge"/>
              <c:yMode val="edge"/>
              <c:x val="4.1850328666346963E-3"/>
              <c:y val="7.8221812327581325E-2"/>
            </c:manualLayout>
          </c:layout>
          <c:overlay val="0"/>
        </c:title>
        <c:numFmt formatCode="0" sourceLinked="0"/>
        <c:majorTickMark val="out"/>
        <c:minorTickMark val="none"/>
        <c:tickLblPos val="nextTo"/>
        <c:crossAx val="350902528"/>
        <c:crosses val="autoZero"/>
        <c:crossBetween val="between"/>
      </c:valAx>
    </c:plotArea>
    <c:legend>
      <c:legendPos val="b"/>
      <c:layout>
        <c:manualLayout>
          <c:xMode val="edge"/>
          <c:yMode val="edge"/>
          <c:x val="0.26926403599373089"/>
          <c:y val="0.79216888512990402"/>
          <c:w val="0.41086870501915085"/>
          <c:h val="5.3655243736512481E-2"/>
        </c:manualLayout>
      </c:layout>
      <c:overlay val="0"/>
    </c:legend>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oddHeader>&amp;R&amp;7Informe de la Operación Mensual - Enero 2018
INFSGI-MES-01-2018
15/02/2018
Versión: 01</c:oddHeader>
    </c:headerFooter>
    <c:pageMargins b="0.75" l="0.7" r="0.7" t="0.75" header="0.3" footer="0.3"/>
    <c:pageSetup orientation="portrait"/>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VOLUMEN ÚTIL DEL LAGO JUNÍN - ELECTROPERÚ</a:t>
            </a:r>
          </a:p>
        </c:rich>
      </c:tx>
      <c:layout>
        <c:manualLayout>
          <c:xMode val="edge"/>
          <c:yMode val="edge"/>
          <c:x val="0.24371235610765229"/>
          <c:y val="6.5606540439772695E-2"/>
        </c:manualLayout>
      </c:layout>
      <c:overlay val="1"/>
    </c:title>
    <c:autoTitleDeleted val="0"/>
    <c:plotArea>
      <c:layout>
        <c:manualLayout>
          <c:layoutTarget val="inner"/>
          <c:xMode val="edge"/>
          <c:yMode val="edge"/>
          <c:x val="4.8044164228694813E-2"/>
          <c:y val="0.19371987512072408"/>
          <c:w val="0.93573858815800515"/>
          <c:h val="0.67796098989555775"/>
        </c:manualLayout>
      </c:layout>
      <c:lineChart>
        <c:grouping val="standard"/>
        <c:varyColors val="0"/>
        <c:ser>
          <c:idx val="2"/>
          <c:order val="0"/>
          <c:tx>
            <c:v>2016</c:v>
          </c:tx>
          <c:spPr>
            <a:ln w="15875">
              <a:solidFill>
                <a:schemeClr val="accent6"/>
              </a:solidFill>
            </a:ln>
          </c:spPr>
          <c:marker>
            <c:symbol val="star"/>
            <c:size val="7"/>
            <c:spPr>
              <a:noFill/>
              <a:ln>
                <a:solidFill>
                  <a:srgbClr val="00B050"/>
                </a:solidFill>
              </a:ln>
              <a:effectLst/>
            </c:spPr>
          </c:marker>
          <c:val>
            <c:numRef>
              <c:f>'11. Volúmenes'!$O$6:$O$57</c:f>
              <c:numCache>
                <c:formatCode>0.00</c:formatCode>
                <c:ptCount val="52"/>
                <c:pt idx="0">
                  <c:v>119.86</c:v>
                </c:pt>
                <c:pt idx="1">
                  <c:v>113.21</c:v>
                </c:pt>
                <c:pt idx="2">
                  <c:v>117.64</c:v>
                </c:pt>
                <c:pt idx="3">
                  <c:v>117.64</c:v>
                </c:pt>
                <c:pt idx="4">
                  <c:v>133.43</c:v>
                </c:pt>
                <c:pt idx="5">
                  <c:v>159.2149963</c:v>
                </c:pt>
                <c:pt idx="6">
                  <c:v>186.18299870000001</c:v>
                </c:pt>
                <c:pt idx="7">
                  <c:v>206.53900150000001</c:v>
                </c:pt>
                <c:pt idx="8">
                  <c:v>240.9539948</c:v>
                </c:pt>
                <c:pt idx="9">
                  <c:v>279.86401369999999</c:v>
                </c:pt>
                <c:pt idx="10">
                  <c:v>308.83</c:v>
                </c:pt>
                <c:pt idx="11">
                  <c:v>308.829986572265</c:v>
                </c:pt>
                <c:pt idx="12">
                  <c:v>308.829986572265</c:v>
                </c:pt>
                <c:pt idx="13">
                  <c:v>302.95901489257801</c:v>
                </c:pt>
                <c:pt idx="14">
                  <c:v>311.781005859375</c:v>
                </c:pt>
                <c:pt idx="15">
                  <c:v>320.69100952148398</c:v>
                </c:pt>
                <c:pt idx="16">
                  <c:v>326.67999267578102</c:v>
                </c:pt>
                <c:pt idx="17">
                  <c:v>314.74099731445301</c:v>
                </c:pt>
                <c:pt idx="18">
                  <c:v>308.829986572265</c:v>
                </c:pt>
                <c:pt idx="19">
                  <c:v>308.8</c:v>
                </c:pt>
                <c:pt idx="20">
                  <c:v>311.781005859375</c:v>
                </c:pt>
                <c:pt idx="21">
                  <c:v>314.74</c:v>
                </c:pt>
                <c:pt idx="22">
                  <c:v>308.83</c:v>
                </c:pt>
                <c:pt idx="23">
                  <c:v>300.04000000000002</c:v>
                </c:pt>
                <c:pt idx="24">
                  <c:v>282.71701050000001</c:v>
                </c:pt>
                <c:pt idx="25">
                  <c:v>262.95300292968699</c:v>
                </c:pt>
                <c:pt idx="26">
                  <c:v>254.63000489999999</c:v>
                </c:pt>
                <c:pt idx="27">
                  <c:v>240.9539948</c:v>
                </c:pt>
                <c:pt idx="28">
                  <c:v>227.5220032</c:v>
                </c:pt>
                <c:pt idx="29">
                  <c:v>216.95199584960901</c:v>
                </c:pt>
                <c:pt idx="30">
                  <c:v>216.95199579999999</c:v>
                </c:pt>
                <c:pt idx="31">
                  <c:v>201.39199830000001</c:v>
                </c:pt>
                <c:pt idx="32">
                  <c:v>193.74299621582</c:v>
                </c:pt>
                <c:pt idx="33">
                  <c:v>181.19200129999999</c:v>
                </c:pt>
                <c:pt idx="34">
                  <c:v>171.32600400000001</c:v>
                </c:pt>
                <c:pt idx="35">
                  <c:v>164.02999879999999</c:v>
                </c:pt>
                <c:pt idx="36">
                  <c:v>147.34800720000001</c:v>
                </c:pt>
                <c:pt idx="37">
                  <c:v>131.14500430000001</c:v>
                </c:pt>
                <c:pt idx="38">
                  <c:v>119.8639984</c:v>
                </c:pt>
                <c:pt idx="39">
                  <c:v>119.8639984</c:v>
                </c:pt>
                <c:pt idx="40">
                  <c:v>113.213996887207</c:v>
                </c:pt>
                <c:pt idx="41">
                  <c:v>100.1760025</c:v>
                </c:pt>
                <c:pt idx="42">
                  <c:v>89.581001279999995</c:v>
                </c:pt>
                <c:pt idx="43">
                  <c:v>75.156997680000003</c:v>
                </c:pt>
                <c:pt idx="44">
                  <c:v>61.2140007</c:v>
                </c:pt>
                <c:pt idx="45">
                  <c:v>43.990001679999999</c:v>
                </c:pt>
                <c:pt idx="46">
                  <c:v>25.781999590000002</c:v>
                </c:pt>
                <c:pt idx="47">
                  <c:v>29.344999309999999</c:v>
                </c:pt>
                <c:pt idx="48">
                  <c:v>34.763999939999998</c:v>
                </c:pt>
                <c:pt idx="49">
                  <c:v>32.948001859999998</c:v>
                </c:pt>
                <c:pt idx="50">
                  <c:v>25.781999590000002</c:v>
                </c:pt>
                <c:pt idx="51">
                  <c:v>22.256999969999999</c:v>
                </c:pt>
              </c:numCache>
            </c:numRef>
          </c:val>
          <c:smooth val="0"/>
          <c:extLst>
            <c:ext xmlns:c16="http://schemas.microsoft.com/office/drawing/2014/chart" uri="{C3380CC4-5D6E-409C-BE32-E72D297353CC}">
              <c16:uniqueId val="{00000002-E67E-478C-BF33-2DFC489EAE45}"/>
            </c:ext>
          </c:extLst>
        </c:ser>
        <c:ser>
          <c:idx val="3"/>
          <c:order val="1"/>
          <c:tx>
            <c:v>2017</c:v>
          </c:tx>
          <c:spPr>
            <a:ln w="19050">
              <a:solidFill>
                <a:srgbClr val="C00000"/>
              </a:solidFill>
            </a:ln>
          </c:spPr>
          <c:marker>
            <c:symbol val="triangle"/>
            <c:size val="5"/>
            <c:spPr>
              <a:solidFill>
                <a:srgbClr val="C00000"/>
              </a:solidFill>
              <a:ln w="12700">
                <a:solidFill>
                  <a:schemeClr val="bg1"/>
                </a:solidFill>
              </a:ln>
            </c:spPr>
          </c:marker>
          <c:val>
            <c:numRef>
              <c:f>'11. Volúmenes'!$P$6:$P$57</c:f>
              <c:numCache>
                <c:formatCode>0.00</c:formatCode>
                <c:ptCount val="52"/>
                <c:pt idx="0">
                  <c:v>27.559000019999999</c:v>
                </c:pt>
                <c:pt idx="1">
                  <c:v>36.5890007</c:v>
                </c:pt>
                <c:pt idx="2">
                  <c:v>63.17599869</c:v>
                </c:pt>
                <c:pt idx="3">
                  <c:v>113.2139969</c:v>
                </c:pt>
                <c:pt idx="4">
                  <c:v>156.8220062</c:v>
                </c:pt>
                <c:pt idx="5">
                  <c:v>168.8840027</c:v>
                </c:pt>
                <c:pt idx="6">
                  <c:v>196.28300479999999</c:v>
                </c:pt>
                <c:pt idx="7">
                  <c:v>230.18899540000001</c:v>
                </c:pt>
                <c:pt idx="8">
                  <c:v>249.13000489999999</c:v>
                </c:pt>
                <c:pt idx="9">
                  <c:v>311.77999999999997</c:v>
                </c:pt>
                <c:pt idx="10">
                  <c:v>332.70800000000003</c:v>
                </c:pt>
                <c:pt idx="11">
                  <c:v>344.881012</c:v>
                </c:pt>
                <c:pt idx="12">
                  <c:v>338.77499390000003</c:v>
                </c:pt>
                <c:pt idx="13">
                  <c:v>338.77999390000002</c:v>
                </c:pt>
                <c:pt idx="14">
                  <c:v>347.94900510000002</c:v>
                </c:pt>
                <c:pt idx="15">
                  <c:v>354.11401369999999</c:v>
                </c:pt>
                <c:pt idx="16">
                  <c:v>351.02700809999999</c:v>
                </c:pt>
                <c:pt idx="17">
                  <c:v>354.11401369999999</c:v>
                </c:pt>
                <c:pt idx="18">
                  <c:v>363.43499759999997</c:v>
                </c:pt>
                <c:pt idx="19">
                  <c:v>366.56100459999999</c:v>
                </c:pt>
                <c:pt idx="20">
                  <c:v>357.21099850000002</c:v>
                </c:pt>
                <c:pt idx="21">
                  <c:v>341.82</c:v>
                </c:pt>
                <c:pt idx="22">
                  <c:v>326.67999270000001</c:v>
                </c:pt>
                <c:pt idx="23">
                  <c:v>308.82998659999998</c:v>
                </c:pt>
                <c:pt idx="24">
                  <c:v>291.33300780000002</c:v>
                </c:pt>
                <c:pt idx="25">
                  <c:v>268.55099489999998</c:v>
                </c:pt>
                <c:pt idx="26">
                  <c:v>265.7470093</c:v>
                </c:pt>
                <c:pt idx="27">
                  <c:v>243.66999820000001</c:v>
                </c:pt>
                <c:pt idx="28">
                  <c:v>227.5220032</c:v>
                </c:pt>
                <c:pt idx="29">
                  <c:v>216.95199579999999</c:v>
                </c:pt>
                <c:pt idx="30">
                  <c:v>209.128006</c:v>
                </c:pt>
                <c:pt idx="31">
                  <c:v>198.83200070000001</c:v>
                </c:pt>
                <c:pt idx="32">
                  <c:v>188.69299319999999</c:v>
                </c:pt>
                <c:pt idx="33">
                  <c:v>183.68200680000001</c:v>
                </c:pt>
                <c:pt idx="34">
                  <c:v>176.23899840000001</c:v>
                </c:pt>
                <c:pt idx="35">
                  <c:v>168.8840027</c:v>
                </c:pt>
                <c:pt idx="36">
                  <c:v>159.2149963</c:v>
                </c:pt>
                <c:pt idx="37">
                  <c:v>149.70199579999999</c:v>
                </c:pt>
                <c:pt idx="38">
                  <c:v>138.02999879999999</c:v>
                </c:pt>
                <c:pt idx="39">
                  <c:v>131.14500430000001</c:v>
                </c:pt>
                <c:pt idx="40">
                  <c:v>108.82900239999999</c:v>
                </c:pt>
                <c:pt idx="41">
                  <c:v>95.908996579999993</c:v>
                </c:pt>
                <c:pt idx="42">
                  <c:v>83.341003420000007</c:v>
                </c:pt>
                <c:pt idx="43">
                  <c:v>75.16</c:v>
                </c:pt>
                <c:pt idx="44">
                  <c:v>65.149002080000002</c:v>
                </c:pt>
                <c:pt idx="45">
                  <c:v>47.749000549999998</c:v>
                </c:pt>
                <c:pt idx="46">
                  <c:v>34.763999939999998</c:v>
                </c:pt>
                <c:pt idx="47">
                  <c:v>13.618000029999999</c:v>
                </c:pt>
                <c:pt idx="48">
                  <c:v>8.5520000459999999</c:v>
                </c:pt>
                <c:pt idx="49">
                  <c:v>13.618000029999999</c:v>
                </c:pt>
                <c:pt idx="50">
                  <c:v>18.771999359999999</c:v>
                </c:pt>
                <c:pt idx="51">
                  <c:v>25.781999590000002</c:v>
                </c:pt>
              </c:numCache>
            </c:numRef>
          </c:val>
          <c:smooth val="0"/>
          <c:extLst>
            <c:ext xmlns:c16="http://schemas.microsoft.com/office/drawing/2014/chart" uri="{C3380CC4-5D6E-409C-BE32-E72D297353CC}">
              <c16:uniqueId val="{00000001-E67E-478C-BF33-2DFC489EAE45}"/>
            </c:ext>
          </c:extLst>
        </c:ser>
        <c:ser>
          <c:idx val="0"/>
          <c:order val="2"/>
          <c:tx>
            <c:v>2018</c:v>
          </c:tx>
          <c:spPr>
            <a:ln w="19050"/>
          </c:spPr>
          <c:marker>
            <c:symbol val="circle"/>
            <c:size val="4"/>
            <c:spPr>
              <a:solidFill>
                <a:srgbClr val="0077A5"/>
              </a:solidFill>
              <a:ln w="9525">
                <a:solidFill>
                  <a:schemeClr val="bg1">
                    <a:lumMod val="95000"/>
                  </a:schemeClr>
                </a:solidFill>
              </a:ln>
            </c:spPr>
          </c:marker>
          <c:val>
            <c:numRef>
              <c:f>'11. Volúmenes'!$Q$6:$Q$57</c:f>
              <c:numCache>
                <c:formatCode>0.00</c:formatCode>
                <c:ptCount val="52"/>
                <c:pt idx="0">
                  <c:v>34.76</c:v>
                </c:pt>
                <c:pt idx="1">
                  <c:v>47.749000549999998</c:v>
                </c:pt>
                <c:pt idx="2">
                  <c:v>67.130996699999997</c:v>
                </c:pt>
                <c:pt idx="3">
                  <c:v>93.789001459999994</c:v>
                </c:pt>
                <c:pt idx="4">
                  <c:v>111.01599880000001</c:v>
                </c:pt>
                <c:pt idx="5">
                  <c:v>126.6029968</c:v>
                </c:pt>
                <c:pt idx="6">
                  <c:v>135.7250061</c:v>
                </c:pt>
                <c:pt idx="7">
                  <c:v>159.2149963</c:v>
                </c:pt>
                <c:pt idx="8">
                  <c:v>186.18299870000001</c:v>
                </c:pt>
                <c:pt idx="9">
                  <c:v>203.96099849999999</c:v>
                </c:pt>
                <c:pt idx="10">
                  <c:v>230.18899540000001</c:v>
                </c:pt>
                <c:pt idx="11">
                  <c:v>282.71701050000001</c:v>
                </c:pt>
                <c:pt idx="12">
                  <c:v>329.68899540000001</c:v>
                </c:pt>
                <c:pt idx="13">
                  <c:v>329.68899540000001</c:v>
                </c:pt>
                <c:pt idx="14">
                  <c:v>326.67999270000001</c:v>
                </c:pt>
                <c:pt idx="15">
                  <c:v>314.7409973</c:v>
                </c:pt>
                <c:pt idx="16">
                  <c:v>305.89001459999997</c:v>
                </c:pt>
                <c:pt idx="17">
                  <c:v>314.7409973</c:v>
                </c:pt>
                <c:pt idx="18">
                  <c:v>314.7409973</c:v>
                </c:pt>
                <c:pt idx="19">
                  <c:v>314.7409973</c:v>
                </c:pt>
                <c:pt idx="20">
                  <c:v>314.7409973</c:v>
                </c:pt>
                <c:pt idx="21">
                  <c:v>311.78100590000003</c:v>
                </c:pt>
                <c:pt idx="22">
                  <c:v>308.82998659999998</c:v>
                </c:pt>
                <c:pt idx="23">
                  <c:v>300.0379944</c:v>
                </c:pt>
                <c:pt idx="24">
                  <c:v>294.22500609999997</c:v>
                </c:pt>
                <c:pt idx="25">
                  <c:v>282.71701050000001</c:v>
                </c:pt>
                <c:pt idx="26">
                  <c:v>271.36</c:v>
                </c:pt>
                <c:pt idx="27">
                  <c:v>260.16900629999998</c:v>
                </c:pt>
                <c:pt idx="28">
                  <c:v>251.88</c:v>
                </c:pt>
                <c:pt idx="29">
                  <c:v>232.8650055</c:v>
                </c:pt>
                <c:pt idx="30">
                  <c:v>211.726</c:v>
                </c:pt>
                <c:pt idx="31">
                  <c:v>181.19200129999999</c:v>
                </c:pt>
                <c:pt idx="32">
                  <c:v>152.0650024</c:v>
                </c:pt>
                <c:pt idx="33">
                  <c:v>156.8220062</c:v>
                </c:pt>
                <c:pt idx="34">
                  <c:v>156.82</c:v>
                </c:pt>
                <c:pt idx="35">
                  <c:v>159.21</c:v>
                </c:pt>
                <c:pt idx="36">
                  <c:v>159.2149963</c:v>
                </c:pt>
                <c:pt idx="37">
                  <c:v>149.70199579999999</c:v>
                </c:pt>
                <c:pt idx="38">
                  <c:v>117.6380005</c:v>
                </c:pt>
                <c:pt idx="39">
                  <c:v>91.680000309999997</c:v>
                </c:pt>
                <c:pt idx="40">
                  <c:v>71.125</c:v>
                </c:pt>
                <c:pt idx="41">
                  <c:v>59.261001586913999</c:v>
                </c:pt>
                <c:pt idx="42">
                  <c:v>47.749000549316399</c:v>
                </c:pt>
                <c:pt idx="43">
                  <c:v>38.424999239999998</c:v>
                </c:pt>
                <c:pt idx="44">
                  <c:v>31.142000199999998</c:v>
                </c:pt>
                <c:pt idx="45">
                  <c:v>22.26</c:v>
                </c:pt>
                <c:pt idx="46">
                  <c:v>17.044000629999999</c:v>
                </c:pt>
                <c:pt idx="47">
                  <c:v>36.5890007</c:v>
                </c:pt>
                <c:pt idx="48">
                  <c:v>36.590000000000003</c:v>
                </c:pt>
                <c:pt idx="49">
                  <c:v>34.763999939999998</c:v>
                </c:pt>
                <c:pt idx="50">
                  <c:v>38.4</c:v>
                </c:pt>
                <c:pt idx="51">
                  <c:v>59.261001589999999</c:v>
                </c:pt>
              </c:numCache>
            </c:numRef>
          </c:val>
          <c:smooth val="0"/>
          <c:extLst>
            <c:ext xmlns:c16="http://schemas.microsoft.com/office/drawing/2014/chart" uri="{C3380CC4-5D6E-409C-BE32-E72D297353CC}">
              <c16:uniqueId val="{00000000-E67E-478C-BF33-2DFC489EAE45}"/>
            </c:ext>
          </c:extLst>
        </c:ser>
        <c:ser>
          <c:idx val="1"/>
          <c:order val="3"/>
          <c:tx>
            <c:strRef>
              <c:f>'11. Volúmenes'!$R$5</c:f>
              <c:strCache>
                <c:ptCount val="1"/>
                <c:pt idx="0">
                  <c:v>2019</c:v>
                </c:pt>
              </c:strCache>
            </c:strRef>
          </c:tx>
          <c:spPr>
            <a:ln w="6350"/>
          </c:spPr>
          <c:val>
            <c:numRef>
              <c:f>'11. Volúmenes'!$R$6:$R$57</c:f>
              <c:numCache>
                <c:formatCode>General</c:formatCode>
                <c:ptCount val="52"/>
                <c:pt idx="0">
                  <c:v>71.125</c:v>
                </c:pt>
                <c:pt idx="1">
                  <c:v>79.228996280000004</c:v>
                </c:pt>
                <c:pt idx="2">
                  <c:v>106.65</c:v>
                </c:pt>
                <c:pt idx="3">
                  <c:v>140.34500120000001</c:v>
                </c:pt>
                <c:pt idx="4">
                  <c:v>186.18299870000001</c:v>
                </c:pt>
                <c:pt idx="5">
                  <c:v>222.22</c:v>
                </c:pt>
                <c:pt idx="6">
                  <c:v>277.02099609999999</c:v>
                </c:pt>
                <c:pt idx="7">
                  <c:v>293.06698610000001</c:v>
                </c:pt>
                <c:pt idx="8">
                  <c:v>294.29501340000002</c:v>
                </c:pt>
                <c:pt idx="9">
                  <c:v>291.91101070000002</c:v>
                </c:pt>
                <c:pt idx="10">
                  <c:v>301.204986572265</c:v>
                </c:pt>
                <c:pt idx="11">
                  <c:v>310.0090027</c:v>
                </c:pt>
                <c:pt idx="12">
                  <c:v>333.91799930000002</c:v>
                </c:pt>
                <c:pt idx="13">
                  <c:v>335.73699950000002</c:v>
                </c:pt>
                <c:pt idx="14">
                  <c:v>335.73699950000002</c:v>
                </c:pt>
                <c:pt idx="15">
                  <c:v>335.73699950000002</c:v>
                </c:pt>
                <c:pt idx="16">
                  <c:v>335.73699950000002</c:v>
                </c:pt>
                <c:pt idx="17">
                  <c:v>335.73699950000002</c:v>
                </c:pt>
                <c:pt idx="18">
                  <c:v>314.7409973</c:v>
                </c:pt>
                <c:pt idx="19" formatCode="0.000">
                  <c:v>315.3340149</c:v>
                </c:pt>
                <c:pt idx="20" formatCode="0.000">
                  <c:v>311.78100590000003</c:v>
                </c:pt>
                <c:pt idx="21" formatCode="0.000">
                  <c:v>310.60000609999997</c:v>
                </c:pt>
                <c:pt idx="22" formatCode="0.000">
                  <c:v>307.06500240000003</c:v>
                </c:pt>
                <c:pt idx="23" formatCode="0.000">
                  <c:v>302.9590149</c:v>
                </c:pt>
                <c:pt idx="24" formatCode="0.000">
                  <c:v>300.0379944</c:v>
                </c:pt>
                <c:pt idx="25" formatCode="0.000">
                  <c:v>296.06698610000001</c:v>
                </c:pt>
                <c:pt idx="26" formatCode="0.000">
                  <c:v>275.89</c:v>
                </c:pt>
                <c:pt idx="27" formatCode="0.000">
                  <c:v>248.58200070000001</c:v>
                </c:pt>
                <c:pt idx="28" formatCode="0.000">
                  <c:v>238.787994384765</c:v>
                </c:pt>
                <c:pt idx="29" formatCode="0.000">
                  <c:v>229.12</c:v>
                </c:pt>
                <c:pt idx="30" formatCode="0.000">
                  <c:v>219.05400090000001</c:v>
                </c:pt>
                <c:pt idx="31">
                  <c:v>209.128006</c:v>
                </c:pt>
                <c:pt idx="32">
                  <c:v>199.85499569999999</c:v>
                </c:pt>
                <c:pt idx="33">
                  <c:v>188.69299319999999</c:v>
                </c:pt>
                <c:pt idx="34">
                  <c:v>177.72099299999999</c:v>
                </c:pt>
                <c:pt idx="35">
                  <c:v>164.99800110000001</c:v>
                </c:pt>
                <c:pt idx="36">
                  <c:v>154.53400055</c:v>
                </c:pt>
                <c:pt idx="37">
                  <c:v>144.07</c:v>
                </c:pt>
                <c:pt idx="38">
                  <c:v>135.725006103515</c:v>
                </c:pt>
                <c:pt idx="39">
                  <c:v>127.0559998</c:v>
                </c:pt>
                <c:pt idx="40">
                  <c:v>110.13999939999999</c:v>
                </c:pt>
                <c:pt idx="41">
                  <c:v>100.61</c:v>
                </c:pt>
                <c:pt idx="42">
                  <c:v>95.484001160000005</c:v>
                </c:pt>
                <c:pt idx="43">
                  <c:v>89.581001279999995</c:v>
                </c:pt>
              </c:numCache>
            </c:numRef>
          </c:val>
          <c:smooth val="0"/>
          <c:extLst>
            <c:ext xmlns:c16="http://schemas.microsoft.com/office/drawing/2014/chart" uri="{C3380CC4-5D6E-409C-BE32-E72D297353CC}">
              <c16:uniqueId val="{00000000-C446-4F9D-AE96-B5DE48A8F04B}"/>
            </c:ext>
          </c:extLst>
        </c:ser>
        <c:dLbls>
          <c:showLegendKey val="0"/>
          <c:showVal val="0"/>
          <c:showCatName val="0"/>
          <c:showSerName val="0"/>
          <c:showPercent val="0"/>
          <c:showBubbleSize val="0"/>
        </c:dLbls>
        <c:marker val="1"/>
        <c:smooth val="0"/>
        <c:axId val="350902528"/>
        <c:axId val="350913280"/>
      </c:lineChart>
      <c:catAx>
        <c:axId val="350902528"/>
        <c:scaling>
          <c:orientation val="minMax"/>
        </c:scaling>
        <c:delete val="0"/>
        <c:axPos val="b"/>
        <c:title>
          <c:tx>
            <c:rich>
              <a:bodyPr/>
              <a:lstStyle/>
              <a:p>
                <a:pPr>
                  <a:defRPr/>
                </a:pPr>
                <a:r>
                  <a:rPr lang="en-US"/>
                  <a:t>Semanas</a:t>
                </a:r>
              </a:p>
            </c:rich>
          </c:tx>
          <c:layout>
            <c:manualLayout>
              <c:xMode val="edge"/>
              <c:yMode val="edge"/>
              <c:x val="0.91317951613927173"/>
              <c:y val="0.92620699140030271"/>
            </c:manualLayout>
          </c:layout>
          <c:overlay val="0"/>
        </c:title>
        <c:majorTickMark val="out"/>
        <c:minorTickMark val="none"/>
        <c:tickLblPos val="nextTo"/>
        <c:crossAx val="350913280"/>
        <c:crosses val="autoZero"/>
        <c:auto val="1"/>
        <c:lblAlgn val="ctr"/>
        <c:lblOffset val="100"/>
        <c:tickLblSkip val="3"/>
        <c:tickMarkSkip val="1"/>
        <c:noMultiLvlLbl val="0"/>
      </c:catAx>
      <c:valAx>
        <c:axId val="350913280"/>
        <c:scaling>
          <c:orientation val="minMax"/>
          <c:min val="0"/>
        </c:scaling>
        <c:delete val="0"/>
        <c:axPos val="l"/>
        <c:majorGridlines/>
        <c:title>
          <c:tx>
            <c:rich>
              <a:bodyPr rot="0" vert="horz"/>
              <a:lstStyle/>
              <a:p>
                <a:pPr>
                  <a:defRPr/>
                </a:pPr>
                <a:r>
                  <a:rPr lang="en-US"/>
                  <a:t>Millones de m3</a:t>
                </a:r>
              </a:p>
            </c:rich>
          </c:tx>
          <c:layout>
            <c:manualLayout>
              <c:xMode val="edge"/>
              <c:yMode val="edge"/>
              <c:x val="6.2615510194436218E-3"/>
              <c:y val="0.11109965635738832"/>
            </c:manualLayout>
          </c:layout>
          <c:overlay val="0"/>
        </c:title>
        <c:numFmt formatCode="0" sourceLinked="0"/>
        <c:majorTickMark val="out"/>
        <c:minorTickMark val="none"/>
        <c:tickLblPos val="nextTo"/>
        <c:crossAx val="350902528"/>
        <c:crosses val="autoZero"/>
        <c:crossBetween val="between"/>
      </c:valAx>
    </c:plotArea>
    <c:legend>
      <c:legendPos val="b"/>
      <c:layout>
        <c:manualLayout>
          <c:xMode val="edge"/>
          <c:yMode val="edge"/>
          <c:x val="0.26516300612465599"/>
          <c:y val="0.81181982887173243"/>
          <c:w val="0.40862731212426778"/>
          <c:h val="6.0426048527624059E-2"/>
        </c:manualLayout>
      </c:layout>
      <c:overlay val="0"/>
    </c:legend>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oddHeader>&amp;R&amp;7Informe de la Operación Mensual - Abril 2018
INFSGI-MES-04-2018
10/05/2018
Versión: 01</c:oddHeader>
    </c:headerFooter>
    <c:pageMargins b="0.75" l="0.7" r="0.7" t="0.75" header="0.3" footer="0.3"/>
    <c:pageSetup orientation="portrait"/>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VOLUMEN</a:t>
            </a:r>
            <a:r>
              <a:rPr lang="es-PE"/>
              <a:t> TOTAL  DE LOS EMBALSES EGASA</a:t>
            </a:r>
          </a:p>
          <a:p>
            <a:pPr>
              <a:defRPr/>
            </a:pPr>
            <a:r>
              <a:rPr lang="es-PE"/>
              <a:t> (El Frayle, Pañe, Pillones,  Aguada Blanca, Chalhuanca y Bamputañe )</a:t>
            </a:r>
          </a:p>
        </c:rich>
      </c:tx>
      <c:overlay val="1"/>
    </c:title>
    <c:autoTitleDeleted val="0"/>
    <c:plotArea>
      <c:layout>
        <c:manualLayout>
          <c:layoutTarget val="inner"/>
          <c:xMode val="edge"/>
          <c:yMode val="edge"/>
          <c:x val="6.0503203600911035E-2"/>
          <c:y val="0.22479002447809646"/>
          <c:w val="0.92607319764209539"/>
          <c:h val="0.66347317452750187"/>
        </c:manualLayout>
      </c:layout>
      <c:lineChart>
        <c:grouping val="standard"/>
        <c:varyColors val="0"/>
        <c:ser>
          <c:idx val="2"/>
          <c:order val="0"/>
          <c:tx>
            <c:v>2016</c:v>
          </c:tx>
          <c:spPr>
            <a:ln w="19050">
              <a:solidFill>
                <a:schemeClr val="accent6"/>
              </a:solidFill>
            </a:ln>
          </c:spPr>
          <c:marker>
            <c:symbol val="star"/>
            <c:size val="7"/>
            <c:spPr>
              <a:noFill/>
              <a:ln>
                <a:solidFill>
                  <a:srgbClr val="00B050"/>
                </a:solidFill>
              </a:ln>
              <a:effectLst/>
            </c:spPr>
          </c:marker>
          <c:cat>
            <c:numRef>
              <c:f>'11. Volúmenes'!$N$6:$N$57</c:f>
              <c:numCache>
                <c:formatCode>#,##0_ ;\-#,##0\ </c:formatCode>
                <c:ptCount val="5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numCache>
            </c:numRef>
          </c:cat>
          <c:val>
            <c:numRef>
              <c:f>'11. Volúmenes'!$T$7:$T$57</c:f>
              <c:numCache>
                <c:formatCode>0.00</c:formatCode>
                <c:ptCount val="51"/>
                <c:pt idx="0">
                  <c:v>145.21</c:v>
                </c:pt>
                <c:pt idx="1">
                  <c:v>143.88</c:v>
                </c:pt>
                <c:pt idx="2">
                  <c:v>139.38200000000001</c:v>
                </c:pt>
                <c:pt idx="3">
                  <c:v>135.79099490000002</c:v>
                </c:pt>
                <c:pt idx="4">
                  <c:v>150.04800029899999</c:v>
                </c:pt>
                <c:pt idx="5">
                  <c:v>174.31999966699999</c:v>
                </c:pt>
                <c:pt idx="6">
                  <c:v>262.93500039999998</c:v>
                </c:pt>
                <c:pt idx="7">
                  <c:v>279.08800121000002</c:v>
                </c:pt>
                <c:pt idx="8">
                  <c:v>283.79400062561007</c:v>
                </c:pt>
                <c:pt idx="9">
                  <c:v>286.24</c:v>
                </c:pt>
                <c:pt idx="10">
                  <c:v>285.01299476623473</c:v>
                </c:pt>
                <c:pt idx="11">
                  <c:v>279.96900081634436</c:v>
                </c:pt>
                <c:pt idx="12">
                  <c:v>286.54100227355917</c:v>
                </c:pt>
                <c:pt idx="13">
                  <c:v>288.78499984741165</c:v>
                </c:pt>
                <c:pt idx="14">
                  <c:v>293.26400000000001</c:v>
                </c:pt>
                <c:pt idx="15">
                  <c:v>292.87300071716299</c:v>
                </c:pt>
                <c:pt idx="16">
                  <c:v>289.06400012969908</c:v>
                </c:pt>
                <c:pt idx="17">
                  <c:v>283.7310012817382</c:v>
                </c:pt>
                <c:pt idx="18">
                  <c:v>278.90000000000003</c:v>
                </c:pt>
                <c:pt idx="19">
                  <c:v>274.65599975585928</c:v>
                </c:pt>
                <c:pt idx="20">
                  <c:v>269.74</c:v>
                </c:pt>
                <c:pt idx="21">
                  <c:v>265.4609997</c:v>
                </c:pt>
                <c:pt idx="22">
                  <c:v>261.10000000000002</c:v>
                </c:pt>
                <c:pt idx="23">
                  <c:v>256.25999989000002</c:v>
                </c:pt>
                <c:pt idx="24">
                  <c:v>252.54899978637627</c:v>
                </c:pt>
                <c:pt idx="25">
                  <c:v>248.26700022</c:v>
                </c:pt>
                <c:pt idx="26">
                  <c:v>243.86400222</c:v>
                </c:pt>
                <c:pt idx="27">
                  <c:v>239.07999988</c:v>
                </c:pt>
                <c:pt idx="28">
                  <c:v>234.2539968490598</c:v>
                </c:pt>
                <c:pt idx="29">
                  <c:v>229.68000125999998</c:v>
                </c:pt>
                <c:pt idx="30">
                  <c:v>224.73799990999998</c:v>
                </c:pt>
                <c:pt idx="31">
                  <c:v>219.00299835205058</c:v>
                </c:pt>
                <c:pt idx="32">
                  <c:v>214.38699817</c:v>
                </c:pt>
                <c:pt idx="33">
                  <c:v>208.95000171000001</c:v>
                </c:pt>
                <c:pt idx="34">
                  <c:v>202.97300145000003</c:v>
                </c:pt>
                <c:pt idx="35">
                  <c:v>196.95000080099999</c:v>
                </c:pt>
                <c:pt idx="36">
                  <c:v>190.78400421900002</c:v>
                </c:pt>
                <c:pt idx="37">
                  <c:v>184.44099947499998</c:v>
                </c:pt>
                <c:pt idx="38">
                  <c:v>177.93399906500002</c:v>
                </c:pt>
                <c:pt idx="39">
                  <c:v>171.68900227546672</c:v>
                </c:pt>
                <c:pt idx="40">
                  <c:v>165.69499874400003</c:v>
                </c:pt>
                <c:pt idx="41">
                  <c:v>160.397996525</c:v>
                </c:pt>
                <c:pt idx="42">
                  <c:v>154.79199918699999</c:v>
                </c:pt>
                <c:pt idx="43">
                  <c:v>149.715000041</c:v>
                </c:pt>
                <c:pt idx="44">
                  <c:v>144.11800040400001</c:v>
                </c:pt>
                <c:pt idx="45">
                  <c:v>138.82499813000001</c:v>
                </c:pt>
                <c:pt idx="46">
                  <c:v>133.112998957</c:v>
                </c:pt>
                <c:pt idx="47">
                  <c:v>128.370002666</c:v>
                </c:pt>
                <c:pt idx="48">
                  <c:v>122.71499820000001</c:v>
                </c:pt>
                <c:pt idx="49">
                  <c:v>120.15600296300001</c:v>
                </c:pt>
                <c:pt idx="50">
                  <c:v>116.12899696700001</c:v>
                </c:pt>
              </c:numCache>
            </c:numRef>
          </c:val>
          <c:smooth val="0"/>
          <c:extLst>
            <c:ext xmlns:c16="http://schemas.microsoft.com/office/drawing/2014/chart" uri="{C3380CC4-5D6E-409C-BE32-E72D297353CC}">
              <c16:uniqueId val="{00000002-47CE-4929-AC22-8EC513788285}"/>
            </c:ext>
          </c:extLst>
        </c:ser>
        <c:ser>
          <c:idx val="3"/>
          <c:order val="1"/>
          <c:tx>
            <c:v>2017</c:v>
          </c:tx>
          <c:spPr>
            <a:ln w="19050">
              <a:solidFill>
                <a:srgbClr val="C00000"/>
              </a:solidFill>
            </a:ln>
          </c:spPr>
          <c:marker>
            <c:symbol val="triangle"/>
            <c:size val="5"/>
            <c:spPr>
              <a:solidFill>
                <a:srgbClr val="C00000"/>
              </a:solidFill>
              <a:ln w="12700">
                <a:solidFill>
                  <a:schemeClr val="bg1"/>
                </a:solidFill>
              </a:ln>
            </c:spPr>
          </c:marker>
          <c:cat>
            <c:numRef>
              <c:f>'11. Volúmenes'!$N$6:$N$57</c:f>
              <c:numCache>
                <c:formatCode>#,##0_ ;\-#,##0\ </c:formatCode>
                <c:ptCount val="5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numCache>
            </c:numRef>
          </c:cat>
          <c:val>
            <c:numRef>
              <c:f>'11. Volúmenes'!$U$6:$U$57</c:f>
              <c:numCache>
                <c:formatCode>0.00</c:formatCode>
                <c:ptCount val="52"/>
                <c:pt idx="0">
                  <c:v>122.19600180599998</c:v>
                </c:pt>
                <c:pt idx="1">
                  <c:v>136.535000822</c:v>
                </c:pt>
                <c:pt idx="2">
                  <c:v>170.80799961000002</c:v>
                </c:pt>
                <c:pt idx="3">
                  <c:v>186.385000214</c:v>
                </c:pt>
                <c:pt idx="4">
                  <c:v>204.80799868699998</c:v>
                </c:pt>
                <c:pt idx="5">
                  <c:v>201.82999366799999</c:v>
                </c:pt>
                <c:pt idx="6">
                  <c:v>199.59600258</c:v>
                </c:pt>
                <c:pt idx="7">
                  <c:v>214.34299659800001</c:v>
                </c:pt>
                <c:pt idx="8">
                  <c:v>250.89400288000002</c:v>
                </c:pt>
                <c:pt idx="9">
                  <c:v>298.99899296000001</c:v>
                </c:pt>
                <c:pt idx="10">
                  <c:v>321.03300188000003</c:v>
                </c:pt>
                <c:pt idx="11">
                  <c:v>332.34900279999999</c:v>
                </c:pt>
                <c:pt idx="12">
                  <c:v>366.02899361000004</c:v>
                </c:pt>
                <c:pt idx="13">
                  <c:v>382.58400344</c:v>
                </c:pt>
                <c:pt idx="14">
                  <c:v>385.29699126999998</c:v>
                </c:pt>
                <c:pt idx="15">
                  <c:v>384.95899003</c:v>
                </c:pt>
                <c:pt idx="16">
                  <c:v>381.86699488000005</c:v>
                </c:pt>
                <c:pt idx="17">
                  <c:v>382.77999115</c:v>
                </c:pt>
                <c:pt idx="18">
                  <c:v>381.91700169999996</c:v>
                </c:pt>
                <c:pt idx="19">
                  <c:v>379.35699083999998</c:v>
                </c:pt>
                <c:pt idx="20">
                  <c:v>375.59600258</c:v>
                </c:pt>
                <c:pt idx="21">
                  <c:v>373.52000000000004</c:v>
                </c:pt>
                <c:pt idx="22">
                  <c:v>369.22100255000004</c:v>
                </c:pt>
                <c:pt idx="23">
                  <c:v>364.44200138999997</c:v>
                </c:pt>
                <c:pt idx="24">
                  <c:v>359.61999897999999</c:v>
                </c:pt>
                <c:pt idx="25">
                  <c:v>354.77499773999995</c:v>
                </c:pt>
                <c:pt idx="26">
                  <c:v>349.77999684000002</c:v>
                </c:pt>
                <c:pt idx="27">
                  <c:v>344.32400322999996</c:v>
                </c:pt>
                <c:pt idx="28">
                  <c:v>338.60699847999996</c:v>
                </c:pt>
                <c:pt idx="29">
                  <c:v>332.49400331000004</c:v>
                </c:pt>
                <c:pt idx="30">
                  <c:v>324</c:v>
                </c:pt>
                <c:pt idx="31">
                  <c:v>320.73399734000003</c:v>
                </c:pt>
                <c:pt idx="32">
                  <c:v>314.19900131999998</c:v>
                </c:pt>
                <c:pt idx="33">
                  <c:v>307.85200500000002</c:v>
                </c:pt>
                <c:pt idx="34">
                  <c:v>300.83900069999999</c:v>
                </c:pt>
                <c:pt idx="35">
                  <c:v>293.46100233999999</c:v>
                </c:pt>
                <c:pt idx="36">
                  <c:v>287.76599501999999</c:v>
                </c:pt>
                <c:pt idx="37">
                  <c:v>282.07300377000001</c:v>
                </c:pt>
                <c:pt idx="38">
                  <c:v>275.53000069000001</c:v>
                </c:pt>
                <c:pt idx="39">
                  <c:v>268.25699615000002</c:v>
                </c:pt>
                <c:pt idx="40">
                  <c:v>261.21399689000003</c:v>
                </c:pt>
                <c:pt idx="41">
                  <c:v>255.58900451</c:v>
                </c:pt>
                <c:pt idx="42">
                  <c:v>249.85500335</c:v>
                </c:pt>
                <c:pt idx="43">
                  <c:v>242.79000000000002</c:v>
                </c:pt>
                <c:pt idx="44">
                  <c:v>235.60499572000001</c:v>
                </c:pt>
                <c:pt idx="45">
                  <c:v>230.54900361099999</c:v>
                </c:pt>
                <c:pt idx="46">
                  <c:v>223.60000467499998</c:v>
                </c:pt>
                <c:pt idx="47">
                  <c:v>217.17600035300001</c:v>
                </c:pt>
                <c:pt idx="48">
                  <c:v>210.45100211699997</c:v>
                </c:pt>
                <c:pt idx="49">
                  <c:v>203.37099885499998</c:v>
                </c:pt>
                <c:pt idx="50">
                  <c:v>202.35899971500001</c:v>
                </c:pt>
                <c:pt idx="51">
                  <c:v>201.25199794899999</c:v>
                </c:pt>
              </c:numCache>
            </c:numRef>
          </c:val>
          <c:smooth val="0"/>
          <c:extLst>
            <c:ext xmlns:c16="http://schemas.microsoft.com/office/drawing/2014/chart" uri="{C3380CC4-5D6E-409C-BE32-E72D297353CC}">
              <c16:uniqueId val="{00000001-47CE-4929-AC22-8EC513788285}"/>
            </c:ext>
          </c:extLst>
        </c:ser>
        <c:ser>
          <c:idx val="0"/>
          <c:order val="2"/>
          <c:tx>
            <c:v>2018</c:v>
          </c:tx>
          <c:spPr>
            <a:ln w="19050"/>
          </c:spPr>
          <c:marker>
            <c:symbol val="circle"/>
            <c:size val="5"/>
            <c:spPr>
              <a:solidFill>
                <a:srgbClr val="0077A5"/>
              </a:solidFill>
              <a:ln w="9525">
                <a:solidFill>
                  <a:schemeClr val="bg1"/>
                </a:solidFill>
              </a:ln>
            </c:spPr>
          </c:marker>
          <c:cat>
            <c:numRef>
              <c:f>'11. Volúmenes'!$N$6:$N$57</c:f>
              <c:numCache>
                <c:formatCode>#,##0_ ;\-#,##0\ </c:formatCode>
                <c:ptCount val="5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numCache>
            </c:numRef>
          </c:cat>
          <c:val>
            <c:numRef>
              <c:f>'11. Volúmenes'!$V$6:$V$57</c:f>
              <c:numCache>
                <c:formatCode>0.00</c:formatCode>
                <c:ptCount val="52"/>
                <c:pt idx="0">
                  <c:v>210.20000000000002</c:v>
                </c:pt>
                <c:pt idx="1">
                  <c:v>216.70300435500002</c:v>
                </c:pt>
                <c:pt idx="2">
                  <c:v>232.83600043999999</c:v>
                </c:pt>
                <c:pt idx="3">
                  <c:v>271.78000545999998</c:v>
                </c:pt>
                <c:pt idx="4">
                  <c:v>269.07999802</c:v>
                </c:pt>
                <c:pt idx="5">
                  <c:v>273.52000047000001</c:v>
                </c:pt>
                <c:pt idx="6">
                  <c:v>302.63299941999998</c:v>
                </c:pt>
                <c:pt idx="7">
                  <c:v>328.23703</c:v>
                </c:pt>
                <c:pt idx="8">
                  <c:v>343.54049999999995</c:v>
                </c:pt>
                <c:pt idx="9">
                  <c:v>371.29100467000001</c:v>
                </c:pt>
                <c:pt idx="10">
                  <c:v>390.38299555999998</c:v>
                </c:pt>
                <c:pt idx="11">
                  <c:v>412.41217171999995</c:v>
                </c:pt>
                <c:pt idx="12">
                  <c:v>410.83199501000001</c:v>
                </c:pt>
                <c:pt idx="13">
                  <c:v>403.70400233999999</c:v>
                </c:pt>
                <c:pt idx="14">
                  <c:v>399.27400204999998</c:v>
                </c:pt>
                <c:pt idx="15">
                  <c:v>394.58499913000003</c:v>
                </c:pt>
                <c:pt idx="16">
                  <c:v>392.29800030000007</c:v>
                </c:pt>
                <c:pt idx="17">
                  <c:v>390.15600400999995</c:v>
                </c:pt>
                <c:pt idx="18">
                  <c:v>386.47099490999994</c:v>
                </c:pt>
                <c:pt idx="19">
                  <c:v>382.00799562999993</c:v>
                </c:pt>
                <c:pt idx="20">
                  <c:v>378.52099610999994</c:v>
                </c:pt>
                <c:pt idx="21">
                  <c:v>375.20999716</c:v>
                </c:pt>
                <c:pt idx="22">
                  <c:v>374.07600211999994</c:v>
                </c:pt>
                <c:pt idx="23">
                  <c:v>370.89200402</c:v>
                </c:pt>
                <c:pt idx="24">
                  <c:v>366.71700096999996</c:v>
                </c:pt>
                <c:pt idx="25">
                  <c:v>361.43599508999995</c:v>
                </c:pt>
                <c:pt idx="26">
                  <c:v>355.34</c:v>
                </c:pt>
                <c:pt idx="27">
                  <c:v>349.01599981000004</c:v>
                </c:pt>
                <c:pt idx="28">
                  <c:v>343.97999999999996</c:v>
                </c:pt>
                <c:pt idx="29">
                  <c:v>342.06599807739167</c:v>
                </c:pt>
                <c:pt idx="30">
                  <c:v>335.23199999999997</c:v>
                </c:pt>
                <c:pt idx="31">
                  <c:v>329.56800555999996</c:v>
                </c:pt>
                <c:pt idx="32">
                  <c:v>323.79099748000004</c:v>
                </c:pt>
                <c:pt idx="33">
                  <c:v>317.64699750999995</c:v>
                </c:pt>
                <c:pt idx="34">
                  <c:v>311.42</c:v>
                </c:pt>
                <c:pt idx="35">
                  <c:v>305.20999999999998</c:v>
                </c:pt>
                <c:pt idx="36">
                  <c:v>299.17000225600003</c:v>
                </c:pt>
                <c:pt idx="37">
                  <c:v>292.45899891799996</c:v>
                </c:pt>
                <c:pt idx="38">
                  <c:v>286.11999916000002</c:v>
                </c:pt>
                <c:pt idx="39">
                  <c:v>278.57999837699998</c:v>
                </c:pt>
                <c:pt idx="40">
                  <c:v>271.23250496387476</c:v>
                </c:pt>
                <c:pt idx="41">
                  <c:v>256.27199935913058</c:v>
                </c:pt>
                <c:pt idx="42">
                  <c:v>249.67099761962871</c:v>
                </c:pt>
                <c:pt idx="43">
                  <c:v>249.67099761962871</c:v>
                </c:pt>
                <c:pt idx="44">
                  <c:v>243.378839739</c:v>
                </c:pt>
                <c:pt idx="45">
                  <c:v>236.34</c:v>
                </c:pt>
                <c:pt idx="46">
                  <c:v>227.62000255999999</c:v>
                </c:pt>
                <c:pt idx="47">
                  <c:v>220.01436420799999</c:v>
                </c:pt>
                <c:pt idx="48">
                  <c:v>212.37999999999997</c:v>
                </c:pt>
                <c:pt idx="49">
                  <c:v>205.46782675599999</c:v>
                </c:pt>
                <c:pt idx="50">
                  <c:v>199</c:v>
                </c:pt>
                <c:pt idx="51">
                  <c:v>192.88799664499999</c:v>
                </c:pt>
              </c:numCache>
            </c:numRef>
          </c:val>
          <c:smooth val="0"/>
          <c:extLst>
            <c:ext xmlns:c16="http://schemas.microsoft.com/office/drawing/2014/chart" uri="{C3380CC4-5D6E-409C-BE32-E72D297353CC}">
              <c16:uniqueId val="{00000000-47CE-4929-AC22-8EC513788285}"/>
            </c:ext>
          </c:extLst>
        </c:ser>
        <c:ser>
          <c:idx val="1"/>
          <c:order val="3"/>
          <c:tx>
            <c:strRef>
              <c:f>'11. Volúmenes'!$W$5</c:f>
              <c:strCache>
                <c:ptCount val="1"/>
                <c:pt idx="0">
                  <c:v>2019</c:v>
                </c:pt>
              </c:strCache>
            </c:strRef>
          </c:tx>
          <c:spPr>
            <a:ln w="6350"/>
          </c:spPr>
          <c:cat>
            <c:numRef>
              <c:f>'11. Volúmenes'!$N$6:$N$57</c:f>
              <c:numCache>
                <c:formatCode>#,##0_ ;\-#,##0\ </c:formatCode>
                <c:ptCount val="5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numCache>
            </c:numRef>
          </c:cat>
          <c:val>
            <c:numRef>
              <c:f>'11. Volúmenes'!$W$6:$W$57</c:f>
              <c:numCache>
                <c:formatCode>General</c:formatCode>
                <c:ptCount val="52"/>
                <c:pt idx="0">
                  <c:v>190.20000426299998</c:v>
                </c:pt>
                <c:pt idx="1">
                  <c:v>185.80498987600001</c:v>
                </c:pt>
                <c:pt idx="2">
                  <c:v>190.06000000000003</c:v>
                </c:pt>
                <c:pt idx="3">
                  <c:v>198.06799936900001</c:v>
                </c:pt>
                <c:pt idx="4">
                  <c:v>217.55805158600003</c:v>
                </c:pt>
                <c:pt idx="5">
                  <c:v>279.10000000000002</c:v>
                </c:pt>
                <c:pt idx="6">
                  <c:v>338.21854399</c:v>
                </c:pt>
                <c:pt idx="7">
                  <c:v>388.64800643000001</c:v>
                </c:pt>
                <c:pt idx="8">
                  <c:v>377.13099283000003</c:v>
                </c:pt>
                <c:pt idx="9">
                  <c:v>385.62499995999997</c:v>
                </c:pt>
                <c:pt idx="10">
                  <c:v>389.38100242614604</c:v>
                </c:pt>
                <c:pt idx="11">
                  <c:v>386.27799791999996</c:v>
                </c:pt>
                <c:pt idx="12">
                  <c:v>388.98099517000003</c:v>
                </c:pt>
                <c:pt idx="13">
                  <c:v>393.36499596000004</c:v>
                </c:pt>
                <c:pt idx="14">
                  <c:v>385.77799804</c:v>
                </c:pt>
                <c:pt idx="15">
                  <c:v>385.72399323999997</c:v>
                </c:pt>
                <c:pt idx="16">
                  <c:v>388.74200823000001</c:v>
                </c:pt>
                <c:pt idx="17">
                  <c:v>386.49800113000003</c:v>
                </c:pt>
                <c:pt idx="18">
                  <c:v>384.38200000000001</c:v>
                </c:pt>
                <c:pt idx="19">
                  <c:v>381.56399727000002</c:v>
                </c:pt>
                <c:pt idx="20">
                  <c:v>376.47088237999998</c:v>
                </c:pt>
                <c:pt idx="21">
                  <c:v>370.73099807</c:v>
                </c:pt>
                <c:pt idx="22">
                  <c:v>363.24299430999997</c:v>
                </c:pt>
                <c:pt idx="23">
                  <c:v>357.21200376000002</c:v>
                </c:pt>
                <c:pt idx="24">
                  <c:v>352.1909981</c:v>
                </c:pt>
                <c:pt idx="25">
                  <c:v>346.62612917400003</c:v>
                </c:pt>
                <c:pt idx="26">
                  <c:v>341.25900444999996</c:v>
                </c:pt>
                <c:pt idx="27">
                  <c:v>337.18899436699996</c:v>
                </c:pt>
                <c:pt idx="28">
                  <c:v>333.50600986443789</c:v>
                </c:pt>
                <c:pt idx="29">
                  <c:v>324.04999999999995</c:v>
                </c:pt>
                <c:pt idx="30">
                  <c:v>318.10600236499999</c:v>
                </c:pt>
                <c:pt idx="31">
                  <c:v>312.078003352</c:v>
                </c:pt>
                <c:pt idx="32">
                  <c:v>312.078003352</c:v>
                </c:pt>
                <c:pt idx="33">
                  <c:v>299.58200316099999</c:v>
                </c:pt>
                <c:pt idx="34">
                  <c:v>292.71899843200003</c:v>
                </c:pt>
                <c:pt idx="35">
                  <c:v>286.64699412499999</c:v>
                </c:pt>
                <c:pt idx="36">
                  <c:v>280.605003845</c:v>
                </c:pt>
                <c:pt idx="37">
                  <c:v>274.21999999999997</c:v>
                </c:pt>
                <c:pt idx="38">
                  <c:v>267.58499765396107</c:v>
                </c:pt>
                <c:pt idx="39">
                  <c:v>260.96199703900004</c:v>
                </c:pt>
                <c:pt idx="40">
                  <c:v>253.29600046600001</c:v>
                </c:pt>
                <c:pt idx="41">
                  <c:v>246.06</c:v>
                </c:pt>
                <c:pt idx="42">
                  <c:v>241.02699661899999</c:v>
                </c:pt>
                <c:pt idx="43">
                  <c:v>234.19399833099999</c:v>
                </c:pt>
              </c:numCache>
            </c:numRef>
          </c:val>
          <c:smooth val="0"/>
          <c:extLst>
            <c:ext xmlns:c16="http://schemas.microsoft.com/office/drawing/2014/chart" uri="{C3380CC4-5D6E-409C-BE32-E72D297353CC}">
              <c16:uniqueId val="{00000000-E1BF-4057-9ADB-D6C5569EB743}"/>
            </c:ext>
          </c:extLst>
        </c:ser>
        <c:dLbls>
          <c:showLegendKey val="0"/>
          <c:showVal val="0"/>
          <c:showCatName val="0"/>
          <c:showSerName val="0"/>
          <c:showPercent val="0"/>
          <c:showBubbleSize val="0"/>
        </c:dLbls>
        <c:marker val="1"/>
        <c:smooth val="0"/>
        <c:axId val="351077120"/>
        <c:axId val="351079424"/>
      </c:lineChart>
      <c:catAx>
        <c:axId val="351077120"/>
        <c:scaling>
          <c:orientation val="minMax"/>
        </c:scaling>
        <c:delete val="0"/>
        <c:axPos val="b"/>
        <c:title>
          <c:tx>
            <c:rich>
              <a:bodyPr/>
              <a:lstStyle/>
              <a:p>
                <a:pPr>
                  <a:defRPr/>
                </a:pPr>
                <a:r>
                  <a:rPr lang="en-US"/>
                  <a:t>Semanas</a:t>
                </a:r>
              </a:p>
            </c:rich>
          </c:tx>
          <c:layout>
            <c:manualLayout>
              <c:xMode val="edge"/>
              <c:yMode val="edge"/>
              <c:x val="0.93219880839012859"/>
              <c:y val="0.9385361177678877"/>
            </c:manualLayout>
          </c:layout>
          <c:overlay val="0"/>
        </c:title>
        <c:numFmt formatCode="#,##0_ ;\-#,##0\ " sourceLinked="1"/>
        <c:majorTickMark val="out"/>
        <c:minorTickMark val="none"/>
        <c:tickLblPos val="nextTo"/>
        <c:crossAx val="351079424"/>
        <c:crosses val="autoZero"/>
        <c:auto val="1"/>
        <c:lblAlgn val="ctr"/>
        <c:lblOffset val="100"/>
        <c:tickLblSkip val="3"/>
        <c:tickMarkSkip val="1"/>
        <c:noMultiLvlLbl val="0"/>
      </c:catAx>
      <c:valAx>
        <c:axId val="351079424"/>
        <c:scaling>
          <c:orientation val="minMax"/>
          <c:min val="0"/>
        </c:scaling>
        <c:delete val="0"/>
        <c:axPos val="l"/>
        <c:majorGridlines/>
        <c:title>
          <c:tx>
            <c:rich>
              <a:bodyPr rot="0" vert="horz"/>
              <a:lstStyle/>
              <a:p>
                <a:pPr>
                  <a:defRPr/>
                </a:pPr>
                <a:r>
                  <a:rPr lang="en-US"/>
                  <a:t>Millones de m3</a:t>
                </a:r>
              </a:p>
            </c:rich>
          </c:tx>
          <c:layout>
            <c:manualLayout>
              <c:xMode val="edge"/>
              <c:yMode val="edge"/>
              <c:x val="0"/>
              <c:y val="0.15215207964870597"/>
            </c:manualLayout>
          </c:layout>
          <c:overlay val="0"/>
        </c:title>
        <c:numFmt formatCode="0.00" sourceLinked="1"/>
        <c:majorTickMark val="out"/>
        <c:minorTickMark val="none"/>
        <c:tickLblPos val="nextTo"/>
        <c:crossAx val="351077120"/>
        <c:crosses val="autoZero"/>
        <c:crossBetween val="between"/>
      </c:valAx>
    </c:plotArea>
    <c:legend>
      <c:legendPos val="b"/>
      <c:layout>
        <c:manualLayout>
          <c:xMode val="edge"/>
          <c:yMode val="edge"/>
          <c:x val="0.26516304240963051"/>
          <c:y val="0.83562668221925773"/>
          <c:w val="0.41395477365138017"/>
          <c:h val="3.8915238676511595E-2"/>
        </c:manualLayout>
      </c:layout>
      <c:overlay val="0"/>
    </c:legend>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36040583355125455"/>
          <c:y val="0.23813283854470019"/>
          <c:w val="0.49963526112427425"/>
          <c:h val="0.52999295536363078"/>
        </c:manualLayout>
      </c:layout>
      <c:pieChart>
        <c:varyColors val="1"/>
        <c:ser>
          <c:idx val="0"/>
          <c:order val="0"/>
          <c:dPt>
            <c:idx val="0"/>
            <c:bubble3D val="0"/>
            <c:spPr>
              <a:solidFill>
                <a:srgbClr val="0077A5"/>
              </a:solidFill>
              <a:ln w="19050">
                <a:solidFill>
                  <a:schemeClr val="lt1"/>
                </a:solidFill>
              </a:ln>
              <a:effectLst/>
            </c:spPr>
            <c:extLst>
              <c:ext xmlns:c16="http://schemas.microsoft.com/office/drawing/2014/chart" uri="{C3380CC4-5D6E-409C-BE32-E72D297353CC}">
                <c16:uniqueId val="{00000001-3BB0-40B2-8E5F-F2E8765A4A2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BB0-40B2-8E5F-F2E8765A4A22}"/>
              </c:ext>
            </c:extLst>
          </c:dPt>
          <c:dPt>
            <c:idx val="2"/>
            <c:bubble3D val="0"/>
            <c:spPr>
              <a:solidFill>
                <a:srgbClr val="996600"/>
              </a:solidFill>
              <a:ln w="19050">
                <a:solidFill>
                  <a:schemeClr val="lt1"/>
                </a:solidFill>
              </a:ln>
              <a:effectLst/>
            </c:spPr>
            <c:extLst>
              <c:ext xmlns:c16="http://schemas.microsoft.com/office/drawing/2014/chart" uri="{C3380CC4-5D6E-409C-BE32-E72D297353CC}">
                <c16:uniqueId val="{00000005-3BB0-40B2-8E5F-F2E8765A4A22}"/>
              </c:ext>
            </c:extLst>
          </c:dPt>
          <c:dPt>
            <c:idx val="3"/>
            <c:bubble3D val="0"/>
            <c:spPr>
              <a:solidFill>
                <a:srgbClr val="FF0000"/>
              </a:solidFill>
              <a:ln w="19050">
                <a:solidFill>
                  <a:schemeClr val="lt1"/>
                </a:solidFill>
              </a:ln>
              <a:effectLst/>
            </c:spPr>
            <c:extLst>
              <c:ext xmlns:c16="http://schemas.microsoft.com/office/drawing/2014/chart" uri="{C3380CC4-5D6E-409C-BE32-E72D297353CC}">
                <c16:uniqueId val="{00000007-3BB0-40B2-8E5F-F2E8765A4A22}"/>
              </c:ext>
            </c:extLst>
          </c:dPt>
          <c:dPt>
            <c:idx val="4"/>
            <c:bubble3D val="0"/>
            <c:spPr>
              <a:solidFill>
                <a:schemeClr val="accent6"/>
              </a:solidFill>
              <a:ln w="19050">
                <a:solidFill>
                  <a:schemeClr val="lt1"/>
                </a:solidFill>
              </a:ln>
              <a:effectLst/>
            </c:spPr>
            <c:extLst>
              <c:ext xmlns:c16="http://schemas.microsoft.com/office/drawing/2014/chart" uri="{C3380CC4-5D6E-409C-BE32-E72D297353CC}">
                <c16:uniqueId val="{00000009-3BB0-40B2-8E5F-F2E8765A4A22}"/>
              </c:ext>
            </c:extLst>
          </c:dPt>
          <c:dPt>
            <c:idx val="5"/>
            <c:bubble3D val="0"/>
            <c:spPr>
              <a:solidFill>
                <a:srgbClr val="6DA6D9"/>
              </a:solidFill>
              <a:ln w="19050">
                <a:solidFill>
                  <a:schemeClr val="lt1"/>
                </a:solidFill>
              </a:ln>
              <a:effectLst/>
            </c:spPr>
            <c:extLst>
              <c:ext xmlns:c16="http://schemas.microsoft.com/office/drawing/2014/chart" uri="{C3380CC4-5D6E-409C-BE32-E72D297353CC}">
                <c16:uniqueId val="{0000000B-3BB0-40B2-8E5F-F2E8765A4A22}"/>
              </c:ext>
            </c:extLst>
          </c:dPt>
          <c:dPt>
            <c:idx val="6"/>
            <c:bubble3D val="0"/>
            <c:spPr>
              <a:solidFill>
                <a:schemeClr val="accent4"/>
              </a:solidFill>
              <a:ln w="19050">
                <a:solidFill>
                  <a:schemeClr val="lt1"/>
                </a:solidFill>
              </a:ln>
              <a:effectLst/>
            </c:spPr>
            <c:extLst>
              <c:ext xmlns:c16="http://schemas.microsoft.com/office/drawing/2014/chart" uri="{C3380CC4-5D6E-409C-BE32-E72D297353CC}">
                <c16:uniqueId val="{0000000D-3BB0-40B2-8E5F-F2E8765A4A22}"/>
              </c:ext>
            </c:extLst>
          </c:dPt>
          <c:dLbls>
            <c:dLbl>
              <c:idx val="0"/>
              <c:layout>
                <c:manualLayout>
                  <c:x val="4.635668700469868E-2"/>
                  <c:y val="4.0032671581271252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3BB0-40B2-8E5F-F2E8765A4A22}"/>
                </c:ext>
              </c:extLst>
            </c:dLbl>
            <c:dLbl>
              <c:idx val="1"/>
              <c:layout>
                <c:manualLayout>
                  <c:x val="-3.3920696125447666E-2"/>
                  <c:y val="1.7463209802583774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3BB0-40B2-8E5F-F2E8765A4A22}"/>
                </c:ext>
              </c:extLst>
            </c:dLbl>
            <c:dLbl>
              <c:idx val="2"/>
              <c:layout>
                <c:manualLayout>
                  <c:x val="-0.16162600135232696"/>
                  <c:y val="-2.1026852822569463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3BB0-40B2-8E5F-F2E8765A4A22}"/>
                </c:ext>
              </c:extLst>
            </c:dLbl>
            <c:dLbl>
              <c:idx val="3"/>
              <c:layout>
                <c:manualLayout>
                  <c:x val="-0.101265644746397"/>
                  <c:y val="-9.4799727089677668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7-3BB0-40B2-8E5F-F2E8765A4A22}"/>
                </c:ext>
              </c:extLst>
            </c:dLbl>
            <c:dLbl>
              <c:idx val="4"/>
              <c:layout>
                <c:manualLayout>
                  <c:x val="3.889367354275558E-2"/>
                  <c:y val="-0.11960827310117597"/>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9-3BB0-40B2-8E5F-F2E8765A4A22}"/>
                </c:ext>
              </c:extLst>
            </c:dLbl>
            <c:dLbl>
              <c:idx val="5"/>
              <c:layout>
                <c:manualLayout>
                  <c:x val="0.15385104116607673"/>
                  <c:y val="-0.11226848385003245"/>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B-3BB0-40B2-8E5F-F2E8765A4A22}"/>
                </c:ext>
              </c:extLst>
            </c:dLbl>
            <c:dLbl>
              <c:idx val="6"/>
              <c:layout>
                <c:manualLayout>
                  <c:x val="0.1886024199836116"/>
                  <c:y val="-6.5504024317863188E-3"/>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D-3BB0-40B2-8E5F-F2E8765A4A22}"/>
                </c:ext>
              </c:extLst>
            </c:dLbl>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Resumen'!$P$23:$P$29</c:f>
              <c:numCache>
                <c:formatCode>0.00</c:formatCode>
                <c:ptCount val="7"/>
                <c:pt idx="0">
                  <c:v>2372.0296140100004</c:v>
                </c:pt>
                <c:pt idx="1">
                  <c:v>1742.6842013925002</c:v>
                </c:pt>
                <c:pt idx="2">
                  <c:v>0</c:v>
                </c:pt>
                <c:pt idx="3">
                  <c:v>1.4536476700000001</c:v>
                </c:pt>
                <c:pt idx="4">
                  <c:v>13.903071712500001</c:v>
                </c:pt>
                <c:pt idx="5">
                  <c:v>149.6194183675</c:v>
                </c:pt>
                <c:pt idx="6">
                  <c:v>74.899055544999996</c:v>
                </c:pt>
              </c:numCache>
            </c:numRef>
          </c:val>
          <c:extLst>
            <c:ext xmlns:c16="http://schemas.microsoft.com/office/drawing/2014/chart" uri="{C3380CC4-5D6E-409C-BE32-E72D297353CC}">
              <c16:uniqueId val="{0000000E-3BB0-40B2-8E5F-F2E8765A4A22}"/>
            </c:ext>
          </c:extLst>
        </c:ser>
        <c:ser>
          <c:idx val="1"/>
          <c:order val="1"/>
          <c:tx>
            <c:strRef>
              <c:f>'1. Resumen'!$N$24</c:f>
              <c:strCache>
                <c:ptCount val="1"/>
                <c:pt idx="0">
                  <c:v>Gas Natural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0-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Resumen'!$O$24</c:f>
              <c:numCache>
                <c:formatCode>0.00</c:formatCode>
                <c:ptCount val="1"/>
                <c:pt idx="0">
                  <c:v>2074.23717308</c:v>
                </c:pt>
              </c:numCache>
            </c:numRef>
          </c:val>
          <c:extLst>
            <c:ext xmlns:c16="http://schemas.microsoft.com/office/drawing/2014/chart" uri="{C3380CC4-5D6E-409C-BE32-E72D297353CC}">
              <c16:uniqueId val="{00000011-3BB0-40B2-8E5F-F2E8765A4A22}"/>
            </c:ext>
          </c:extLst>
        </c:ser>
        <c:ser>
          <c:idx val="2"/>
          <c:order val="2"/>
          <c:tx>
            <c:strRef>
              <c:f>'1. Resumen'!$N$25</c:f>
              <c:strCache>
                <c:ptCount val="1"/>
                <c:pt idx="0">
                  <c:v>Carbón</c:v>
                </c:pt>
              </c:strCache>
            </c:strRef>
          </c:tx>
          <c:dPt>
            <c:idx val="0"/>
            <c:bubble3D val="0"/>
            <c:spPr>
              <a:solidFill>
                <a:srgbClr val="996600"/>
              </a:solidFill>
              <a:ln w="19050">
                <a:solidFill>
                  <a:schemeClr val="lt1"/>
                </a:solidFill>
              </a:ln>
              <a:effectLst/>
            </c:spPr>
            <c:extLst>
              <c:ext xmlns:c16="http://schemas.microsoft.com/office/drawing/2014/chart" uri="{C3380CC4-5D6E-409C-BE32-E72D297353CC}">
                <c16:uniqueId val="{00000013-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Resumen'!$O$25</c:f>
              <c:numCache>
                <c:formatCode>0.00</c:formatCode>
                <c:ptCount val="1"/>
                <c:pt idx="0">
                  <c:v>8.6008893574999998</c:v>
                </c:pt>
              </c:numCache>
            </c:numRef>
          </c:val>
          <c:extLst>
            <c:ext xmlns:c16="http://schemas.microsoft.com/office/drawing/2014/chart" uri="{C3380CC4-5D6E-409C-BE32-E72D297353CC}">
              <c16:uniqueId val="{00000014-3BB0-40B2-8E5F-F2E8765A4A22}"/>
            </c:ext>
          </c:extLst>
        </c:ser>
        <c:ser>
          <c:idx val="3"/>
          <c:order val="3"/>
          <c:tx>
            <c:strRef>
              <c:f>'1. Resumen'!$N$26</c:f>
              <c:strCache>
                <c:ptCount val="1"/>
                <c:pt idx="0">
                  <c:v>Diesel2/Residual500/Residual 6</c:v>
                </c:pt>
              </c:strCache>
            </c:strRef>
          </c:tx>
          <c:dPt>
            <c:idx val="0"/>
            <c:bubble3D val="0"/>
            <c:spPr>
              <a:solidFill>
                <a:srgbClr val="FF0000"/>
              </a:solidFill>
              <a:ln w="19050">
                <a:solidFill>
                  <a:schemeClr val="lt1"/>
                </a:solidFill>
              </a:ln>
              <a:effectLst/>
            </c:spPr>
            <c:extLst>
              <c:ext xmlns:c16="http://schemas.microsoft.com/office/drawing/2014/chart" uri="{C3380CC4-5D6E-409C-BE32-E72D297353CC}">
                <c16:uniqueId val="{00000016-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Resumen'!$O$26</c:f>
              <c:numCache>
                <c:formatCode>0.00</c:formatCode>
                <c:ptCount val="1"/>
                <c:pt idx="0">
                  <c:v>8.3248968874999996</c:v>
                </c:pt>
              </c:numCache>
            </c:numRef>
          </c:val>
          <c:extLst>
            <c:ext xmlns:c16="http://schemas.microsoft.com/office/drawing/2014/chart" uri="{C3380CC4-5D6E-409C-BE32-E72D297353CC}">
              <c16:uniqueId val="{00000017-3BB0-40B2-8E5F-F2E8765A4A22}"/>
            </c:ext>
          </c:extLst>
        </c:ser>
        <c:ser>
          <c:idx val="4"/>
          <c:order val="4"/>
          <c:tx>
            <c:strRef>
              <c:f>'1. Resumen'!$N$27</c:f>
              <c:strCache>
                <c:ptCount val="1"/>
                <c:pt idx="0">
                  <c:v>Bagazo / Biogás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9-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Resumen'!$O$27</c:f>
              <c:numCache>
                <c:formatCode>0.00</c:formatCode>
                <c:ptCount val="1"/>
                <c:pt idx="0">
                  <c:v>26.186359665000001</c:v>
                </c:pt>
              </c:numCache>
            </c:numRef>
          </c:val>
          <c:extLst>
            <c:ext xmlns:c16="http://schemas.microsoft.com/office/drawing/2014/chart" uri="{C3380CC4-5D6E-409C-BE32-E72D297353CC}">
              <c16:uniqueId val="{0000001A-3BB0-40B2-8E5F-F2E8765A4A22}"/>
            </c:ext>
          </c:extLst>
        </c:ser>
        <c:ser>
          <c:idx val="5"/>
          <c:order val="5"/>
          <c:tx>
            <c:strRef>
              <c:f>'1. Resumen'!$N$28</c:f>
              <c:strCache>
                <c:ptCount val="1"/>
                <c:pt idx="0">
                  <c:v>Eólico</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C-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Resumen'!$O$28</c:f>
              <c:numCache>
                <c:formatCode>0.00</c:formatCode>
                <c:ptCount val="1"/>
                <c:pt idx="0">
                  <c:v>162.04094952</c:v>
                </c:pt>
              </c:numCache>
            </c:numRef>
          </c:val>
          <c:extLst>
            <c:ext xmlns:c16="http://schemas.microsoft.com/office/drawing/2014/chart" uri="{C3380CC4-5D6E-409C-BE32-E72D297353CC}">
              <c16:uniqueId val="{0000001D-3BB0-40B2-8E5F-F2E8765A4A22}"/>
            </c:ext>
          </c:extLst>
        </c:ser>
        <c:ser>
          <c:idx val="6"/>
          <c:order val="6"/>
          <c:tx>
            <c:strRef>
              <c:f>'1. Resumen'!$N$29</c:f>
              <c:strCache>
                <c:ptCount val="1"/>
                <c:pt idx="0">
                  <c:v>Solar</c:v>
                </c:pt>
              </c:strCache>
            </c:strRef>
          </c:tx>
          <c:dPt>
            <c:idx val="0"/>
            <c:bubble3D val="0"/>
            <c:spPr>
              <a:solidFill>
                <a:srgbClr val="6DA6D9"/>
              </a:solidFill>
              <a:ln w="19050">
                <a:solidFill>
                  <a:schemeClr val="lt1"/>
                </a:solidFill>
              </a:ln>
              <a:effectLst/>
            </c:spPr>
            <c:extLst>
              <c:ext xmlns:c16="http://schemas.microsoft.com/office/drawing/2014/chart" uri="{C3380CC4-5D6E-409C-BE32-E72D297353CC}">
                <c16:uniqueId val="{0000001F-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Resumen'!$O$29</c:f>
              <c:numCache>
                <c:formatCode>0.00</c:formatCode>
                <c:ptCount val="1"/>
                <c:pt idx="0">
                  <c:v>77.070130602500001</c:v>
                </c:pt>
              </c:numCache>
            </c:numRef>
          </c:val>
          <c:extLst>
            <c:ext xmlns:c16="http://schemas.microsoft.com/office/drawing/2014/chart" uri="{C3380CC4-5D6E-409C-BE32-E72D297353CC}">
              <c16:uniqueId val="{00000020-3BB0-40B2-8E5F-F2E8765A4A22}"/>
            </c:ext>
          </c:extLst>
        </c:ser>
        <c:dLbls>
          <c:dLblPos val="inEnd"/>
          <c:showLegendKey val="0"/>
          <c:showVal val="0"/>
          <c:showCatName val="0"/>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s-PE"/>
    </a:p>
  </c:txPr>
  <c:printSettings>
    <c:headerFooter/>
    <c:pageMargins b="0.75" l="0.7" r="0.7" t="0.75" header="0.3" footer="0.3"/>
    <c:pageSetup orientation="portrait"/>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CAUDALES DE LOS RÍOS SANTA, CHANCAY Y PATIVILCA</a:t>
            </a:r>
          </a:p>
        </c:rich>
      </c:tx>
      <c:layout>
        <c:manualLayout>
          <c:xMode val="edge"/>
          <c:yMode val="edge"/>
          <c:x val="0.1875974425947341"/>
          <c:y val="2.235452032649643E-2"/>
        </c:manualLayout>
      </c:layout>
      <c:overlay val="1"/>
    </c:title>
    <c:autoTitleDeleted val="0"/>
    <c:plotArea>
      <c:layout>
        <c:manualLayout>
          <c:layoutTarget val="inner"/>
          <c:xMode val="edge"/>
          <c:yMode val="edge"/>
          <c:x val="5.2267172896197304E-2"/>
          <c:y val="0.1448309826795659"/>
          <c:w val="0.92712993763351348"/>
          <c:h val="0.65283840646682012"/>
        </c:manualLayout>
      </c:layout>
      <c:areaChart>
        <c:grouping val="standard"/>
        <c:varyColors val="0"/>
        <c:ser>
          <c:idx val="2"/>
          <c:order val="0"/>
          <c:tx>
            <c:strRef>
              <c:f>'12.Caudales'!$N$3</c:f>
              <c:strCache>
                <c:ptCount val="1"/>
                <c:pt idx="0">
                  <c:v>SANTA</c:v>
                </c:pt>
              </c:strCache>
            </c:strRef>
          </c:tx>
          <c:spPr>
            <a:solidFill>
              <a:schemeClr val="accent5"/>
            </a:solidFill>
            <a:ln>
              <a:solidFill>
                <a:schemeClr val="accent1">
                  <a:alpha val="78000"/>
                </a:schemeClr>
              </a:solidFill>
            </a:ln>
          </c:spPr>
          <c:cat>
            <c:multiLvlStrRef>
              <c:f>'12.Caudales'!$J$4:$K$203</c:f>
              <c:multiLvlStrCache>
                <c:ptCount val="200"/>
                <c:lvl>
                  <c:pt idx="0">
                    <c:v>1</c:v>
                  </c:pt>
                  <c:pt idx="3">
                    <c:v>4</c:v>
                  </c:pt>
                  <c:pt idx="7">
                    <c:v>8</c:v>
                  </c:pt>
                  <c:pt idx="11">
                    <c:v>12</c:v>
                  </c:pt>
                  <c:pt idx="15">
                    <c:v>16</c:v>
                  </c:pt>
                  <c:pt idx="19">
                    <c:v>20</c:v>
                  </c:pt>
                  <c:pt idx="23">
                    <c:v>24</c:v>
                  </c:pt>
                  <c:pt idx="27">
                    <c:v>28</c:v>
                  </c:pt>
                  <c:pt idx="31">
                    <c:v>32</c:v>
                  </c:pt>
                  <c:pt idx="35">
                    <c:v>36</c:v>
                  </c:pt>
                  <c:pt idx="38">
                    <c:v>39</c:v>
                  </c:pt>
                  <c:pt idx="42">
                    <c:v>43</c:v>
                  </c:pt>
                  <c:pt idx="47">
                    <c:v>48</c:v>
                  </c:pt>
                  <c:pt idx="52">
                    <c:v>1</c:v>
                  </c:pt>
                  <c:pt idx="55">
                    <c:v>4</c:v>
                  </c:pt>
                  <c:pt idx="59">
                    <c:v>8</c:v>
                  </c:pt>
                  <c:pt idx="63">
                    <c:v>12</c:v>
                  </c:pt>
                  <c:pt idx="67">
                    <c:v>16</c:v>
                  </c:pt>
                  <c:pt idx="71">
                    <c:v>20</c:v>
                  </c:pt>
                  <c:pt idx="75">
                    <c:v>24</c:v>
                  </c:pt>
                  <c:pt idx="79">
                    <c:v>28</c:v>
                  </c:pt>
                  <c:pt idx="83">
                    <c:v>32</c:v>
                  </c:pt>
                  <c:pt idx="87">
                    <c:v>36</c:v>
                  </c:pt>
                  <c:pt idx="90">
                    <c:v>39</c:v>
                  </c:pt>
                  <c:pt idx="94">
                    <c:v>43</c:v>
                  </c:pt>
                  <c:pt idx="99">
                    <c:v>48</c:v>
                  </c:pt>
                  <c:pt idx="103">
                    <c:v>52</c:v>
                  </c:pt>
                  <c:pt idx="104">
                    <c:v>1</c:v>
                  </c:pt>
                  <c:pt idx="107">
                    <c:v>4</c:v>
                  </c:pt>
                  <c:pt idx="111">
                    <c:v>8</c:v>
                  </c:pt>
                  <c:pt idx="115">
                    <c:v>12</c:v>
                  </c:pt>
                  <c:pt idx="119">
                    <c:v>16</c:v>
                  </c:pt>
                  <c:pt idx="123">
                    <c:v>20</c:v>
                  </c:pt>
                  <c:pt idx="127">
                    <c:v>24</c:v>
                  </c:pt>
                  <c:pt idx="131">
                    <c:v>28</c:v>
                  </c:pt>
                  <c:pt idx="135">
                    <c:v>32</c:v>
                  </c:pt>
                  <c:pt idx="139">
                    <c:v>36</c:v>
                  </c:pt>
                  <c:pt idx="143">
                    <c:v>40</c:v>
                  </c:pt>
                  <c:pt idx="147">
                    <c:v>44</c:v>
                  </c:pt>
                  <c:pt idx="151">
                    <c:v>48</c:v>
                  </c:pt>
                  <c:pt idx="155">
                    <c:v>52</c:v>
                  </c:pt>
                  <c:pt idx="156">
                    <c:v>1</c:v>
                  </c:pt>
                  <c:pt idx="159">
                    <c:v>4</c:v>
                  </c:pt>
                  <c:pt idx="163">
                    <c:v>8</c:v>
                  </c:pt>
                  <c:pt idx="167">
                    <c:v>12</c:v>
                  </c:pt>
                  <c:pt idx="171">
                    <c:v>16</c:v>
                  </c:pt>
                  <c:pt idx="177">
                    <c:v>22</c:v>
                  </c:pt>
                  <c:pt idx="181">
                    <c:v>26</c:v>
                  </c:pt>
                  <c:pt idx="185">
                    <c:v>30</c:v>
                  </c:pt>
                  <c:pt idx="189">
                    <c:v>34</c:v>
                  </c:pt>
                  <c:pt idx="195">
                    <c:v>40</c:v>
                  </c:pt>
                  <c:pt idx="199">
                    <c:v>44</c:v>
                  </c:pt>
                </c:lvl>
                <c:lvl>
                  <c:pt idx="0">
                    <c:v>2016</c:v>
                  </c:pt>
                  <c:pt idx="52">
                    <c:v>2017</c:v>
                  </c:pt>
                  <c:pt idx="104">
                    <c:v>2018</c:v>
                  </c:pt>
                  <c:pt idx="156">
                    <c:v>2019</c:v>
                  </c:pt>
                </c:lvl>
              </c:multiLvlStrCache>
            </c:multiLvlStrRef>
          </c:cat>
          <c:val>
            <c:numRef>
              <c:f>'12.Caudales'!$N$4:$N$203</c:f>
              <c:numCache>
                <c:formatCode>0.0</c:formatCode>
                <c:ptCount val="200"/>
                <c:pt idx="0">
                  <c:v>96.75</c:v>
                </c:pt>
                <c:pt idx="1">
                  <c:v>76.510000000000005</c:v>
                </c:pt>
                <c:pt idx="2">
                  <c:v>80.096000000000004</c:v>
                </c:pt>
                <c:pt idx="3">
                  <c:v>77.09</c:v>
                </c:pt>
                <c:pt idx="4">
                  <c:v>140.12</c:v>
                </c:pt>
                <c:pt idx="5">
                  <c:v>144.66999999999999</c:v>
                </c:pt>
                <c:pt idx="6">
                  <c:v>117.32</c:v>
                </c:pt>
                <c:pt idx="7">
                  <c:v>140.31</c:v>
                </c:pt>
                <c:pt idx="8">
                  <c:v>268.94750210000001</c:v>
                </c:pt>
                <c:pt idx="9">
                  <c:v>243.71150207519463</c:v>
                </c:pt>
                <c:pt idx="10">
                  <c:v>154.21</c:v>
                </c:pt>
                <c:pt idx="11">
                  <c:v>116.62271445138057</c:v>
                </c:pt>
                <c:pt idx="12">
                  <c:v>120.78800201416</c:v>
                </c:pt>
                <c:pt idx="13">
                  <c:v>125.66285814557708</c:v>
                </c:pt>
                <c:pt idx="14">
                  <c:v>127.68985639299636</c:v>
                </c:pt>
                <c:pt idx="15">
                  <c:v>97.4</c:v>
                </c:pt>
                <c:pt idx="16">
                  <c:v>85.487143380301248</c:v>
                </c:pt>
                <c:pt idx="17">
                  <c:v>62.369998931884716</c:v>
                </c:pt>
                <c:pt idx="18">
                  <c:v>58.684285300118525</c:v>
                </c:pt>
                <c:pt idx="19">
                  <c:v>54</c:v>
                </c:pt>
                <c:pt idx="20">
                  <c:v>50.756999969482365</c:v>
                </c:pt>
                <c:pt idx="21">
                  <c:v>46.59</c:v>
                </c:pt>
                <c:pt idx="22">
                  <c:v>40.29</c:v>
                </c:pt>
                <c:pt idx="23">
                  <c:v>35.630000000000003</c:v>
                </c:pt>
                <c:pt idx="24">
                  <c:v>34.608428410000002</c:v>
                </c:pt>
                <c:pt idx="25">
                  <c:v>34.074285510000003</c:v>
                </c:pt>
                <c:pt idx="26">
                  <c:v>29.599571770000001</c:v>
                </c:pt>
                <c:pt idx="27">
                  <c:v>29.3955713</c:v>
                </c:pt>
                <c:pt idx="28">
                  <c:v>32.468857079999999</c:v>
                </c:pt>
                <c:pt idx="29">
                  <c:v>32.112285890000003</c:v>
                </c:pt>
                <c:pt idx="30">
                  <c:v>29.132714407784558</c:v>
                </c:pt>
                <c:pt idx="31">
                  <c:v>34.150143489999998</c:v>
                </c:pt>
                <c:pt idx="32">
                  <c:v>35.225571223667643</c:v>
                </c:pt>
                <c:pt idx="33">
                  <c:v>35.168570930000001</c:v>
                </c:pt>
                <c:pt idx="34">
                  <c:v>37.824428560000001</c:v>
                </c:pt>
                <c:pt idx="35">
                  <c:v>39.78</c:v>
                </c:pt>
                <c:pt idx="36">
                  <c:v>44.25</c:v>
                </c:pt>
                <c:pt idx="37">
                  <c:v>41.311858039999997</c:v>
                </c:pt>
                <c:pt idx="38">
                  <c:v>41.13</c:v>
                </c:pt>
                <c:pt idx="39">
                  <c:v>46.466000694285704</c:v>
                </c:pt>
                <c:pt idx="40">
                  <c:v>37.273714882986837</c:v>
                </c:pt>
                <c:pt idx="41">
                  <c:v>48.572000228571433</c:v>
                </c:pt>
                <c:pt idx="42">
                  <c:v>35.32</c:v>
                </c:pt>
                <c:pt idx="43">
                  <c:v>36.83</c:v>
                </c:pt>
                <c:pt idx="44">
                  <c:v>39.520000000000003</c:v>
                </c:pt>
                <c:pt idx="45">
                  <c:v>53.38</c:v>
                </c:pt>
                <c:pt idx="46">
                  <c:v>61.853000000000002</c:v>
                </c:pt>
                <c:pt idx="47">
                  <c:v>65.330427987142869</c:v>
                </c:pt>
                <c:pt idx="48">
                  <c:v>66.680000000000007</c:v>
                </c:pt>
                <c:pt idx="49">
                  <c:v>61.31</c:v>
                </c:pt>
                <c:pt idx="50">
                  <c:v>70.790000000000006</c:v>
                </c:pt>
                <c:pt idx="51">
                  <c:v>77.434859137142865</c:v>
                </c:pt>
                <c:pt idx="52">
                  <c:v>103.58</c:v>
                </c:pt>
                <c:pt idx="53">
                  <c:v>105.01</c:v>
                </c:pt>
                <c:pt idx="54">
                  <c:v>137.41</c:v>
                </c:pt>
                <c:pt idx="55">
                  <c:v>127.83</c:v>
                </c:pt>
                <c:pt idx="56">
                  <c:v>97.31</c:v>
                </c:pt>
                <c:pt idx="57">
                  <c:v>123.44</c:v>
                </c:pt>
                <c:pt idx="58">
                  <c:v>145.02000000000001</c:v>
                </c:pt>
                <c:pt idx="59">
                  <c:v>175.03</c:v>
                </c:pt>
                <c:pt idx="60">
                  <c:v>206.14</c:v>
                </c:pt>
                <c:pt idx="61">
                  <c:v>270.17</c:v>
                </c:pt>
                <c:pt idx="62">
                  <c:v>376.42</c:v>
                </c:pt>
                <c:pt idx="63">
                  <c:v>351.57</c:v>
                </c:pt>
                <c:pt idx="64">
                  <c:v>384.37</c:v>
                </c:pt>
                <c:pt idx="65">
                  <c:v>337.84</c:v>
                </c:pt>
                <c:pt idx="66">
                  <c:v>282.32</c:v>
                </c:pt>
                <c:pt idx="67">
                  <c:v>191.65</c:v>
                </c:pt>
                <c:pt idx="68">
                  <c:v>160.35</c:v>
                </c:pt>
                <c:pt idx="69">
                  <c:v>136.65</c:v>
                </c:pt>
                <c:pt idx="70">
                  <c:v>135.97</c:v>
                </c:pt>
                <c:pt idx="71">
                  <c:v>135.66</c:v>
                </c:pt>
                <c:pt idx="72">
                  <c:v>113.82</c:v>
                </c:pt>
                <c:pt idx="73">
                  <c:v>64.03</c:v>
                </c:pt>
                <c:pt idx="74">
                  <c:v>53.15</c:v>
                </c:pt>
                <c:pt idx="75">
                  <c:v>45.98</c:v>
                </c:pt>
                <c:pt idx="76">
                  <c:v>38.68</c:v>
                </c:pt>
                <c:pt idx="77">
                  <c:v>34.68</c:v>
                </c:pt>
                <c:pt idx="78">
                  <c:v>31.72</c:v>
                </c:pt>
                <c:pt idx="79">
                  <c:v>29.25</c:v>
                </c:pt>
                <c:pt idx="80">
                  <c:v>29.53</c:v>
                </c:pt>
                <c:pt idx="81">
                  <c:v>27.62</c:v>
                </c:pt>
                <c:pt idx="82">
                  <c:v>27.99</c:v>
                </c:pt>
                <c:pt idx="83">
                  <c:v>31.42</c:v>
                </c:pt>
                <c:pt idx="84">
                  <c:v>29.71</c:v>
                </c:pt>
                <c:pt idx="85">
                  <c:v>30.51</c:v>
                </c:pt>
                <c:pt idx="86">
                  <c:v>27.5</c:v>
                </c:pt>
                <c:pt idx="87">
                  <c:v>26.21</c:v>
                </c:pt>
                <c:pt idx="88">
                  <c:v>29.98</c:v>
                </c:pt>
                <c:pt idx="89">
                  <c:v>34.369999999999997</c:v>
                </c:pt>
                <c:pt idx="90">
                  <c:v>42.17</c:v>
                </c:pt>
                <c:pt idx="91">
                  <c:v>37.270000000000003</c:v>
                </c:pt>
                <c:pt idx="92">
                  <c:v>40.04</c:v>
                </c:pt>
                <c:pt idx="93">
                  <c:v>35.79</c:v>
                </c:pt>
                <c:pt idx="94">
                  <c:v>50.36</c:v>
                </c:pt>
                <c:pt idx="95">
                  <c:v>54.94</c:v>
                </c:pt>
                <c:pt idx="96">
                  <c:v>41.16</c:v>
                </c:pt>
                <c:pt idx="97">
                  <c:v>42.65</c:v>
                </c:pt>
                <c:pt idx="98">
                  <c:v>39.76</c:v>
                </c:pt>
                <c:pt idx="99">
                  <c:v>47.388000487142854</c:v>
                </c:pt>
                <c:pt idx="100">
                  <c:v>78.087428497142852</c:v>
                </c:pt>
                <c:pt idx="101">
                  <c:v>69.764142717142846</c:v>
                </c:pt>
                <c:pt idx="102">
                  <c:v>71.14499991142857</c:v>
                </c:pt>
                <c:pt idx="103">
                  <c:v>83.196000228571435</c:v>
                </c:pt>
                <c:pt idx="104">
                  <c:v>69.087142857142865</c:v>
                </c:pt>
                <c:pt idx="105">
                  <c:v>96.785858138571413</c:v>
                </c:pt>
                <c:pt idx="106">
                  <c:v>158.17728531428571</c:v>
                </c:pt>
                <c:pt idx="107">
                  <c:v>167.02357267142858</c:v>
                </c:pt>
                <c:pt idx="108">
                  <c:v>113.19585745142855</c:v>
                </c:pt>
                <c:pt idx="109">
                  <c:v>88.535714287142852</c:v>
                </c:pt>
                <c:pt idx="110">
                  <c:v>99.37822619047617</c:v>
                </c:pt>
                <c:pt idx="111">
                  <c:v>140.28</c:v>
                </c:pt>
                <c:pt idx="112">
                  <c:v>102.99642836285715</c:v>
                </c:pt>
                <c:pt idx="113">
                  <c:v>175.90485927142853</c:v>
                </c:pt>
                <c:pt idx="114">
                  <c:v>169.64671761428571</c:v>
                </c:pt>
                <c:pt idx="115">
                  <c:v>198.22</c:v>
                </c:pt>
                <c:pt idx="116">
                  <c:v>312.6314304857143</c:v>
                </c:pt>
                <c:pt idx="117">
                  <c:v>235.31328691428573</c:v>
                </c:pt>
                <c:pt idx="118">
                  <c:v>294.1721409428572</c:v>
                </c:pt>
                <c:pt idx="119">
                  <c:v>149.18</c:v>
                </c:pt>
                <c:pt idx="120">
                  <c:v>104.35</c:v>
                </c:pt>
                <c:pt idx="121">
                  <c:v>78.038143701428567</c:v>
                </c:pt>
                <c:pt idx="122">
                  <c:v>78.313856942857129</c:v>
                </c:pt>
                <c:pt idx="123">
                  <c:v>130.92628696285712</c:v>
                </c:pt>
                <c:pt idx="124">
                  <c:v>64.449287412857146</c:v>
                </c:pt>
                <c:pt idx="125">
                  <c:v>64.449287412857146</c:v>
                </c:pt>
                <c:pt idx="126">
                  <c:v>39.50100054</c:v>
                </c:pt>
                <c:pt idx="127">
                  <c:v>33.690285274285714</c:v>
                </c:pt>
                <c:pt idx="128">
                  <c:v>30.228428704285715</c:v>
                </c:pt>
                <c:pt idx="129">
                  <c:v>27.872285568571431</c:v>
                </c:pt>
                <c:pt idx="130">
                  <c:v>27.257571358571429</c:v>
                </c:pt>
                <c:pt idx="131">
                  <c:v>27.217285974285712</c:v>
                </c:pt>
                <c:pt idx="132">
                  <c:v>24.955714285714286</c:v>
                </c:pt>
                <c:pt idx="133">
                  <c:v>24.80942862142857</c:v>
                </c:pt>
                <c:pt idx="134">
                  <c:v>25.690999999999999</c:v>
                </c:pt>
                <c:pt idx="135">
                  <c:v>27.630000251428573</c:v>
                </c:pt>
                <c:pt idx="136">
                  <c:v>23.78</c:v>
                </c:pt>
                <c:pt idx="137">
                  <c:v>23.527999878571428</c:v>
                </c:pt>
                <c:pt idx="138">
                  <c:v>23.29</c:v>
                </c:pt>
                <c:pt idx="139">
                  <c:v>23.007142857142856</c:v>
                </c:pt>
                <c:pt idx="140">
                  <c:v>23.173571724285711</c:v>
                </c:pt>
                <c:pt idx="141">
                  <c:v>26.454000201428567</c:v>
                </c:pt>
                <c:pt idx="142">
                  <c:v>23.7</c:v>
                </c:pt>
                <c:pt idx="143">
                  <c:v>23.695143017142858</c:v>
                </c:pt>
                <c:pt idx="144">
                  <c:v>28.113285882132363</c:v>
                </c:pt>
                <c:pt idx="145">
                  <c:v>37.073285511561743</c:v>
                </c:pt>
                <c:pt idx="146">
                  <c:v>70.535571507045162</c:v>
                </c:pt>
                <c:pt idx="147">
                  <c:v>55.183714184285712</c:v>
                </c:pt>
                <c:pt idx="148">
                  <c:v>60.445714132857141</c:v>
                </c:pt>
                <c:pt idx="149">
                  <c:v>57.005714285714291</c:v>
                </c:pt>
                <c:pt idx="150">
                  <c:v>103.00771440714287</c:v>
                </c:pt>
                <c:pt idx="151">
                  <c:v>99.828000734285709</c:v>
                </c:pt>
                <c:pt idx="152">
                  <c:v>60.27571428571428</c:v>
                </c:pt>
                <c:pt idx="153">
                  <c:v>46.701999664285715</c:v>
                </c:pt>
                <c:pt idx="154">
                  <c:v>68.7</c:v>
                </c:pt>
                <c:pt idx="155">
                  <c:v>97.347143448571416</c:v>
                </c:pt>
                <c:pt idx="156">
                  <c:v>78.298570904285711</c:v>
                </c:pt>
                <c:pt idx="157">
                  <c:v>95.081715179999989</c:v>
                </c:pt>
                <c:pt idx="158">
                  <c:v>95.65</c:v>
                </c:pt>
                <c:pt idx="159">
                  <c:v>109.29957036285714</c:v>
                </c:pt>
                <c:pt idx="160">
                  <c:v>149.65083311999999</c:v>
                </c:pt>
                <c:pt idx="161">
                  <c:v>136.57714285714286</c:v>
                </c:pt>
                <c:pt idx="162">
                  <c:v>224.71071514285714</c:v>
                </c:pt>
                <c:pt idx="163">
                  <c:v>198.04342652857142</c:v>
                </c:pt>
                <c:pt idx="164">
                  <c:v>191.0112849857143</c:v>
                </c:pt>
                <c:pt idx="165">
                  <c:v>215.64014109999999</c:v>
                </c:pt>
                <c:pt idx="166">
                  <c:v>236.76099940708642</c:v>
                </c:pt>
                <c:pt idx="167">
                  <c:v>250.8679761904763</c:v>
                </c:pt>
                <c:pt idx="168">
                  <c:v>301.45971681428574</c:v>
                </c:pt>
                <c:pt idx="169">
                  <c:v>253.08542525714284</c:v>
                </c:pt>
                <c:pt idx="170">
                  <c:v>253.08542525714284</c:v>
                </c:pt>
                <c:pt idx="171">
                  <c:v>141.0458592</c:v>
                </c:pt>
                <c:pt idx="172">
                  <c:v>123.86656951428571</c:v>
                </c:pt>
                <c:pt idx="173">
                  <c:v>85.173857551428583</c:v>
                </c:pt>
                <c:pt idx="174">
                  <c:v>71.224285714285699</c:v>
                </c:pt>
                <c:pt idx="175">
                  <c:v>76.857142859999996</c:v>
                </c:pt>
                <c:pt idx="176">
                  <c:v>47.97114345</c:v>
                </c:pt>
                <c:pt idx="177">
                  <c:v>37.624285945285713</c:v>
                </c:pt>
                <c:pt idx="178">
                  <c:v>37.806285858571421</c:v>
                </c:pt>
                <c:pt idx="179">
                  <c:v>35.468714032857143</c:v>
                </c:pt>
                <c:pt idx="180">
                  <c:v>33.200142724285719</c:v>
                </c:pt>
                <c:pt idx="181">
                  <c:v>28.376285825714287</c:v>
                </c:pt>
                <c:pt idx="182">
                  <c:v>28.47</c:v>
                </c:pt>
                <c:pt idx="183">
                  <c:v>28.920333226666667</c:v>
                </c:pt>
                <c:pt idx="184">
                  <c:v>24.422333717346149</c:v>
                </c:pt>
                <c:pt idx="185">
                  <c:v>24.086666666666662</c:v>
                </c:pt>
                <c:pt idx="186">
                  <c:v>22.471285411428575</c:v>
                </c:pt>
                <c:pt idx="187">
                  <c:v>25.212714058571429</c:v>
                </c:pt>
                <c:pt idx="188">
                  <c:v>28.061000278571431</c:v>
                </c:pt>
                <c:pt idx="189">
                  <c:v>28.455856868571431</c:v>
                </c:pt>
                <c:pt idx="190">
                  <c:v>26.646000226666668</c:v>
                </c:pt>
                <c:pt idx="191">
                  <c:v>27.720570974285714</c:v>
                </c:pt>
                <c:pt idx="192">
                  <c:v>27.967571258571429</c:v>
                </c:pt>
                <c:pt idx="193">
                  <c:v>31.354000000000003</c:v>
                </c:pt>
                <c:pt idx="194">
                  <c:v>37.146399307250938</c:v>
                </c:pt>
                <c:pt idx="195">
                  <c:v>29.934999783333328</c:v>
                </c:pt>
                <c:pt idx="196">
                  <c:v>31.668000084285715</c:v>
                </c:pt>
                <c:pt idx="197">
                  <c:v>30.061428571428571</c:v>
                </c:pt>
                <c:pt idx="198">
                  <c:v>48.129999975714291</c:v>
                </c:pt>
                <c:pt idx="199">
                  <c:v>37.781833011666663</c:v>
                </c:pt>
              </c:numCache>
            </c:numRef>
          </c:val>
          <c:extLst>
            <c:ext xmlns:c16="http://schemas.microsoft.com/office/drawing/2014/chart" uri="{C3380CC4-5D6E-409C-BE32-E72D297353CC}">
              <c16:uniqueId val="{00000000-B673-4AFB-8D65-573216AF8130}"/>
            </c:ext>
          </c:extLst>
        </c:ser>
        <c:ser>
          <c:idx val="3"/>
          <c:order val="1"/>
          <c:tx>
            <c:strRef>
              <c:f>'12.Caudales'!$O$3</c:f>
              <c:strCache>
                <c:ptCount val="1"/>
                <c:pt idx="0">
                  <c:v>CHANCAY</c:v>
                </c:pt>
              </c:strCache>
            </c:strRef>
          </c:tx>
          <c:spPr>
            <a:solidFill>
              <a:schemeClr val="accent5">
                <a:lumMod val="40000"/>
                <a:lumOff val="60000"/>
              </a:schemeClr>
            </a:solidFill>
            <a:ln w="25400">
              <a:noFill/>
            </a:ln>
          </c:spPr>
          <c:cat>
            <c:multiLvlStrRef>
              <c:f>'12.Caudales'!$J$4:$K$203</c:f>
              <c:multiLvlStrCache>
                <c:ptCount val="200"/>
                <c:lvl>
                  <c:pt idx="0">
                    <c:v>1</c:v>
                  </c:pt>
                  <c:pt idx="3">
                    <c:v>4</c:v>
                  </c:pt>
                  <c:pt idx="7">
                    <c:v>8</c:v>
                  </c:pt>
                  <c:pt idx="11">
                    <c:v>12</c:v>
                  </c:pt>
                  <c:pt idx="15">
                    <c:v>16</c:v>
                  </c:pt>
                  <c:pt idx="19">
                    <c:v>20</c:v>
                  </c:pt>
                  <c:pt idx="23">
                    <c:v>24</c:v>
                  </c:pt>
                  <c:pt idx="27">
                    <c:v>28</c:v>
                  </c:pt>
                  <c:pt idx="31">
                    <c:v>32</c:v>
                  </c:pt>
                  <c:pt idx="35">
                    <c:v>36</c:v>
                  </c:pt>
                  <c:pt idx="38">
                    <c:v>39</c:v>
                  </c:pt>
                  <c:pt idx="42">
                    <c:v>43</c:v>
                  </c:pt>
                  <c:pt idx="47">
                    <c:v>48</c:v>
                  </c:pt>
                  <c:pt idx="52">
                    <c:v>1</c:v>
                  </c:pt>
                  <c:pt idx="55">
                    <c:v>4</c:v>
                  </c:pt>
                  <c:pt idx="59">
                    <c:v>8</c:v>
                  </c:pt>
                  <c:pt idx="63">
                    <c:v>12</c:v>
                  </c:pt>
                  <c:pt idx="67">
                    <c:v>16</c:v>
                  </c:pt>
                  <c:pt idx="71">
                    <c:v>20</c:v>
                  </c:pt>
                  <c:pt idx="75">
                    <c:v>24</c:v>
                  </c:pt>
                  <c:pt idx="79">
                    <c:v>28</c:v>
                  </c:pt>
                  <c:pt idx="83">
                    <c:v>32</c:v>
                  </c:pt>
                  <c:pt idx="87">
                    <c:v>36</c:v>
                  </c:pt>
                  <c:pt idx="90">
                    <c:v>39</c:v>
                  </c:pt>
                  <c:pt idx="94">
                    <c:v>43</c:v>
                  </c:pt>
                  <c:pt idx="99">
                    <c:v>48</c:v>
                  </c:pt>
                  <c:pt idx="103">
                    <c:v>52</c:v>
                  </c:pt>
                  <c:pt idx="104">
                    <c:v>1</c:v>
                  </c:pt>
                  <c:pt idx="107">
                    <c:v>4</c:v>
                  </c:pt>
                  <c:pt idx="111">
                    <c:v>8</c:v>
                  </c:pt>
                  <c:pt idx="115">
                    <c:v>12</c:v>
                  </c:pt>
                  <c:pt idx="119">
                    <c:v>16</c:v>
                  </c:pt>
                  <c:pt idx="123">
                    <c:v>20</c:v>
                  </c:pt>
                  <c:pt idx="127">
                    <c:v>24</c:v>
                  </c:pt>
                  <c:pt idx="131">
                    <c:v>28</c:v>
                  </c:pt>
                  <c:pt idx="135">
                    <c:v>32</c:v>
                  </c:pt>
                  <c:pt idx="139">
                    <c:v>36</c:v>
                  </c:pt>
                  <c:pt idx="143">
                    <c:v>40</c:v>
                  </c:pt>
                  <c:pt idx="147">
                    <c:v>44</c:v>
                  </c:pt>
                  <c:pt idx="151">
                    <c:v>48</c:v>
                  </c:pt>
                  <c:pt idx="155">
                    <c:v>52</c:v>
                  </c:pt>
                  <c:pt idx="156">
                    <c:v>1</c:v>
                  </c:pt>
                  <c:pt idx="159">
                    <c:v>4</c:v>
                  </c:pt>
                  <c:pt idx="163">
                    <c:v>8</c:v>
                  </c:pt>
                  <c:pt idx="167">
                    <c:v>12</c:v>
                  </c:pt>
                  <c:pt idx="171">
                    <c:v>16</c:v>
                  </c:pt>
                  <c:pt idx="177">
                    <c:v>22</c:v>
                  </c:pt>
                  <c:pt idx="181">
                    <c:v>26</c:v>
                  </c:pt>
                  <c:pt idx="185">
                    <c:v>30</c:v>
                  </c:pt>
                  <c:pt idx="189">
                    <c:v>34</c:v>
                  </c:pt>
                  <c:pt idx="195">
                    <c:v>40</c:v>
                  </c:pt>
                  <c:pt idx="199">
                    <c:v>44</c:v>
                  </c:pt>
                </c:lvl>
                <c:lvl>
                  <c:pt idx="0">
                    <c:v>2016</c:v>
                  </c:pt>
                  <c:pt idx="52">
                    <c:v>2017</c:v>
                  </c:pt>
                  <c:pt idx="104">
                    <c:v>2018</c:v>
                  </c:pt>
                  <c:pt idx="156">
                    <c:v>2019</c:v>
                  </c:pt>
                </c:lvl>
              </c:multiLvlStrCache>
            </c:multiLvlStrRef>
          </c:cat>
          <c:val>
            <c:numRef>
              <c:f>'12.Caudales'!$O$4:$O$203</c:f>
              <c:numCache>
                <c:formatCode>0.0</c:formatCode>
                <c:ptCount val="200"/>
                <c:pt idx="0">
                  <c:v>16.37</c:v>
                </c:pt>
                <c:pt idx="1">
                  <c:v>15.9</c:v>
                </c:pt>
                <c:pt idx="2">
                  <c:v>29.21</c:v>
                </c:pt>
                <c:pt idx="3">
                  <c:v>20.7</c:v>
                </c:pt>
                <c:pt idx="4">
                  <c:v>74.02</c:v>
                </c:pt>
                <c:pt idx="5">
                  <c:v>78.08</c:v>
                </c:pt>
                <c:pt idx="6">
                  <c:v>41.34</c:v>
                </c:pt>
                <c:pt idx="7">
                  <c:v>96.52</c:v>
                </c:pt>
                <c:pt idx="8">
                  <c:v>150.104332</c:v>
                </c:pt>
                <c:pt idx="9">
                  <c:v>181.79733530680286</c:v>
                </c:pt>
                <c:pt idx="10">
                  <c:v>79.12</c:v>
                </c:pt>
                <c:pt idx="11">
                  <c:v>41.373285293579045</c:v>
                </c:pt>
                <c:pt idx="12">
                  <c:v>93.665000915527301</c:v>
                </c:pt>
                <c:pt idx="13">
                  <c:v>131.74585723876913</c:v>
                </c:pt>
                <c:pt idx="14">
                  <c:v>71.706143515450577</c:v>
                </c:pt>
                <c:pt idx="15">
                  <c:v>53.49</c:v>
                </c:pt>
                <c:pt idx="16">
                  <c:v>51.424428122384178</c:v>
                </c:pt>
                <c:pt idx="17">
                  <c:v>34.353571755545424</c:v>
                </c:pt>
                <c:pt idx="18">
                  <c:v>29.207143238612552</c:v>
                </c:pt>
                <c:pt idx="19">
                  <c:v>22.1</c:v>
                </c:pt>
                <c:pt idx="20">
                  <c:v>17.473428726196214</c:v>
                </c:pt>
                <c:pt idx="21">
                  <c:v>17.04</c:v>
                </c:pt>
                <c:pt idx="22">
                  <c:v>22.12</c:v>
                </c:pt>
                <c:pt idx="23">
                  <c:v>13.87</c:v>
                </c:pt>
                <c:pt idx="24">
                  <c:v>10.78285721</c:v>
                </c:pt>
                <c:pt idx="25">
                  <c:v>9.5958572120000003</c:v>
                </c:pt>
                <c:pt idx="26">
                  <c:v>7.8892858370000001</c:v>
                </c:pt>
                <c:pt idx="27">
                  <c:v>7.2334286140000001</c:v>
                </c:pt>
                <c:pt idx="28">
                  <c:v>6.729428564</c:v>
                </c:pt>
                <c:pt idx="29">
                  <c:v>5.6338571819999999</c:v>
                </c:pt>
                <c:pt idx="30">
                  <c:v>5.181999887738904</c:v>
                </c:pt>
                <c:pt idx="31">
                  <c:v>4.8032856669999999</c:v>
                </c:pt>
                <c:pt idx="32">
                  <c:v>4.3821428843906904</c:v>
                </c:pt>
                <c:pt idx="33">
                  <c:v>13.837000059999999</c:v>
                </c:pt>
                <c:pt idx="34">
                  <c:v>3.922857182</c:v>
                </c:pt>
                <c:pt idx="35">
                  <c:v>4.9800000000000004</c:v>
                </c:pt>
                <c:pt idx="36">
                  <c:v>4.92</c:v>
                </c:pt>
                <c:pt idx="37">
                  <c:v>4.6447142870000002</c:v>
                </c:pt>
                <c:pt idx="38">
                  <c:v>4.2699999999999996</c:v>
                </c:pt>
                <c:pt idx="39">
                  <c:v>5.3634285927142864</c:v>
                </c:pt>
                <c:pt idx="40">
                  <c:v>6.9682856968470812</c:v>
                </c:pt>
                <c:pt idx="41">
                  <c:v>11.100428648285714</c:v>
                </c:pt>
                <c:pt idx="42">
                  <c:v>6.01</c:v>
                </c:pt>
                <c:pt idx="43">
                  <c:v>4.57</c:v>
                </c:pt>
                <c:pt idx="44">
                  <c:v>4.83</c:v>
                </c:pt>
                <c:pt idx="45">
                  <c:v>3.73</c:v>
                </c:pt>
                <c:pt idx="46">
                  <c:v>2.5211429999999999</c:v>
                </c:pt>
                <c:pt idx="47">
                  <c:v>3.571428503285714</c:v>
                </c:pt>
                <c:pt idx="48">
                  <c:v>6.1</c:v>
                </c:pt>
                <c:pt idx="49">
                  <c:v>6.69</c:v>
                </c:pt>
                <c:pt idx="50">
                  <c:v>13.15</c:v>
                </c:pt>
                <c:pt idx="51">
                  <c:v>17.75700037857143</c:v>
                </c:pt>
                <c:pt idx="52">
                  <c:v>29.67</c:v>
                </c:pt>
                <c:pt idx="53">
                  <c:v>51.2</c:v>
                </c:pt>
                <c:pt idx="54">
                  <c:v>43.26</c:v>
                </c:pt>
                <c:pt idx="55">
                  <c:v>32.72</c:v>
                </c:pt>
                <c:pt idx="56">
                  <c:v>48.46</c:v>
                </c:pt>
                <c:pt idx="57">
                  <c:v>72.52</c:v>
                </c:pt>
                <c:pt idx="58">
                  <c:v>59.16</c:v>
                </c:pt>
                <c:pt idx="59">
                  <c:v>24.36</c:v>
                </c:pt>
                <c:pt idx="60">
                  <c:v>39.07</c:v>
                </c:pt>
                <c:pt idx="61">
                  <c:v>109.16</c:v>
                </c:pt>
                <c:pt idx="62">
                  <c:v>188.18</c:v>
                </c:pt>
                <c:pt idx="63">
                  <c:v>159.6</c:v>
                </c:pt>
                <c:pt idx="64">
                  <c:v>161.77000000000001</c:v>
                </c:pt>
                <c:pt idx="65">
                  <c:v>115.43</c:v>
                </c:pt>
                <c:pt idx="66">
                  <c:v>98.92</c:v>
                </c:pt>
                <c:pt idx="67">
                  <c:v>82.48</c:v>
                </c:pt>
                <c:pt idx="68">
                  <c:v>77.02</c:v>
                </c:pt>
                <c:pt idx="69">
                  <c:v>62.63</c:v>
                </c:pt>
                <c:pt idx="70">
                  <c:v>93.03</c:v>
                </c:pt>
                <c:pt idx="71">
                  <c:v>72.349999999999994</c:v>
                </c:pt>
                <c:pt idx="72">
                  <c:v>90.75</c:v>
                </c:pt>
                <c:pt idx="73">
                  <c:v>53.02</c:v>
                </c:pt>
                <c:pt idx="74">
                  <c:v>32.43</c:v>
                </c:pt>
                <c:pt idx="75">
                  <c:v>27.75</c:v>
                </c:pt>
                <c:pt idx="76">
                  <c:v>24.81</c:v>
                </c:pt>
                <c:pt idx="77">
                  <c:v>21.81</c:v>
                </c:pt>
                <c:pt idx="78">
                  <c:v>18.649999999999999</c:v>
                </c:pt>
                <c:pt idx="79">
                  <c:v>14.27</c:v>
                </c:pt>
                <c:pt idx="80">
                  <c:v>11.51</c:v>
                </c:pt>
                <c:pt idx="81">
                  <c:v>9.7200000000000006</c:v>
                </c:pt>
                <c:pt idx="82">
                  <c:v>8.09</c:v>
                </c:pt>
                <c:pt idx="83">
                  <c:v>7.62</c:v>
                </c:pt>
                <c:pt idx="84">
                  <c:v>9.5500000000000007</c:v>
                </c:pt>
                <c:pt idx="85">
                  <c:v>10.75</c:v>
                </c:pt>
                <c:pt idx="86">
                  <c:v>8.31</c:v>
                </c:pt>
                <c:pt idx="87">
                  <c:v>6.53</c:v>
                </c:pt>
                <c:pt idx="88">
                  <c:v>9.7799999999999994</c:v>
                </c:pt>
                <c:pt idx="89">
                  <c:v>7.47</c:v>
                </c:pt>
                <c:pt idx="90">
                  <c:v>7.49</c:v>
                </c:pt>
                <c:pt idx="91">
                  <c:v>15.47</c:v>
                </c:pt>
                <c:pt idx="92">
                  <c:v>18</c:v>
                </c:pt>
                <c:pt idx="93">
                  <c:v>12.74</c:v>
                </c:pt>
                <c:pt idx="94">
                  <c:v>30.75</c:v>
                </c:pt>
                <c:pt idx="95">
                  <c:v>23.58</c:v>
                </c:pt>
                <c:pt idx="96">
                  <c:v>11.77</c:v>
                </c:pt>
                <c:pt idx="97">
                  <c:v>9.33</c:v>
                </c:pt>
                <c:pt idx="98">
                  <c:v>8.19</c:v>
                </c:pt>
                <c:pt idx="99">
                  <c:v>19.661285946</c:v>
                </c:pt>
                <c:pt idx="100">
                  <c:v>19.181428364285715</c:v>
                </c:pt>
                <c:pt idx="101">
                  <c:v>23.7245715</c:v>
                </c:pt>
                <c:pt idx="102">
                  <c:v>26.158142907142857</c:v>
                </c:pt>
                <c:pt idx="103">
                  <c:v>21.776999882857144</c:v>
                </c:pt>
                <c:pt idx="104">
                  <c:v>15.747142857142856</c:v>
                </c:pt>
                <c:pt idx="105">
                  <c:v>37.6</c:v>
                </c:pt>
                <c:pt idx="106">
                  <c:v>101.26128550142856</c:v>
                </c:pt>
                <c:pt idx="107">
                  <c:v>77.354000085714276</c:v>
                </c:pt>
                <c:pt idx="108">
                  <c:v>30.667142595714285</c:v>
                </c:pt>
                <c:pt idx="109">
                  <c:v>32.444142750000005</c:v>
                </c:pt>
                <c:pt idx="110">
                  <c:v>30.338148809523812</c:v>
                </c:pt>
                <c:pt idx="111">
                  <c:v>62.97</c:v>
                </c:pt>
                <c:pt idx="112">
                  <c:v>31.244571685714288</c:v>
                </c:pt>
                <c:pt idx="113">
                  <c:v>36.038285662857142</c:v>
                </c:pt>
                <c:pt idx="114">
                  <c:v>25.076428275714282</c:v>
                </c:pt>
                <c:pt idx="115">
                  <c:v>24.63</c:v>
                </c:pt>
                <c:pt idx="116">
                  <c:v>38.701428550000003</c:v>
                </c:pt>
                <c:pt idx="117">
                  <c:v>94.596427907142839</c:v>
                </c:pt>
                <c:pt idx="118">
                  <c:v>92.07</c:v>
                </c:pt>
                <c:pt idx="119">
                  <c:v>45.4</c:v>
                </c:pt>
                <c:pt idx="120">
                  <c:v>41.47</c:v>
                </c:pt>
                <c:pt idx="121">
                  <c:v>65.800999782857133</c:v>
                </c:pt>
                <c:pt idx="122">
                  <c:v>75.104713441428572</c:v>
                </c:pt>
                <c:pt idx="123">
                  <c:v>97.861000055714285</c:v>
                </c:pt>
                <c:pt idx="124">
                  <c:v>107.7964292242857</c:v>
                </c:pt>
                <c:pt idx="125">
                  <c:v>107.7964292242857</c:v>
                </c:pt>
                <c:pt idx="126">
                  <c:v>35.176713670000005</c:v>
                </c:pt>
                <c:pt idx="127">
                  <c:v>23.41942841571429</c:v>
                </c:pt>
                <c:pt idx="128">
                  <c:v>15.98614284142857</c:v>
                </c:pt>
                <c:pt idx="129">
                  <c:v>14.09042848857143</c:v>
                </c:pt>
                <c:pt idx="130">
                  <c:v>11.838857105714284</c:v>
                </c:pt>
                <c:pt idx="131">
                  <c:v>9.7789998731428565</c:v>
                </c:pt>
                <c:pt idx="132">
                  <c:v>8.4957142857142856</c:v>
                </c:pt>
                <c:pt idx="133">
                  <c:v>7.807428428142857</c:v>
                </c:pt>
                <c:pt idx="134">
                  <c:v>7.53</c:v>
                </c:pt>
                <c:pt idx="135">
                  <c:v>6.4074286734285701</c:v>
                </c:pt>
                <c:pt idx="136">
                  <c:v>4.9400000000000004</c:v>
                </c:pt>
                <c:pt idx="137">
                  <c:v>4.6688571658571432</c:v>
                </c:pt>
                <c:pt idx="138">
                  <c:v>4.5999999999999996</c:v>
                </c:pt>
                <c:pt idx="139">
                  <c:v>3.9657142857142857</c:v>
                </c:pt>
                <c:pt idx="140">
                  <c:v>3.5334285327142858</c:v>
                </c:pt>
                <c:pt idx="141">
                  <c:v>6.4914285118571433</c:v>
                </c:pt>
                <c:pt idx="142">
                  <c:v>4.9000000000000004</c:v>
                </c:pt>
                <c:pt idx="143">
                  <c:v>4.898285797571428</c:v>
                </c:pt>
                <c:pt idx="144">
                  <c:v>8.3430000032697169</c:v>
                </c:pt>
                <c:pt idx="145">
                  <c:v>7.2735712868826683</c:v>
                </c:pt>
                <c:pt idx="146">
                  <c:v>7.4324284962245324</c:v>
                </c:pt>
                <c:pt idx="147">
                  <c:v>15.801856994857145</c:v>
                </c:pt>
                <c:pt idx="148">
                  <c:v>26.432857787142858</c:v>
                </c:pt>
                <c:pt idx="149">
                  <c:v>53.502857142857145</c:v>
                </c:pt>
                <c:pt idx="150">
                  <c:v>53.459142955714292</c:v>
                </c:pt>
                <c:pt idx="151">
                  <c:v>45.539571760000008</c:v>
                </c:pt>
                <c:pt idx="152">
                  <c:v>17.955714285714286</c:v>
                </c:pt>
                <c:pt idx="153">
                  <c:v>13.432571411428571</c:v>
                </c:pt>
                <c:pt idx="154">
                  <c:v>39.414285714285711</c:v>
                </c:pt>
                <c:pt idx="155">
                  <c:v>65.679429182857149</c:v>
                </c:pt>
                <c:pt idx="156">
                  <c:v>21.927143370000003</c:v>
                </c:pt>
                <c:pt idx="157">
                  <c:v>22.397999900000002</c:v>
                </c:pt>
                <c:pt idx="158">
                  <c:v>17.61</c:v>
                </c:pt>
                <c:pt idx="159">
                  <c:v>17.638000354285712</c:v>
                </c:pt>
                <c:pt idx="160">
                  <c:v>19.218833289999999</c:v>
                </c:pt>
                <c:pt idx="161">
                  <c:v>57.185714285714276</c:v>
                </c:pt>
                <c:pt idx="162">
                  <c:v>118.06042697857141</c:v>
                </c:pt>
                <c:pt idx="163">
                  <c:v>106.29885756428571</c:v>
                </c:pt>
                <c:pt idx="164">
                  <c:v>142.12385776285717</c:v>
                </c:pt>
                <c:pt idx="165">
                  <c:v>164.59685624285717</c:v>
                </c:pt>
                <c:pt idx="166">
                  <c:v>121.6507121494835</c:v>
                </c:pt>
                <c:pt idx="167">
                  <c:v>166.63136904761905</c:v>
                </c:pt>
                <c:pt idx="168">
                  <c:v>180.07000078571429</c:v>
                </c:pt>
                <c:pt idx="169">
                  <c:v>143.43971579999999</c:v>
                </c:pt>
                <c:pt idx="170">
                  <c:v>152.6561442857143</c:v>
                </c:pt>
                <c:pt idx="171">
                  <c:v>83.844285145714295</c:v>
                </c:pt>
                <c:pt idx="172">
                  <c:v>125.28814153857142</c:v>
                </c:pt>
                <c:pt idx="173">
                  <c:v>66.347143447142855</c:v>
                </c:pt>
                <c:pt idx="174">
                  <c:v>42.216071428571425</c:v>
                </c:pt>
                <c:pt idx="175">
                  <c:v>58.324429100000003</c:v>
                </c:pt>
                <c:pt idx="176">
                  <c:v>34.032571519999998</c:v>
                </c:pt>
                <c:pt idx="177">
                  <c:v>40.524285998571429</c:v>
                </c:pt>
                <c:pt idx="178">
                  <c:v>25.010571342857141</c:v>
                </c:pt>
                <c:pt idx="179">
                  <c:v>18.242713997857145</c:v>
                </c:pt>
                <c:pt idx="180">
                  <c:v>16.013142995714286</c:v>
                </c:pt>
                <c:pt idx="181">
                  <c:v>12.961571557142857</c:v>
                </c:pt>
                <c:pt idx="182">
                  <c:v>11.39</c:v>
                </c:pt>
                <c:pt idx="183">
                  <c:v>11.405166626666668</c:v>
                </c:pt>
                <c:pt idx="184">
                  <c:v>10.173999945322651</c:v>
                </c:pt>
                <c:pt idx="185">
                  <c:v>9.1716666666666669</c:v>
                </c:pt>
                <c:pt idx="186">
                  <c:v>8.5915715354285727</c:v>
                </c:pt>
                <c:pt idx="187">
                  <c:v>6.6260000637142857</c:v>
                </c:pt>
                <c:pt idx="188">
                  <c:v>5.9311428751428581</c:v>
                </c:pt>
                <c:pt idx="189">
                  <c:v>5.2604285648571434</c:v>
                </c:pt>
                <c:pt idx="190">
                  <c:v>4.7316666444999997</c:v>
                </c:pt>
                <c:pt idx="191">
                  <c:v>4.5542856622857144</c:v>
                </c:pt>
                <c:pt idx="192">
                  <c:v>4.1919999124285718</c:v>
                </c:pt>
                <c:pt idx="193">
                  <c:v>4.1759999999999993</c:v>
                </c:pt>
                <c:pt idx="194">
                  <c:v>4.8932001113891559</c:v>
                </c:pt>
                <c:pt idx="195">
                  <c:v>5.3130000431666664</c:v>
                </c:pt>
                <c:pt idx="196">
                  <c:v>8.3924286701428574</c:v>
                </c:pt>
                <c:pt idx="197">
                  <c:v>9.2871428571428574</c:v>
                </c:pt>
                <c:pt idx="198">
                  <c:v>18.153714861428572</c:v>
                </c:pt>
                <c:pt idx="199">
                  <c:v>19.903499760000003</c:v>
                </c:pt>
              </c:numCache>
            </c:numRef>
          </c:val>
          <c:extLst>
            <c:ext xmlns:c16="http://schemas.microsoft.com/office/drawing/2014/chart" uri="{C3380CC4-5D6E-409C-BE32-E72D297353CC}">
              <c16:uniqueId val="{00000001-B673-4AFB-8D65-573216AF8130}"/>
            </c:ext>
          </c:extLst>
        </c:ser>
        <c:dLbls>
          <c:showLegendKey val="0"/>
          <c:showVal val="0"/>
          <c:showCatName val="0"/>
          <c:showSerName val="0"/>
          <c:showPercent val="0"/>
          <c:showBubbleSize val="0"/>
        </c:dLbls>
        <c:axId val="351129984"/>
        <c:axId val="351131904"/>
      </c:areaChart>
      <c:lineChart>
        <c:grouping val="standard"/>
        <c:varyColors val="0"/>
        <c:ser>
          <c:idx val="1"/>
          <c:order val="2"/>
          <c:tx>
            <c:strRef>
              <c:f>'12.Caudales'!$M$3</c:f>
              <c:strCache>
                <c:ptCount val="1"/>
                <c:pt idx="0">
                  <c:v>PATIVILCA</c:v>
                </c:pt>
              </c:strCache>
            </c:strRef>
          </c:tx>
          <c:spPr>
            <a:ln>
              <a:solidFill>
                <a:schemeClr val="accent1">
                  <a:lumMod val="75000"/>
                </a:schemeClr>
              </a:solidFill>
            </a:ln>
          </c:spPr>
          <c:marker>
            <c:symbol val="none"/>
          </c:marker>
          <c:cat>
            <c:multiLvlStrRef>
              <c:f>'12.Caudales'!$J$4:$K$203</c:f>
              <c:multiLvlStrCache>
                <c:ptCount val="200"/>
                <c:lvl>
                  <c:pt idx="0">
                    <c:v>1</c:v>
                  </c:pt>
                  <c:pt idx="3">
                    <c:v>4</c:v>
                  </c:pt>
                  <c:pt idx="7">
                    <c:v>8</c:v>
                  </c:pt>
                  <c:pt idx="11">
                    <c:v>12</c:v>
                  </c:pt>
                  <c:pt idx="15">
                    <c:v>16</c:v>
                  </c:pt>
                  <c:pt idx="19">
                    <c:v>20</c:v>
                  </c:pt>
                  <c:pt idx="23">
                    <c:v>24</c:v>
                  </c:pt>
                  <c:pt idx="27">
                    <c:v>28</c:v>
                  </c:pt>
                  <c:pt idx="31">
                    <c:v>32</c:v>
                  </c:pt>
                  <c:pt idx="35">
                    <c:v>36</c:v>
                  </c:pt>
                  <c:pt idx="38">
                    <c:v>39</c:v>
                  </c:pt>
                  <c:pt idx="42">
                    <c:v>43</c:v>
                  </c:pt>
                  <c:pt idx="47">
                    <c:v>48</c:v>
                  </c:pt>
                  <c:pt idx="52">
                    <c:v>1</c:v>
                  </c:pt>
                  <c:pt idx="55">
                    <c:v>4</c:v>
                  </c:pt>
                  <c:pt idx="59">
                    <c:v>8</c:v>
                  </c:pt>
                  <c:pt idx="63">
                    <c:v>12</c:v>
                  </c:pt>
                  <c:pt idx="67">
                    <c:v>16</c:v>
                  </c:pt>
                  <c:pt idx="71">
                    <c:v>20</c:v>
                  </c:pt>
                  <c:pt idx="75">
                    <c:v>24</c:v>
                  </c:pt>
                  <c:pt idx="79">
                    <c:v>28</c:v>
                  </c:pt>
                  <c:pt idx="83">
                    <c:v>32</c:v>
                  </c:pt>
                  <c:pt idx="87">
                    <c:v>36</c:v>
                  </c:pt>
                  <c:pt idx="90">
                    <c:v>39</c:v>
                  </c:pt>
                  <c:pt idx="94">
                    <c:v>43</c:v>
                  </c:pt>
                  <c:pt idx="99">
                    <c:v>48</c:v>
                  </c:pt>
                  <c:pt idx="103">
                    <c:v>52</c:v>
                  </c:pt>
                  <c:pt idx="104">
                    <c:v>1</c:v>
                  </c:pt>
                  <c:pt idx="107">
                    <c:v>4</c:v>
                  </c:pt>
                  <c:pt idx="111">
                    <c:v>8</c:v>
                  </c:pt>
                  <c:pt idx="115">
                    <c:v>12</c:v>
                  </c:pt>
                  <c:pt idx="119">
                    <c:v>16</c:v>
                  </c:pt>
                  <c:pt idx="123">
                    <c:v>20</c:v>
                  </c:pt>
                  <c:pt idx="127">
                    <c:v>24</c:v>
                  </c:pt>
                  <c:pt idx="131">
                    <c:v>28</c:v>
                  </c:pt>
                  <c:pt idx="135">
                    <c:v>32</c:v>
                  </c:pt>
                  <c:pt idx="139">
                    <c:v>36</c:v>
                  </c:pt>
                  <c:pt idx="143">
                    <c:v>40</c:v>
                  </c:pt>
                  <c:pt idx="147">
                    <c:v>44</c:v>
                  </c:pt>
                  <c:pt idx="151">
                    <c:v>48</c:v>
                  </c:pt>
                  <c:pt idx="155">
                    <c:v>52</c:v>
                  </c:pt>
                  <c:pt idx="156">
                    <c:v>1</c:v>
                  </c:pt>
                  <c:pt idx="159">
                    <c:v>4</c:v>
                  </c:pt>
                  <c:pt idx="163">
                    <c:v>8</c:v>
                  </c:pt>
                  <c:pt idx="167">
                    <c:v>12</c:v>
                  </c:pt>
                  <c:pt idx="171">
                    <c:v>16</c:v>
                  </c:pt>
                  <c:pt idx="177">
                    <c:v>22</c:v>
                  </c:pt>
                  <c:pt idx="181">
                    <c:v>26</c:v>
                  </c:pt>
                  <c:pt idx="185">
                    <c:v>30</c:v>
                  </c:pt>
                  <c:pt idx="189">
                    <c:v>34</c:v>
                  </c:pt>
                  <c:pt idx="195">
                    <c:v>40</c:v>
                  </c:pt>
                  <c:pt idx="199">
                    <c:v>44</c:v>
                  </c:pt>
                </c:lvl>
                <c:lvl>
                  <c:pt idx="0">
                    <c:v>2016</c:v>
                  </c:pt>
                  <c:pt idx="52">
                    <c:v>2017</c:v>
                  </c:pt>
                  <c:pt idx="104">
                    <c:v>2018</c:v>
                  </c:pt>
                  <c:pt idx="156">
                    <c:v>2019</c:v>
                  </c:pt>
                </c:lvl>
              </c:multiLvlStrCache>
            </c:multiLvlStrRef>
          </c:cat>
          <c:val>
            <c:numRef>
              <c:f>'12.Caudales'!$M$4:$M$203</c:f>
              <c:numCache>
                <c:formatCode>0.0</c:formatCode>
                <c:ptCount val="200"/>
                <c:pt idx="0">
                  <c:v>40.61</c:v>
                </c:pt>
                <c:pt idx="1">
                  <c:v>29.82</c:v>
                </c:pt>
                <c:pt idx="2">
                  <c:v>27.06</c:v>
                </c:pt>
                <c:pt idx="3">
                  <c:v>27.93</c:v>
                </c:pt>
                <c:pt idx="4">
                  <c:v>49.585999999999999</c:v>
                </c:pt>
                <c:pt idx="5">
                  <c:v>57</c:v>
                </c:pt>
                <c:pt idx="6">
                  <c:v>52.31</c:v>
                </c:pt>
                <c:pt idx="7">
                  <c:v>57.96</c:v>
                </c:pt>
                <c:pt idx="8">
                  <c:v>100.51885660000001</c:v>
                </c:pt>
                <c:pt idx="9">
                  <c:v>75.15657152448378</c:v>
                </c:pt>
                <c:pt idx="10">
                  <c:v>52.24</c:v>
                </c:pt>
                <c:pt idx="11">
                  <c:v>44.628571101597331</c:v>
                </c:pt>
                <c:pt idx="12">
                  <c:v>42.599998474121001</c:v>
                </c:pt>
                <c:pt idx="13">
                  <c:v>49.743000030517535</c:v>
                </c:pt>
                <c:pt idx="14">
                  <c:v>54.414285387311615</c:v>
                </c:pt>
                <c:pt idx="15">
                  <c:v>47.73</c:v>
                </c:pt>
                <c:pt idx="16">
                  <c:v>42.142857687813873</c:v>
                </c:pt>
                <c:pt idx="17">
                  <c:v>27.452428545270582</c:v>
                </c:pt>
                <c:pt idx="18">
                  <c:v>21.857142584664455</c:v>
                </c:pt>
                <c:pt idx="19">
                  <c:v>19.5</c:v>
                </c:pt>
                <c:pt idx="20">
                  <c:v>19.485713958740185</c:v>
                </c:pt>
                <c:pt idx="21">
                  <c:v>16.329999999999998</c:v>
                </c:pt>
                <c:pt idx="22">
                  <c:v>15.18</c:v>
                </c:pt>
                <c:pt idx="23">
                  <c:v>15.1</c:v>
                </c:pt>
                <c:pt idx="24">
                  <c:v>18.016999930000001</c:v>
                </c:pt>
                <c:pt idx="25">
                  <c:v>16.489714209999999</c:v>
                </c:pt>
                <c:pt idx="26">
                  <c:v>16.199999810000001</c:v>
                </c:pt>
                <c:pt idx="27">
                  <c:v>12.016285760000001</c:v>
                </c:pt>
                <c:pt idx="28">
                  <c:v>10.423571450000001</c:v>
                </c:pt>
                <c:pt idx="29">
                  <c:v>10.043285640000001</c:v>
                </c:pt>
                <c:pt idx="30">
                  <c:v>10.086428642272944</c:v>
                </c:pt>
                <c:pt idx="31">
                  <c:v>12.08228561</c:v>
                </c:pt>
                <c:pt idx="32">
                  <c:v>11.874000004359614</c:v>
                </c:pt>
                <c:pt idx="33">
                  <c:v>10.842857090000001</c:v>
                </c:pt>
                <c:pt idx="34">
                  <c:v>10.48142842</c:v>
                </c:pt>
                <c:pt idx="35">
                  <c:v>11.85</c:v>
                </c:pt>
                <c:pt idx="36">
                  <c:v>12.08</c:v>
                </c:pt>
                <c:pt idx="37">
                  <c:v>11.88371427</c:v>
                </c:pt>
                <c:pt idx="38">
                  <c:v>13.06</c:v>
                </c:pt>
                <c:pt idx="39">
                  <c:v>15.945571764285715</c:v>
                </c:pt>
                <c:pt idx="40">
                  <c:v>15.848856789725129</c:v>
                </c:pt>
                <c:pt idx="41">
                  <c:v>15.549142972857144</c:v>
                </c:pt>
                <c:pt idx="42">
                  <c:v>13.17</c:v>
                </c:pt>
                <c:pt idx="43">
                  <c:v>13.18</c:v>
                </c:pt>
                <c:pt idx="44">
                  <c:v>13.49</c:v>
                </c:pt>
                <c:pt idx="45">
                  <c:v>15.4</c:v>
                </c:pt>
                <c:pt idx="46">
                  <c:v>16.408999999999999</c:v>
                </c:pt>
                <c:pt idx="47">
                  <c:v>16.328857422857144</c:v>
                </c:pt>
                <c:pt idx="48">
                  <c:v>20.236285890000001</c:v>
                </c:pt>
                <c:pt idx="49">
                  <c:v>19.809999999999999</c:v>
                </c:pt>
                <c:pt idx="50">
                  <c:v>21.91</c:v>
                </c:pt>
                <c:pt idx="51">
                  <c:v>22</c:v>
                </c:pt>
                <c:pt idx="52">
                  <c:v>41.55</c:v>
                </c:pt>
                <c:pt idx="53">
                  <c:v>39.6</c:v>
                </c:pt>
                <c:pt idx="54">
                  <c:v>73.650000000000006</c:v>
                </c:pt>
                <c:pt idx="55">
                  <c:v>65.03</c:v>
                </c:pt>
                <c:pt idx="56">
                  <c:v>56.95</c:v>
                </c:pt>
                <c:pt idx="57">
                  <c:v>61.87</c:v>
                </c:pt>
                <c:pt idx="58">
                  <c:v>77.569999999999993</c:v>
                </c:pt>
                <c:pt idx="59">
                  <c:v>86.94</c:v>
                </c:pt>
                <c:pt idx="60">
                  <c:v>85.13</c:v>
                </c:pt>
                <c:pt idx="61">
                  <c:v>84.78</c:v>
                </c:pt>
                <c:pt idx="62">
                  <c:v>84.78</c:v>
                </c:pt>
                <c:pt idx="63">
                  <c:v>106.16</c:v>
                </c:pt>
                <c:pt idx="64">
                  <c:v>101.71</c:v>
                </c:pt>
                <c:pt idx="65">
                  <c:v>83.1</c:v>
                </c:pt>
                <c:pt idx="66">
                  <c:v>61.23</c:v>
                </c:pt>
                <c:pt idx="67">
                  <c:v>49.8</c:v>
                </c:pt>
                <c:pt idx="68">
                  <c:v>40.21</c:v>
                </c:pt>
                <c:pt idx="69">
                  <c:v>43.46</c:v>
                </c:pt>
                <c:pt idx="70">
                  <c:v>35.65</c:v>
                </c:pt>
                <c:pt idx="71">
                  <c:v>26.22</c:v>
                </c:pt>
                <c:pt idx="72">
                  <c:v>27.95</c:v>
                </c:pt>
                <c:pt idx="73">
                  <c:v>32.409999999999997</c:v>
                </c:pt>
                <c:pt idx="74">
                  <c:v>28.93</c:v>
                </c:pt>
                <c:pt idx="75">
                  <c:v>26.59</c:v>
                </c:pt>
                <c:pt idx="76">
                  <c:v>23.61</c:v>
                </c:pt>
                <c:pt idx="77">
                  <c:v>24.94</c:v>
                </c:pt>
                <c:pt idx="78">
                  <c:v>25.54</c:v>
                </c:pt>
                <c:pt idx="79">
                  <c:v>23.56</c:v>
                </c:pt>
                <c:pt idx="80">
                  <c:v>22.4</c:v>
                </c:pt>
                <c:pt idx="81">
                  <c:v>21.29</c:v>
                </c:pt>
                <c:pt idx="82">
                  <c:v>19.34</c:v>
                </c:pt>
                <c:pt idx="83">
                  <c:v>19.649999999999999</c:v>
                </c:pt>
                <c:pt idx="84">
                  <c:v>18.420000000000002</c:v>
                </c:pt>
                <c:pt idx="85">
                  <c:v>17.170000000000002</c:v>
                </c:pt>
                <c:pt idx="86">
                  <c:v>17.47</c:v>
                </c:pt>
                <c:pt idx="87">
                  <c:v>13.42</c:v>
                </c:pt>
                <c:pt idx="88">
                  <c:v>11.2</c:v>
                </c:pt>
                <c:pt idx="89">
                  <c:v>11</c:v>
                </c:pt>
                <c:pt idx="90">
                  <c:v>11.14</c:v>
                </c:pt>
                <c:pt idx="91">
                  <c:v>12.8</c:v>
                </c:pt>
                <c:pt idx="92">
                  <c:v>14.41</c:v>
                </c:pt>
                <c:pt idx="93">
                  <c:v>15.87</c:v>
                </c:pt>
                <c:pt idx="94">
                  <c:v>19.61</c:v>
                </c:pt>
                <c:pt idx="95">
                  <c:v>21.85</c:v>
                </c:pt>
                <c:pt idx="96">
                  <c:v>16.79</c:v>
                </c:pt>
                <c:pt idx="97">
                  <c:v>16.010000000000002</c:v>
                </c:pt>
                <c:pt idx="98">
                  <c:v>14.72</c:v>
                </c:pt>
                <c:pt idx="99">
                  <c:v>18.932000297142856</c:v>
                </c:pt>
                <c:pt idx="100">
                  <c:v>28.48371397</c:v>
                </c:pt>
                <c:pt idx="101">
                  <c:v>32.583286012857144</c:v>
                </c:pt>
                <c:pt idx="102">
                  <c:v>34.501856668571428</c:v>
                </c:pt>
                <c:pt idx="103">
                  <c:v>27.781857355714287</c:v>
                </c:pt>
                <c:pt idx="104">
                  <c:v>29.44</c:v>
                </c:pt>
                <c:pt idx="105">
                  <c:v>42.880857194285717</c:v>
                </c:pt>
                <c:pt idx="106">
                  <c:v>74.002572194285705</c:v>
                </c:pt>
                <c:pt idx="107">
                  <c:v>77.812570845714291</c:v>
                </c:pt>
                <c:pt idx="108">
                  <c:v>61.531714848571433</c:v>
                </c:pt>
                <c:pt idx="109">
                  <c:v>54.024142672857138</c:v>
                </c:pt>
                <c:pt idx="110">
                  <c:v>59.271427155714285</c:v>
                </c:pt>
                <c:pt idx="111">
                  <c:v>78.025571005714284</c:v>
                </c:pt>
                <c:pt idx="112">
                  <c:v>61.11871501571428</c:v>
                </c:pt>
                <c:pt idx="113">
                  <c:v>84.500714981428573</c:v>
                </c:pt>
                <c:pt idx="114">
                  <c:v>83.643855504285725</c:v>
                </c:pt>
                <c:pt idx="115">
                  <c:v>98.99</c:v>
                </c:pt>
                <c:pt idx="116">
                  <c:v>106.64928652857144</c:v>
                </c:pt>
                <c:pt idx="117">
                  <c:v>86.488428389999996</c:v>
                </c:pt>
                <c:pt idx="118">
                  <c:v>88.217001778571429</c:v>
                </c:pt>
                <c:pt idx="119">
                  <c:v>65.84</c:v>
                </c:pt>
                <c:pt idx="120">
                  <c:v>51.88</c:v>
                </c:pt>
                <c:pt idx="121">
                  <c:v>49.672285897142856</c:v>
                </c:pt>
                <c:pt idx="122">
                  <c:v>45.203000204285708</c:v>
                </c:pt>
                <c:pt idx="123">
                  <c:v>37.385857718571437</c:v>
                </c:pt>
                <c:pt idx="124">
                  <c:v>31.609713962857143</c:v>
                </c:pt>
                <c:pt idx="125">
                  <c:v>23.360142844285715</c:v>
                </c:pt>
                <c:pt idx="126">
                  <c:v>22.118571418571431</c:v>
                </c:pt>
                <c:pt idx="127">
                  <c:v>18.655142918571432</c:v>
                </c:pt>
                <c:pt idx="128">
                  <c:v>15.664428437142856</c:v>
                </c:pt>
                <c:pt idx="129">
                  <c:v>13.848143032857147</c:v>
                </c:pt>
                <c:pt idx="130">
                  <c:v>12.865857259999999</c:v>
                </c:pt>
                <c:pt idx="131">
                  <c:v>12.915285789999999</c:v>
                </c:pt>
                <c:pt idx="132">
                  <c:v>15.908571428571426</c:v>
                </c:pt>
                <c:pt idx="133">
                  <c:v>16.584000042857145</c:v>
                </c:pt>
                <c:pt idx="134">
                  <c:v>18.553000000000001</c:v>
                </c:pt>
                <c:pt idx="135">
                  <c:v>17.769714355714285</c:v>
                </c:pt>
                <c:pt idx="136">
                  <c:v>14.782857348571428</c:v>
                </c:pt>
                <c:pt idx="137">
                  <c:v>15.984000069999999</c:v>
                </c:pt>
                <c:pt idx="138">
                  <c:v>15.55</c:v>
                </c:pt>
                <c:pt idx="139">
                  <c:v>15.042857142857143</c:v>
                </c:pt>
                <c:pt idx="140">
                  <c:v>13.386857033</c:v>
                </c:pt>
                <c:pt idx="141">
                  <c:v>12.963714189999999</c:v>
                </c:pt>
                <c:pt idx="142">
                  <c:v>9.4700000000000006</c:v>
                </c:pt>
                <c:pt idx="143">
                  <c:v>9.6714286802857146</c:v>
                </c:pt>
                <c:pt idx="144">
                  <c:v>13.23900018419533</c:v>
                </c:pt>
                <c:pt idx="145">
                  <c:v>13.085142816816015</c:v>
                </c:pt>
                <c:pt idx="146">
                  <c:v>24.981571742466489</c:v>
                </c:pt>
                <c:pt idx="147">
                  <c:v>20.55814279714286</c:v>
                </c:pt>
                <c:pt idx="148">
                  <c:v>26.170000077142856</c:v>
                </c:pt>
                <c:pt idx="149">
                  <c:v>19.728571428571428</c:v>
                </c:pt>
                <c:pt idx="150">
                  <c:v>39.656714302857139</c:v>
                </c:pt>
                <c:pt idx="151">
                  <c:v>39.656714302857139</c:v>
                </c:pt>
                <c:pt idx="152">
                  <c:v>22.62857142857143</c:v>
                </c:pt>
                <c:pt idx="153">
                  <c:v>17.776714461428572</c:v>
                </c:pt>
                <c:pt idx="154">
                  <c:v>34.085714285714282</c:v>
                </c:pt>
                <c:pt idx="155">
                  <c:v>52.094142914285719</c:v>
                </c:pt>
                <c:pt idx="156">
                  <c:v>27.79999951142857</c:v>
                </c:pt>
                <c:pt idx="157">
                  <c:v>28.678571428571427</c:v>
                </c:pt>
                <c:pt idx="158">
                  <c:v>44.51</c:v>
                </c:pt>
                <c:pt idx="159">
                  <c:v>73.323141914285699</c:v>
                </c:pt>
                <c:pt idx="160">
                  <c:v>103.17716724333333</c:v>
                </c:pt>
                <c:pt idx="161">
                  <c:v>79.165714285714287</c:v>
                </c:pt>
                <c:pt idx="162">
                  <c:v>120.02256992142858</c:v>
                </c:pt>
                <c:pt idx="163">
                  <c:v>97.560142514285715</c:v>
                </c:pt>
                <c:pt idx="164">
                  <c:v>97.560142514285715</c:v>
                </c:pt>
                <c:pt idx="165">
                  <c:v>97.497286117142863</c:v>
                </c:pt>
                <c:pt idx="166">
                  <c:v>98.21585736955906</c:v>
                </c:pt>
                <c:pt idx="167">
                  <c:v>91.857713972857141</c:v>
                </c:pt>
                <c:pt idx="168">
                  <c:v>100.0137132957143</c:v>
                </c:pt>
                <c:pt idx="169">
                  <c:v>84.272714885714294</c:v>
                </c:pt>
                <c:pt idx="170">
                  <c:v>61.074856892857142</c:v>
                </c:pt>
                <c:pt idx="171">
                  <c:v>47.843714031428576</c:v>
                </c:pt>
                <c:pt idx="172">
                  <c:v>50.907143728571427</c:v>
                </c:pt>
                <c:pt idx="173">
                  <c:v>39.120999471428568</c:v>
                </c:pt>
                <c:pt idx="174">
                  <c:v>35.410856791428571</c:v>
                </c:pt>
                <c:pt idx="175">
                  <c:v>32.405142920000003</c:v>
                </c:pt>
                <c:pt idx="176">
                  <c:v>26.58385740142857</c:v>
                </c:pt>
                <c:pt idx="177">
                  <c:v>19.653714315714286</c:v>
                </c:pt>
                <c:pt idx="178">
                  <c:v>16.50400011857143</c:v>
                </c:pt>
                <c:pt idx="179">
                  <c:v>14.890428544285713</c:v>
                </c:pt>
                <c:pt idx="180">
                  <c:v>15.340000017142858</c:v>
                </c:pt>
                <c:pt idx="181">
                  <c:v>15.521142687142857</c:v>
                </c:pt>
                <c:pt idx="182">
                  <c:v>15.32</c:v>
                </c:pt>
                <c:pt idx="183">
                  <c:v>14.809428488571427</c:v>
                </c:pt>
                <c:pt idx="184">
                  <c:v>13.666428565978956</c:v>
                </c:pt>
                <c:pt idx="185">
                  <c:v>13.392857142857142</c:v>
                </c:pt>
                <c:pt idx="186">
                  <c:v>13.098428589999999</c:v>
                </c:pt>
                <c:pt idx="187">
                  <c:v>12.228285654285713</c:v>
                </c:pt>
                <c:pt idx="188">
                  <c:v>12.838714327142856</c:v>
                </c:pt>
                <c:pt idx="189">
                  <c:v>12.37928554</c:v>
                </c:pt>
                <c:pt idx="190">
                  <c:v>11.92371409142857</c:v>
                </c:pt>
                <c:pt idx="191">
                  <c:v>10.731857162857143</c:v>
                </c:pt>
                <c:pt idx="192">
                  <c:v>11.481428825714286</c:v>
                </c:pt>
                <c:pt idx="193">
                  <c:v>12.217142857142859</c:v>
                </c:pt>
                <c:pt idx="194">
                  <c:v>15.0261430740356</c:v>
                </c:pt>
                <c:pt idx="195">
                  <c:v>13.292000225714288</c:v>
                </c:pt>
                <c:pt idx="196">
                  <c:v>15.472143037142859</c:v>
                </c:pt>
                <c:pt idx="197">
                  <c:v>14.602857142857143</c:v>
                </c:pt>
                <c:pt idx="198">
                  <c:v>18.763999527142854</c:v>
                </c:pt>
                <c:pt idx="199">
                  <c:v>12.722428322857143</c:v>
                </c:pt>
              </c:numCache>
            </c:numRef>
          </c:val>
          <c:smooth val="0"/>
          <c:extLst>
            <c:ext xmlns:c16="http://schemas.microsoft.com/office/drawing/2014/chart" uri="{C3380CC4-5D6E-409C-BE32-E72D297353CC}">
              <c16:uniqueId val="{00000002-B673-4AFB-8D65-573216AF8130}"/>
            </c:ext>
          </c:extLst>
        </c:ser>
        <c:dLbls>
          <c:showLegendKey val="0"/>
          <c:showVal val="0"/>
          <c:showCatName val="0"/>
          <c:showSerName val="0"/>
          <c:showPercent val="0"/>
          <c:showBubbleSize val="0"/>
        </c:dLbls>
        <c:marker val="1"/>
        <c:smooth val="0"/>
        <c:axId val="351129984"/>
        <c:axId val="351131904"/>
      </c:lineChart>
      <c:catAx>
        <c:axId val="351129984"/>
        <c:scaling>
          <c:orientation val="minMax"/>
        </c:scaling>
        <c:delete val="0"/>
        <c:axPos val="b"/>
        <c:title>
          <c:tx>
            <c:rich>
              <a:bodyPr/>
              <a:lstStyle/>
              <a:p>
                <a:pPr>
                  <a:defRPr/>
                </a:pPr>
                <a:r>
                  <a:rPr lang="en-US"/>
                  <a:t>Semanas</a:t>
                </a:r>
              </a:p>
            </c:rich>
          </c:tx>
          <c:layout>
            <c:manualLayout>
              <c:xMode val="edge"/>
              <c:yMode val="edge"/>
              <c:x val="0.91121828796248527"/>
              <c:y val="0.95220374743382508"/>
            </c:manualLayout>
          </c:layout>
          <c:overlay val="0"/>
        </c:title>
        <c:numFmt formatCode="General" sourceLinked="0"/>
        <c:majorTickMark val="out"/>
        <c:minorTickMark val="none"/>
        <c:tickLblPos val="nextTo"/>
        <c:spPr>
          <a:ln/>
        </c:spPr>
        <c:txPr>
          <a:bodyPr/>
          <a:lstStyle/>
          <a:p>
            <a:pPr>
              <a:defRPr kern="2000" spc="-100" baseline="0"/>
            </a:pPr>
            <a:endParaRPr lang="es-PE"/>
          </a:p>
        </c:txPr>
        <c:crossAx val="351131904"/>
        <c:crosses val="autoZero"/>
        <c:auto val="1"/>
        <c:lblAlgn val="ctr"/>
        <c:lblOffset val="300"/>
        <c:tickLblSkip val="255"/>
        <c:tickMarkSkip val="600"/>
        <c:noMultiLvlLbl val="0"/>
      </c:catAx>
      <c:valAx>
        <c:axId val="351131904"/>
        <c:scaling>
          <c:orientation val="minMax"/>
        </c:scaling>
        <c:delete val="0"/>
        <c:axPos val="l"/>
        <c:majorGridlines/>
        <c:title>
          <c:tx>
            <c:rich>
              <a:bodyPr rot="0" vert="horz"/>
              <a:lstStyle/>
              <a:p>
                <a:pPr>
                  <a:defRPr/>
                </a:pPr>
                <a:r>
                  <a:rPr lang="en-US"/>
                  <a:t>m3/s</a:t>
                </a:r>
              </a:p>
            </c:rich>
          </c:tx>
          <c:layout>
            <c:manualLayout>
              <c:xMode val="edge"/>
              <c:yMode val="edge"/>
              <c:x val="7.8268743445245054E-3"/>
              <c:y val="5.3536025961567237E-2"/>
            </c:manualLayout>
          </c:layout>
          <c:overlay val="0"/>
        </c:title>
        <c:numFmt formatCode="0.0" sourceLinked="1"/>
        <c:majorTickMark val="out"/>
        <c:minorTickMark val="none"/>
        <c:tickLblPos val="nextTo"/>
        <c:crossAx val="351129984"/>
        <c:crosses val="autoZero"/>
        <c:crossBetween val="between"/>
      </c:valAx>
    </c:plotArea>
    <c:legend>
      <c:legendPos val="t"/>
      <c:layout>
        <c:manualLayout>
          <c:xMode val="edge"/>
          <c:yMode val="edge"/>
          <c:x val="0.20820113575646959"/>
          <c:y val="0.15812672638644781"/>
          <c:w val="0.64000187784167084"/>
          <c:h val="6.5637234474917552E-2"/>
        </c:manualLayout>
      </c:layout>
      <c:overlay val="0"/>
    </c:legend>
    <c:plotVisOnly val="1"/>
    <c:dispBlanksAs val="gap"/>
    <c:showDLblsOverMax val="0"/>
  </c:chart>
  <c:spPr>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pageMargins b="0.75" l="0.7" r="0.7" t="0.75" header="0.3" footer="0.3"/>
    <c:pageSetup paperSize="9" orientation="landscape"/>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800">
                <a:latin typeface="Arial" panose="020B0604020202020204" pitchFamily="34" charset="0"/>
                <a:cs typeface="Arial" panose="020B0604020202020204" pitchFamily="34" charset="0"/>
              </a:defRPr>
            </a:pPr>
            <a:r>
              <a:rPr lang="en-US" sz="800">
                <a:latin typeface="Arial" panose="020B0604020202020204" pitchFamily="34" charset="0"/>
                <a:cs typeface="Arial" panose="020B0604020202020204" pitchFamily="34" charset="0"/>
              </a:rPr>
              <a:t>CAUDALES DE LOS RÍOS RÍMAC Y SANTA EULALIA</a:t>
            </a:r>
          </a:p>
        </c:rich>
      </c:tx>
      <c:overlay val="1"/>
    </c:title>
    <c:autoTitleDeleted val="0"/>
    <c:plotArea>
      <c:layout>
        <c:manualLayout>
          <c:layoutTarget val="inner"/>
          <c:xMode val="edge"/>
          <c:yMode val="edge"/>
          <c:x val="5.569664839908544E-2"/>
          <c:y val="0.15679340939907641"/>
          <c:w val="0.92583790996713644"/>
          <c:h val="0.53782158106056432"/>
        </c:manualLayout>
      </c:layout>
      <c:areaChart>
        <c:grouping val="standard"/>
        <c:varyColors val="0"/>
        <c:ser>
          <c:idx val="2"/>
          <c:order val="0"/>
          <c:tx>
            <c:strRef>
              <c:f>'13.Caudales'!$Q$3</c:f>
              <c:strCache>
                <c:ptCount val="1"/>
                <c:pt idx="0">
                  <c:v>RÍMAC</c:v>
                </c:pt>
              </c:strCache>
            </c:strRef>
          </c:tx>
          <c:spPr>
            <a:solidFill>
              <a:schemeClr val="accent5">
                <a:lumMod val="60000"/>
                <a:lumOff val="40000"/>
              </a:schemeClr>
            </a:solidFill>
          </c:spPr>
          <c:cat>
            <c:multiLvlStrRef>
              <c:f>'13.Caudales'!$N$4:$O$203</c:f>
              <c:multiLvlStrCache>
                <c:ptCount val="200"/>
                <c:lvl>
                  <c:pt idx="0">
                    <c:v>1</c:v>
                  </c:pt>
                  <c:pt idx="3">
                    <c:v>4</c:v>
                  </c:pt>
                  <c:pt idx="7">
                    <c:v>8</c:v>
                  </c:pt>
                  <c:pt idx="11">
                    <c:v>12</c:v>
                  </c:pt>
                  <c:pt idx="15">
                    <c:v>16</c:v>
                  </c:pt>
                  <c:pt idx="19">
                    <c:v>20</c:v>
                  </c:pt>
                  <c:pt idx="23">
                    <c:v>24</c:v>
                  </c:pt>
                  <c:pt idx="27">
                    <c:v>28</c:v>
                  </c:pt>
                  <c:pt idx="31">
                    <c:v>32</c:v>
                  </c:pt>
                  <c:pt idx="35">
                    <c:v>36</c:v>
                  </c:pt>
                  <c:pt idx="38">
                    <c:v>39</c:v>
                  </c:pt>
                  <c:pt idx="42">
                    <c:v>43</c:v>
                  </c:pt>
                  <c:pt idx="47">
                    <c:v>48</c:v>
                  </c:pt>
                  <c:pt idx="51">
                    <c:v>52</c:v>
                  </c:pt>
                  <c:pt idx="52">
                    <c:v>1</c:v>
                  </c:pt>
                  <c:pt idx="55">
                    <c:v>4</c:v>
                  </c:pt>
                  <c:pt idx="59">
                    <c:v>8</c:v>
                  </c:pt>
                  <c:pt idx="63">
                    <c:v>12</c:v>
                  </c:pt>
                  <c:pt idx="67">
                    <c:v>16</c:v>
                  </c:pt>
                  <c:pt idx="71">
                    <c:v>20</c:v>
                  </c:pt>
                  <c:pt idx="75">
                    <c:v>24</c:v>
                  </c:pt>
                  <c:pt idx="79">
                    <c:v>28</c:v>
                  </c:pt>
                  <c:pt idx="83">
                    <c:v>32</c:v>
                  </c:pt>
                  <c:pt idx="87">
                    <c:v>36</c:v>
                  </c:pt>
                  <c:pt idx="90">
                    <c:v>39</c:v>
                  </c:pt>
                  <c:pt idx="94">
                    <c:v>43</c:v>
                  </c:pt>
                  <c:pt idx="99">
                    <c:v>48</c:v>
                  </c:pt>
                  <c:pt idx="103">
                    <c:v>52</c:v>
                  </c:pt>
                  <c:pt idx="104">
                    <c:v>1</c:v>
                  </c:pt>
                  <c:pt idx="107">
                    <c:v>4</c:v>
                  </c:pt>
                  <c:pt idx="111">
                    <c:v>8</c:v>
                  </c:pt>
                  <c:pt idx="115">
                    <c:v>12</c:v>
                  </c:pt>
                  <c:pt idx="119">
                    <c:v>16</c:v>
                  </c:pt>
                  <c:pt idx="123">
                    <c:v>20</c:v>
                  </c:pt>
                  <c:pt idx="127">
                    <c:v>24</c:v>
                  </c:pt>
                  <c:pt idx="131">
                    <c:v>28</c:v>
                  </c:pt>
                  <c:pt idx="135">
                    <c:v>32</c:v>
                  </c:pt>
                  <c:pt idx="139">
                    <c:v>36</c:v>
                  </c:pt>
                  <c:pt idx="143">
                    <c:v>40</c:v>
                  </c:pt>
                  <c:pt idx="147">
                    <c:v>44</c:v>
                  </c:pt>
                  <c:pt idx="151">
                    <c:v>48</c:v>
                  </c:pt>
                  <c:pt idx="155">
                    <c:v>52</c:v>
                  </c:pt>
                  <c:pt idx="156">
                    <c:v>1</c:v>
                  </c:pt>
                  <c:pt idx="159">
                    <c:v>4</c:v>
                  </c:pt>
                  <c:pt idx="163">
                    <c:v>8</c:v>
                  </c:pt>
                  <c:pt idx="167">
                    <c:v>12</c:v>
                  </c:pt>
                  <c:pt idx="171">
                    <c:v>16</c:v>
                  </c:pt>
                  <c:pt idx="177">
                    <c:v>22</c:v>
                  </c:pt>
                  <c:pt idx="181">
                    <c:v>26</c:v>
                  </c:pt>
                  <c:pt idx="185">
                    <c:v>30</c:v>
                  </c:pt>
                  <c:pt idx="191">
                    <c:v>36</c:v>
                  </c:pt>
                  <c:pt idx="195">
                    <c:v>40</c:v>
                  </c:pt>
                  <c:pt idx="199">
                    <c:v>44</c:v>
                  </c:pt>
                </c:lvl>
                <c:lvl>
                  <c:pt idx="0">
                    <c:v>2016</c:v>
                  </c:pt>
                  <c:pt idx="52">
                    <c:v>2017</c:v>
                  </c:pt>
                  <c:pt idx="104">
                    <c:v>2018</c:v>
                  </c:pt>
                  <c:pt idx="156">
                    <c:v>2019</c:v>
                  </c:pt>
                </c:lvl>
              </c:multiLvlStrCache>
            </c:multiLvlStrRef>
          </c:cat>
          <c:val>
            <c:numRef>
              <c:f>'13.Caudales'!$Q$4:$Q$203</c:f>
              <c:numCache>
                <c:formatCode>0.0</c:formatCode>
                <c:ptCount val="200"/>
                <c:pt idx="0">
                  <c:v>12.12</c:v>
                </c:pt>
                <c:pt idx="1">
                  <c:v>10.45</c:v>
                </c:pt>
                <c:pt idx="2">
                  <c:v>10.396000000000001</c:v>
                </c:pt>
                <c:pt idx="3">
                  <c:v>10.32</c:v>
                </c:pt>
                <c:pt idx="4">
                  <c:v>14.34</c:v>
                </c:pt>
                <c:pt idx="5">
                  <c:v>14.98</c:v>
                </c:pt>
                <c:pt idx="6">
                  <c:v>15.86</c:v>
                </c:pt>
                <c:pt idx="7">
                  <c:v>22.12</c:v>
                </c:pt>
                <c:pt idx="8">
                  <c:v>31.986428669999999</c:v>
                </c:pt>
                <c:pt idx="9">
                  <c:v>21.817856924874398</c:v>
                </c:pt>
                <c:pt idx="10">
                  <c:v>21.645000185285259</c:v>
                </c:pt>
                <c:pt idx="11">
                  <c:v>15.247000013078916</c:v>
                </c:pt>
                <c:pt idx="12">
                  <c:v>17.322999954223601</c:v>
                </c:pt>
                <c:pt idx="13">
                  <c:v>14.828142711094401</c:v>
                </c:pt>
                <c:pt idx="14">
                  <c:v>15.017142977033298</c:v>
                </c:pt>
                <c:pt idx="15">
                  <c:v>13.98</c:v>
                </c:pt>
                <c:pt idx="16">
                  <c:v>12.944285669999999</c:v>
                </c:pt>
                <c:pt idx="17">
                  <c:v>10.727142742701899</c:v>
                </c:pt>
                <c:pt idx="18">
                  <c:v>9.4342857088361427</c:v>
                </c:pt>
                <c:pt idx="19">
                  <c:v>9.1999999999999993</c:v>
                </c:pt>
                <c:pt idx="20">
                  <c:v>9.0128573008945967</c:v>
                </c:pt>
                <c:pt idx="21">
                  <c:v>7.95</c:v>
                </c:pt>
                <c:pt idx="22">
                  <c:v>7.6</c:v>
                </c:pt>
                <c:pt idx="23">
                  <c:v>9.57</c:v>
                </c:pt>
                <c:pt idx="24">
                  <c:v>9.0548571179999993</c:v>
                </c:pt>
                <c:pt idx="25">
                  <c:v>8.8612857550000008</c:v>
                </c:pt>
                <c:pt idx="26">
                  <c:v>8.3185714990000008</c:v>
                </c:pt>
                <c:pt idx="27">
                  <c:v>7.789714268</c:v>
                </c:pt>
                <c:pt idx="28">
                  <c:v>7.1615714349999999</c:v>
                </c:pt>
                <c:pt idx="29">
                  <c:v>6.6714285440000003</c:v>
                </c:pt>
                <c:pt idx="30">
                  <c:v>6.2387143543788328</c:v>
                </c:pt>
                <c:pt idx="31">
                  <c:v>6.1697142459999998</c:v>
                </c:pt>
                <c:pt idx="32">
                  <c:v>6.3728570940000004</c:v>
                </c:pt>
                <c:pt idx="33">
                  <c:v>6.1195714130000001</c:v>
                </c:pt>
                <c:pt idx="34">
                  <c:v>5.9814286230000002</c:v>
                </c:pt>
                <c:pt idx="35">
                  <c:v>6.03</c:v>
                </c:pt>
                <c:pt idx="36">
                  <c:v>6.03</c:v>
                </c:pt>
                <c:pt idx="37">
                  <c:v>6.5951428410000004</c:v>
                </c:pt>
                <c:pt idx="38">
                  <c:v>6.84</c:v>
                </c:pt>
                <c:pt idx="39">
                  <c:v>7.6862857681428576</c:v>
                </c:pt>
                <c:pt idx="40">
                  <c:v>7.1000001089913463</c:v>
                </c:pt>
                <c:pt idx="41">
                  <c:v>6.7610000201428573</c:v>
                </c:pt>
                <c:pt idx="42">
                  <c:v>6.53</c:v>
                </c:pt>
                <c:pt idx="43">
                  <c:v>7.58</c:v>
                </c:pt>
                <c:pt idx="44">
                  <c:v>6.95</c:v>
                </c:pt>
                <c:pt idx="45">
                  <c:v>6.8571429249999998</c:v>
                </c:pt>
                <c:pt idx="46">
                  <c:v>6.9940000260000001</c:v>
                </c:pt>
                <c:pt idx="47">
                  <c:v>7.1124285970000001</c:v>
                </c:pt>
                <c:pt idx="48">
                  <c:v>8.43</c:v>
                </c:pt>
                <c:pt idx="49">
                  <c:v>8.32</c:v>
                </c:pt>
                <c:pt idx="50">
                  <c:v>9.08</c:v>
                </c:pt>
                <c:pt idx="51">
                  <c:v>8.42</c:v>
                </c:pt>
                <c:pt idx="52">
                  <c:v>13.85</c:v>
                </c:pt>
                <c:pt idx="53">
                  <c:v>14.96</c:v>
                </c:pt>
                <c:pt idx="54">
                  <c:v>28.98</c:v>
                </c:pt>
                <c:pt idx="55">
                  <c:v>30.46</c:v>
                </c:pt>
                <c:pt idx="56">
                  <c:v>21.36</c:v>
                </c:pt>
                <c:pt idx="57">
                  <c:v>25.42</c:v>
                </c:pt>
                <c:pt idx="58">
                  <c:v>35.43</c:v>
                </c:pt>
                <c:pt idx="59">
                  <c:v>30.45</c:v>
                </c:pt>
                <c:pt idx="60">
                  <c:v>37.72</c:v>
                </c:pt>
                <c:pt idx="61">
                  <c:v>36.46</c:v>
                </c:pt>
                <c:pt idx="62">
                  <c:v>35.590000000000003</c:v>
                </c:pt>
                <c:pt idx="63">
                  <c:v>37.82</c:v>
                </c:pt>
                <c:pt idx="64">
                  <c:v>35.93</c:v>
                </c:pt>
                <c:pt idx="65">
                  <c:v>42.9</c:v>
                </c:pt>
                <c:pt idx="66">
                  <c:v>31.19</c:v>
                </c:pt>
                <c:pt idx="67">
                  <c:v>22.8</c:v>
                </c:pt>
                <c:pt idx="68">
                  <c:v>20.18</c:v>
                </c:pt>
                <c:pt idx="69">
                  <c:v>19.84</c:v>
                </c:pt>
                <c:pt idx="70">
                  <c:v>21.4</c:v>
                </c:pt>
                <c:pt idx="71">
                  <c:v>17.23</c:v>
                </c:pt>
                <c:pt idx="72">
                  <c:v>16.09</c:v>
                </c:pt>
                <c:pt idx="73">
                  <c:v>15.1</c:v>
                </c:pt>
                <c:pt idx="74">
                  <c:v>14.28</c:v>
                </c:pt>
                <c:pt idx="75">
                  <c:v>13.3</c:v>
                </c:pt>
                <c:pt idx="76">
                  <c:v>12.63</c:v>
                </c:pt>
                <c:pt idx="77">
                  <c:v>11.92</c:v>
                </c:pt>
                <c:pt idx="78">
                  <c:v>11.92</c:v>
                </c:pt>
                <c:pt idx="79">
                  <c:v>11.04</c:v>
                </c:pt>
                <c:pt idx="80">
                  <c:v>10.27</c:v>
                </c:pt>
                <c:pt idx="81">
                  <c:v>9.4700000000000006</c:v>
                </c:pt>
                <c:pt idx="82">
                  <c:v>9.0500000000000007</c:v>
                </c:pt>
                <c:pt idx="83">
                  <c:v>9.9</c:v>
                </c:pt>
                <c:pt idx="84">
                  <c:v>9.17</c:v>
                </c:pt>
                <c:pt idx="85">
                  <c:v>7.78</c:v>
                </c:pt>
                <c:pt idx="86">
                  <c:v>7.73</c:v>
                </c:pt>
                <c:pt idx="87">
                  <c:v>7.1</c:v>
                </c:pt>
                <c:pt idx="88">
                  <c:v>7.53</c:v>
                </c:pt>
                <c:pt idx="89">
                  <c:v>9.73</c:v>
                </c:pt>
                <c:pt idx="90">
                  <c:v>7.21</c:v>
                </c:pt>
                <c:pt idx="91">
                  <c:v>6.89</c:v>
                </c:pt>
                <c:pt idx="92">
                  <c:v>7.51</c:v>
                </c:pt>
                <c:pt idx="93">
                  <c:v>7.92</c:v>
                </c:pt>
                <c:pt idx="94">
                  <c:v>9.16</c:v>
                </c:pt>
                <c:pt idx="95">
                  <c:v>8.81</c:v>
                </c:pt>
                <c:pt idx="96">
                  <c:v>8.3800000000000008</c:v>
                </c:pt>
                <c:pt idx="97">
                  <c:v>7.55</c:v>
                </c:pt>
                <c:pt idx="98">
                  <c:v>7.39</c:v>
                </c:pt>
                <c:pt idx="99">
                  <c:v>7.9678571564285718</c:v>
                </c:pt>
                <c:pt idx="100">
                  <c:v>8.4875713758571436</c:v>
                </c:pt>
                <c:pt idx="101">
                  <c:v>8.7257142747142868</c:v>
                </c:pt>
                <c:pt idx="102">
                  <c:v>9.7215715127142861</c:v>
                </c:pt>
                <c:pt idx="103">
                  <c:v>10.323285784571427</c:v>
                </c:pt>
                <c:pt idx="104">
                  <c:v>10.34</c:v>
                </c:pt>
                <c:pt idx="105">
                  <c:v>13.730999947142859</c:v>
                </c:pt>
                <c:pt idx="106">
                  <c:v>15.983285902857142</c:v>
                </c:pt>
                <c:pt idx="107">
                  <c:v>21.988571574285714</c:v>
                </c:pt>
                <c:pt idx="108">
                  <c:v>17.729000225714284</c:v>
                </c:pt>
                <c:pt idx="109">
                  <c:v>13.582571572857143</c:v>
                </c:pt>
                <c:pt idx="110">
                  <c:v>14.722571237142859</c:v>
                </c:pt>
                <c:pt idx="111">
                  <c:v>18.48</c:v>
                </c:pt>
                <c:pt idx="112">
                  <c:v>21.652428627142854</c:v>
                </c:pt>
                <c:pt idx="113">
                  <c:v>30.272714344285713</c:v>
                </c:pt>
                <c:pt idx="114">
                  <c:v>28.071857179999999</c:v>
                </c:pt>
                <c:pt idx="115">
                  <c:v>29.90999984714286</c:v>
                </c:pt>
                <c:pt idx="116">
                  <c:v>28.360142844285718</c:v>
                </c:pt>
                <c:pt idx="117">
                  <c:v>23.830285752857144</c:v>
                </c:pt>
                <c:pt idx="118">
                  <c:v>27</c:v>
                </c:pt>
                <c:pt idx="119">
                  <c:v>19.899999999999999</c:v>
                </c:pt>
                <c:pt idx="120">
                  <c:v>19.14</c:v>
                </c:pt>
                <c:pt idx="121">
                  <c:v>19.703571455714286</c:v>
                </c:pt>
                <c:pt idx="122">
                  <c:v>15.48828561</c:v>
                </c:pt>
                <c:pt idx="123">
                  <c:v>14.601142882857145</c:v>
                </c:pt>
                <c:pt idx="124">
                  <c:v>13.411285537142858</c:v>
                </c:pt>
                <c:pt idx="125">
                  <c:v>12.490285737142855</c:v>
                </c:pt>
                <c:pt idx="126">
                  <c:v>12.278000014285713</c:v>
                </c:pt>
                <c:pt idx="127">
                  <c:v>10.882714271142857</c:v>
                </c:pt>
                <c:pt idx="128">
                  <c:v>10.290999957142857</c:v>
                </c:pt>
                <c:pt idx="129">
                  <c:v>9.5591429302857147</c:v>
                </c:pt>
                <c:pt idx="130">
                  <c:v>9.3137141635714293</c:v>
                </c:pt>
                <c:pt idx="131">
                  <c:v>8.7544284548571447</c:v>
                </c:pt>
                <c:pt idx="132">
                  <c:v>8.6149000000000004</c:v>
                </c:pt>
                <c:pt idx="133">
                  <c:v>8.1221428598571439</c:v>
                </c:pt>
                <c:pt idx="134">
                  <c:v>7.5620000000000003</c:v>
                </c:pt>
                <c:pt idx="135">
                  <c:v>8.4994284765714276</c:v>
                </c:pt>
                <c:pt idx="136">
                  <c:v>7.8117142411428571</c:v>
                </c:pt>
                <c:pt idx="137">
                  <c:v>6.44</c:v>
                </c:pt>
                <c:pt idx="138">
                  <c:v>7.5428571428571427</c:v>
                </c:pt>
                <c:pt idx="139">
                  <c:v>7.1671427998571433</c:v>
                </c:pt>
                <c:pt idx="140">
                  <c:v>7.1637143408571422</c:v>
                </c:pt>
                <c:pt idx="141">
                  <c:v>8.31</c:v>
                </c:pt>
                <c:pt idx="142">
                  <c:v>7.621428489714285</c:v>
                </c:pt>
                <c:pt idx="143">
                  <c:v>7.621428489714285</c:v>
                </c:pt>
                <c:pt idx="144">
                  <c:v>7.2698572022574259</c:v>
                </c:pt>
                <c:pt idx="145">
                  <c:v>6.2732856614249064</c:v>
                </c:pt>
                <c:pt idx="146">
                  <c:v>8.3208571161542526</c:v>
                </c:pt>
                <c:pt idx="147">
                  <c:v>9.2941429947142868</c:v>
                </c:pt>
                <c:pt idx="148">
                  <c:v>8.6642857274285721</c:v>
                </c:pt>
                <c:pt idx="149">
                  <c:v>8.5371428571428574</c:v>
                </c:pt>
                <c:pt idx="150">
                  <c:v>9.0094285692857135</c:v>
                </c:pt>
                <c:pt idx="151">
                  <c:v>8.5042856081428582</c:v>
                </c:pt>
                <c:pt idx="152">
                  <c:v>8.27</c:v>
                </c:pt>
                <c:pt idx="153">
                  <c:v>8.1765714374285707</c:v>
                </c:pt>
                <c:pt idx="154">
                  <c:v>10.342857142857142</c:v>
                </c:pt>
                <c:pt idx="155">
                  <c:v>10.661999840142856</c:v>
                </c:pt>
                <c:pt idx="156">
                  <c:v>8.992857251428573</c:v>
                </c:pt>
                <c:pt idx="157">
                  <c:v>7.4904285157142843</c:v>
                </c:pt>
                <c:pt idx="158">
                  <c:v>14.36</c:v>
                </c:pt>
                <c:pt idx="159">
                  <c:v>17.131428719999999</c:v>
                </c:pt>
                <c:pt idx="160">
                  <c:v>30.592286245714288</c:v>
                </c:pt>
                <c:pt idx="161">
                  <c:v>20.372857142857146</c:v>
                </c:pt>
                <c:pt idx="162">
                  <c:v>28.837571554285717</c:v>
                </c:pt>
                <c:pt idx="163">
                  <c:v>20.077857700000003</c:v>
                </c:pt>
                <c:pt idx="164">
                  <c:v>26.317999977142858</c:v>
                </c:pt>
                <c:pt idx="165">
                  <c:v>27.959571565714288</c:v>
                </c:pt>
                <c:pt idx="166">
                  <c:v>27.959571565714288</c:v>
                </c:pt>
                <c:pt idx="167">
                  <c:v>28.476714270455457</c:v>
                </c:pt>
                <c:pt idx="168">
                  <c:v>24.844714028571435</c:v>
                </c:pt>
                <c:pt idx="169">
                  <c:v>29.483285902857141</c:v>
                </c:pt>
                <c:pt idx="170">
                  <c:v>20.040428705714284</c:v>
                </c:pt>
                <c:pt idx="171">
                  <c:v>16.072142737142858</c:v>
                </c:pt>
                <c:pt idx="172">
                  <c:v>15.383999960000001</c:v>
                </c:pt>
                <c:pt idx="173">
                  <c:v>16.026142665714286</c:v>
                </c:pt>
                <c:pt idx="174">
                  <c:v>14.769714355714287</c:v>
                </c:pt>
                <c:pt idx="175">
                  <c:v>13.81242861</c:v>
                </c:pt>
                <c:pt idx="176">
                  <c:v>12.849714414285714</c:v>
                </c:pt>
                <c:pt idx="177">
                  <c:v>12.105428559999998</c:v>
                </c:pt>
                <c:pt idx="178">
                  <c:v>11.272714207142856</c:v>
                </c:pt>
                <c:pt idx="179">
                  <c:v>10.867999894285715</c:v>
                </c:pt>
                <c:pt idx="180">
                  <c:v>10.167285918857143</c:v>
                </c:pt>
                <c:pt idx="181">
                  <c:v>9.3535717554285718</c:v>
                </c:pt>
                <c:pt idx="182">
                  <c:v>8.86</c:v>
                </c:pt>
                <c:pt idx="183">
                  <c:v>8.9135712215714289</c:v>
                </c:pt>
                <c:pt idx="184">
                  <c:v>9.1244284766060932</c:v>
                </c:pt>
                <c:pt idx="185">
                  <c:v>8.5528571428571407</c:v>
                </c:pt>
                <c:pt idx="186">
                  <c:v>8.6655714172857152</c:v>
                </c:pt>
                <c:pt idx="187">
                  <c:v>8.8231430052857132</c:v>
                </c:pt>
                <c:pt idx="188">
                  <c:v>7.5077142715714285</c:v>
                </c:pt>
                <c:pt idx="189">
                  <c:v>7.6147142817142859</c:v>
                </c:pt>
                <c:pt idx="190">
                  <c:v>8.7815715245714294</c:v>
                </c:pt>
                <c:pt idx="191">
                  <c:v>8.2851428302857144</c:v>
                </c:pt>
                <c:pt idx="192">
                  <c:v>7.6475714954285712</c:v>
                </c:pt>
                <c:pt idx="193">
                  <c:v>7.6971428571428575</c:v>
                </c:pt>
                <c:pt idx="194">
                  <c:v>7.6702859061104887</c:v>
                </c:pt>
                <c:pt idx="195">
                  <c:v>6.5494285314285721</c:v>
                </c:pt>
                <c:pt idx="196">
                  <c:v>8.096428529999999</c:v>
                </c:pt>
                <c:pt idx="197">
                  <c:v>7.4685714285714289</c:v>
                </c:pt>
                <c:pt idx="198">
                  <c:v>8.9041427881428579</c:v>
                </c:pt>
                <c:pt idx="199">
                  <c:v>7.8245713370000001</c:v>
                </c:pt>
              </c:numCache>
            </c:numRef>
          </c:val>
          <c:extLst>
            <c:ext xmlns:c16="http://schemas.microsoft.com/office/drawing/2014/chart" uri="{C3380CC4-5D6E-409C-BE32-E72D297353CC}">
              <c16:uniqueId val="{00000000-54B8-46D7-AFD1-7C97BC15F9A3}"/>
            </c:ext>
          </c:extLst>
        </c:ser>
        <c:ser>
          <c:idx val="3"/>
          <c:order val="1"/>
          <c:tx>
            <c:strRef>
              <c:f>'13.Caudales'!$R$3</c:f>
              <c:strCache>
                <c:ptCount val="1"/>
                <c:pt idx="0">
                  <c:v>SANTA EULALIA</c:v>
                </c:pt>
              </c:strCache>
            </c:strRef>
          </c:tx>
          <c:spPr>
            <a:solidFill>
              <a:srgbClr val="0077A5"/>
            </a:solidFill>
            <a:ln w="25400">
              <a:noFill/>
            </a:ln>
          </c:spPr>
          <c:cat>
            <c:multiLvlStrRef>
              <c:f>'13.Caudales'!$N$4:$O$203</c:f>
              <c:multiLvlStrCache>
                <c:ptCount val="200"/>
                <c:lvl>
                  <c:pt idx="0">
                    <c:v>1</c:v>
                  </c:pt>
                  <c:pt idx="3">
                    <c:v>4</c:v>
                  </c:pt>
                  <c:pt idx="7">
                    <c:v>8</c:v>
                  </c:pt>
                  <c:pt idx="11">
                    <c:v>12</c:v>
                  </c:pt>
                  <c:pt idx="15">
                    <c:v>16</c:v>
                  </c:pt>
                  <c:pt idx="19">
                    <c:v>20</c:v>
                  </c:pt>
                  <c:pt idx="23">
                    <c:v>24</c:v>
                  </c:pt>
                  <c:pt idx="27">
                    <c:v>28</c:v>
                  </c:pt>
                  <c:pt idx="31">
                    <c:v>32</c:v>
                  </c:pt>
                  <c:pt idx="35">
                    <c:v>36</c:v>
                  </c:pt>
                  <c:pt idx="38">
                    <c:v>39</c:v>
                  </c:pt>
                  <c:pt idx="42">
                    <c:v>43</c:v>
                  </c:pt>
                  <c:pt idx="47">
                    <c:v>48</c:v>
                  </c:pt>
                  <c:pt idx="51">
                    <c:v>52</c:v>
                  </c:pt>
                  <c:pt idx="52">
                    <c:v>1</c:v>
                  </c:pt>
                  <c:pt idx="55">
                    <c:v>4</c:v>
                  </c:pt>
                  <c:pt idx="59">
                    <c:v>8</c:v>
                  </c:pt>
                  <c:pt idx="63">
                    <c:v>12</c:v>
                  </c:pt>
                  <c:pt idx="67">
                    <c:v>16</c:v>
                  </c:pt>
                  <c:pt idx="71">
                    <c:v>20</c:v>
                  </c:pt>
                  <c:pt idx="75">
                    <c:v>24</c:v>
                  </c:pt>
                  <c:pt idx="79">
                    <c:v>28</c:v>
                  </c:pt>
                  <c:pt idx="83">
                    <c:v>32</c:v>
                  </c:pt>
                  <c:pt idx="87">
                    <c:v>36</c:v>
                  </c:pt>
                  <c:pt idx="90">
                    <c:v>39</c:v>
                  </c:pt>
                  <c:pt idx="94">
                    <c:v>43</c:v>
                  </c:pt>
                  <c:pt idx="99">
                    <c:v>48</c:v>
                  </c:pt>
                  <c:pt idx="103">
                    <c:v>52</c:v>
                  </c:pt>
                  <c:pt idx="104">
                    <c:v>1</c:v>
                  </c:pt>
                  <c:pt idx="107">
                    <c:v>4</c:v>
                  </c:pt>
                  <c:pt idx="111">
                    <c:v>8</c:v>
                  </c:pt>
                  <c:pt idx="115">
                    <c:v>12</c:v>
                  </c:pt>
                  <c:pt idx="119">
                    <c:v>16</c:v>
                  </c:pt>
                  <c:pt idx="123">
                    <c:v>20</c:v>
                  </c:pt>
                  <c:pt idx="127">
                    <c:v>24</c:v>
                  </c:pt>
                  <c:pt idx="131">
                    <c:v>28</c:v>
                  </c:pt>
                  <c:pt idx="135">
                    <c:v>32</c:v>
                  </c:pt>
                  <c:pt idx="139">
                    <c:v>36</c:v>
                  </c:pt>
                  <c:pt idx="143">
                    <c:v>40</c:v>
                  </c:pt>
                  <c:pt idx="147">
                    <c:v>44</c:v>
                  </c:pt>
                  <c:pt idx="151">
                    <c:v>48</c:v>
                  </c:pt>
                  <c:pt idx="155">
                    <c:v>52</c:v>
                  </c:pt>
                  <c:pt idx="156">
                    <c:v>1</c:v>
                  </c:pt>
                  <c:pt idx="159">
                    <c:v>4</c:v>
                  </c:pt>
                  <c:pt idx="163">
                    <c:v>8</c:v>
                  </c:pt>
                  <c:pt idx="167">
                    <c:v>12</c:v>
                  </c:pt>
                  <c:pt idx="171">
                    <c:v>16</c:v>
                  </c:pt>
                  <c:pt idx="177">
                    <c:v>22</c:v>
                  </c:pt>
                  <c:pt idx="181">
                    <c:v>26</c:v>
                  </c:pt>
                  <c:pt idx="185">
                    <c:v>30</c:v>
                  </c:pt>
                  <c:pt idx="191">
                    <c:v>36</c:v>
                  </c:pt>
                  <c:pt idx="195">
                    <c:v>40</c:v>
                  </c:pt>
                  <c:pt idx="199">
                    <c:v>44</c:v>
                  </c:pt>
                </c:lvl>
                <c:lvl>
                  <c:pt idx="0">
                    <c:v>2016</c:v>
                  </c:pt>
                  <c:pt idx="52">
                    <c:v>2017</c:v>
                  </c:pt>
                  <c:pt idx="104">
                    <c:v>2018</c:v>
                  </c:pt>
                  <c:pt idx="156">
                    <c:v>2019</c:v>
                  </c:pt>
                </c:lvl>
              </c:multiLvlStrCache>
            </c:multiLvlStrRef>
          </c:cat>
          <c:val>
            <c:numRef>
              <c:f>'13.Caudales'!$R$4:$R$203</c:f>
              <c:numCache>
                <c:formatCode>0.0</c:formatCode>
                <c:ptCount val="200"/>
                <c:pt idx="0">
                  <c:v>8.33</c:v>
                </c:pt>
                <c:pt idx="1">
                  <c:v>5.38</c:v>
                </c:pt>
                <c:pt idx="2">
                  <c:v>5.29</c:v>
                </c:pt>
                <c:pt idx="3">
                  <c:v>6.0640000000000001</c:v>
                </c:pt>
                <c:pt idx="4">
                  <c:v>9.59</c:v>
                </c:pt>
                <c:pt idx="5">
                  <c:v>12.82</c:v>
                </c:pt>
                <c:pt idx="6">
                  <c:v>12.43</c:v>
                </c:pt>
                <c:pt idx="7">
                  <c:v>19.3</c:v>
                </c:pt>
                <c:pt idx="8">
                  <c:v>19.514333090000001</c:v>
                </c:pt>
                <c:pt idx="9">
                  <c:v>20.1870002746582</c:v>
                </c:pt>
                <c:pt idx="10">
                  <c:v>18.452999932425314</c:v>
                </c:pt>
                <c:pt idx="11">
                  <c:v>12.7100000381469</c:v>
                </c:pt>
                <c:pt idx="12">
                  <c:v>15.171999931335399</c:v>
                </c:pt>
                <c:pt idx="13">
                  <c:v>13.217000007629398</c:v>
                </c:pt>
                <c:pt idx="14">
                  <c:v>11.291000366210898</c:v>
                </c:pt>
                <c:pt idx="15">
                  <c:v>11.63</c:v>
                </c:pt>
                <c:pt idx="16">
                  <c:v>10.010000228881799</c:v>
                </c:pt>
                <c:pt idx="17">
                  <c:v>6.3112858363560251</c:v>
                </c:pt>
                <c:pt idx="18">
                  <c:v>7.4910001754760689</c:v>
                </c:pt>
                <c:pt idx="19">
                  <c:v>6.8</c:v>
                </c:pt>
                <c:pt idx="20">
                  <c:v>5.4099998474121005</c:v>
                </c:pt>
                <c:pt idx="21">
                  <c:v>3.82</c:v>
                </c:pt>
                <c:pt idx="22">
                  <c:v>3.22</c:v>
                </c:pt>
                <c:pt idx="23">
                  <c:v>3.42</c:v>
                </c:pt>
                <c:pt idx="24">
                  <c:v>3.2130000590000001</c:v>
                </c:pt>
                <c:pt idx="25">
                  <c:v>3.5</c:v>
                </c:pt>
                <c:pt idx="26">
                  <c:v>4.0900001530000001</c:v>
                </c:pt>
                <c:pt idx="27">
                  <c:v>3.119999886</c:v>
                </c:pt>
                <c:pt idx="28">
                  <c:v>3.4249999519999998</c:v>
                </c:pt>
                <c:pt idx="29">
                  <c:v>2.8789999489999998</c:v>
                </c:pt>
                <c:pt idx="30">
                  <c:v>2.9382856232779297</c:v>
                </c:pt>
                <c:pt idx="31">
                  <c:v>3.2030000689999998</c:v>
                </c:pt>
                <c:pt idx="32">
                  <c:v>2.841857144</c:v>
                </c:pt>
                <c:pt idx="33">
                  <c:v>3.058000088</c:v>
                </c:pt>
                <c:pt idx="34">
                  <c:v>1.506999969</c:v>
                </c:pt>
                <c:pt idx="35">
                  <c:v>2.8</c:v>
                </c:pt>
                <c:pt idx="36">
                  <c:v>2.37</c:v>
                </c:pt>
                <c:pt idx="37">
                  <c:v>3.0060000420000001</c:v>
                </c:pt>
                <c:pt idx="38">
                  <c:v>3.32</c:v>
                </c:pt>
                <c:pt idx="39">
                  <c:v>3.1560000009999998</c:v>
                </c:pt>
                <c:pt idx="40">
                  <c:v>2.9028571673801928</c:v>
                </c:pt>
                <c:pt idx="41">
                  <c:v>2.8671428815714286</c:v>
                </c:pt>
                <c:pt idx="42">
                  <c:v>2.37</c:v>
                </c:pt>
                <c:pt idx="43">
                  <c:v>4.8899999999999997</c:v>
                </c:pt>
                <c:pt idx="44">
                  <c:v>1.61</c:v>
                </c:pt>
                <c:pt idx="45">
                  <c:v>1.6428571599999999</c:v>
                </c:pt>
                <c:pt idx="46">
                  <c:v>1.5142857009999999</c:v>
                </c:pt>
                <c:pt idx="47">
                  <c:v>1.4714285645714287</c:v>
                </c:pt>
                <c:pt idx="48">
                  <c:v>2.2400000000000002</c:v>
                </c:pt>
                <c:pt idx="49">
                  <c:v>2.19</c:v>
                </c:pt>
                <c:pt idx="50">
                  <c:v>3.71</c:v>
                </c:pt>
                <c:pt idx="51">
                  <c:v>3.57</c:v>
                </c:pt>
                <c:pt idx="52">
                  <c:v>11.3</c:v>
                </c:pt>
                <c:pt idx="53">
                  <c:v>15.4</c:v>
                </c:pt>
                <c:pt idx="54">
                  <c:v>21.94</c:v>
                </c:pt>
                <c:pt idx="55">
                  <c:v>23.91</c:v>
                </c:pt>
                <c:pt idx="56">
                  <c:v>18.07</c:v>
                </c:pt>
                <c:pt idx="57">
                  <c:v>21.42</c:v>
                </c:pt>
                <c:pt idx="58">
                  <c:v>25.12</c:v>
                </c:pt>
                <c:pt idx="59">
                  <c:v>23.33</c:v>
                </c:pt>
                <c:pt idx="60">
                  <c:v>24.83</c:v>
                </c:pt>
                <c:pt idx="61">
                  <c:v>24.95</c:v>
                </c:pt>
                <c:pt idx="62">
                  <c:v>26.89</c:v>
                </c:pt>
                <c:pt idx="63">
                  <c:v>20.6</c:v>
                </c:pt>
                <c:pt idx="64">
                  <c:v>24.02</c:v>
                </c:pt>
                <c:pt idx="65">
                  <c:v>17.87</c:v>
                </c:pt>
                <c:pt idx="66">
                  <c:v>17.87</c:v>
                </c:pt>
                <c:pt idx="67">
                  <c:v>11.46</c:v>
                </c:pt>
                <c:pt idx="68">
                  <c:v>11.46</c:v>
                </c:pt>
                <c:pt idx="69">
                  <c:v>10.36</c:v>
                </c:pt>
                <c:pt idx="70">
                  <c:v>9.25</c:v>
                </c:pt>
                <c:pt idx="71">
                  <c:v>6.32</c:v>
                </c:pt>
                <c:pt idx="72">
                  <c:v>6.32</c:v>
                </c:pt>
                <c:pt idx="73">
                  <c:v>5.59</c:v>
                </c:pt>
                <c:pt idx="74">
                  <c:v>4.8499999999999996</c:v>
                </c:pt>
                <c:pt idx="75">
                  <c:v>4.8499999999999996</c:v>
                </c:pt>
                <c:pt idx="76">
                  <c:v>3.77</c:v>
                </c:pt>
                <c:pt idx="77">
                  <c:v>3.77</c:v>
                </c:pt>
                <c:pt idx="78">
                  <c:v>3.91</c:v>
                </c:pt>
                <c:pt idx="79">
                  <c:v>3.91</c:v>
                </c:pt>
                <c:pt idx="80">
                  <c:v>3.42</c:v>
                </c:pt>
                <c:pt idx="81">
                  <c:v>3.42</c:v>
                </c:pt>
                <c:pt idx="82">
                  <c:v>3.3</c:v>
                </c:pt>
                <c:pt idx="83">
                  <c:v>2.68</c:v>
                </c:pt>
                <c:pt idx="84">
                  <c:v>2.4300000000000002</c:v>
                </c:pt>
                <c:pt idx="85">
                  <c:v>2.61</c:v>
                </c:pt>
                <c:pt idx="86">
                  <c:v>3.07</c:v>
                </c:pt>
                <c:pt idx="87">
                  <c:v>3.57</c:v>
                </c:pt>
                <c:pt idx="88">
                  <c:v>5.04</c:v>
                </c:pt>
                <c:pt idx="89">
                  <c:v>3.75</c:v>
                </c:pt>
                <c:pt idx="90">
                  <c:v>3.83</c:v>
                </c:pt>
                <c:pt idx="91">
                  <c:v>3.2</c:v>
                </c:pt>
                <c:pt idx="92">
                  <c:v>3.26</c:v>
                </c:pt>
                <c:pt idx="93">
                  <c:v>3.59</c:v>
                </c:pt>
                <c:pt idx="94">
                  <c:v>3.99</c:v>
                </c:pt>
                <c:pt idx="95">
                  <c:v>5.0199999999999996</c:v>
                </c:pt>
                <c:pt idx="96">
                  <c:v>4.2</c:v>
                </c:pt>
                <c:pt idx="97">
                  <c:v>3.7</c:v>
                </c:pt>
                <c:pt idx="98">
                  <c:v>3.85</c:v>
                </c:pt>
                <c:pt idx="99">
                  <c:v>3.558142900428571</c:v>
                </c:pt>
                <c:pt idx="100">
                  <c:v>3.2600000074285718</c:v>
                </c:pt>
                <c:pt idx="101">
                  <c:v>3.4628571441428577</c:v>
                </c:pt>
                <c:pt idx="102">
                  <c:v>4.2539999484285715</c:v>
                </c:pt>
                <c:pt idx="103">
                  <c:v>4.6457142829999993</c:v>
                </c:pt>
                <c:pt idx="104">
                  <c:v>4.4628571428571426</c:v>
                </c:pt>
                <c:pt idx="105">
                  <c:v>3.5944285392857145</c:v>
                </c:pt>
                <c:pt idx="106">
                  <c:v>8.3045714242857152</c:v>
                </c:pt>
                <c:pt idx="107">
                  <c:v>15.598142828000002</c:v>
                </c:pt>
                <c:pt idx="108">
                  <c:v>13.724571365714285</c:v>
                </c:pt>
                <c:pt idx="109">
                  <c:v>8.6634286477142854</c:v>
                </c:pt>
                <c:pt idx="110">
                  <c:v>11.071428435428571</c:v>
                </c:pt>
                <c:pt idx="111">
                  <c:v>14.97</c:v>
                </c:pt>
                <c:pt idx="112">
                  <c:v>14.185285431142857</c:v>
                </c:pt>
                <c:pt idx="113">
                  <c:v>17.434571538571429</c:v>
                </c:pt>
                <c:pt idx="114">
                  <c:v>17.048571724285715</c:v>
                </c:pt>
                <c:pt idx="115">
                  <c:v>21.62</c:v>
                </c:pt>
                <c:pt idx="116">
                  <c:v>17.439428465714283</c:v>
                </c:pt>
                <c:pt idx="117">
                  <c:v>12.833285604571429</c:v>
                </c:pt>
                <c:pt idx="118">
                  <c:v>15.571285655714286</c:v>
                </c:pt>
                <c:pt idx="119">
                  <c:v>12.83</c:v>
                </c:pt>
                <c:pt idx="120">
                  <c:v>13.52</c:v>
                </c:pt>
                <c:pt idx="121">
                  <c:v>14.166857039571427</c:v>
                </c:pt>
                <c:pt idx="122">
                  <c:v>12.650857108142857</c:v>
                </c:pt>
                <c:pt idx="123">
                  <c:v>10.013285772</c:v>
                </c:pt>
                <c:pt idx="124">
                  <c:v>7.8631429672857154</c:v>
                </c:pt>
                <c:pt idx="125">
                  <c:v>6.4215714250000007</c:v>
                </c:pt>
                <c:pt idx="126">
                  <c:v>5.5577142921428564</c:v>
                </c:pt>
                <c:pt idx="127">
                  <c:v>5.3317142215714286</c:v>
                </c:pt>
                <c:pt idx="128">
                  <c:v>3.7498572211428569</c:v>
                </c:pt>
                <c:pt idx="129">
                  <c:v>3.5651427677142853</c:v>
                </c:pt>
                <c:pt idx="130">
                  <c:v>4.7600000245714282</c:v>
                </c:pt>
                <c:pt idx="131">
                  <c:v>2.5707143034285713</c:v>
                </c:pt>
                <c:pt idx="132">
                  <c:v>3.7006000000000001</c:v>
                </c:pt>
                <c:pt idx="133">
                  <c:v>4.9111429789999992</c:v>
                </c:pt>
                <c:pt idx="134">
                  <c:v>3.28</c:v>
                </c:pt>
                <c:pt idx="135">
                  <c:v>4.8781427315714287</c:v>
                </c:pt>
                <c:pt idx="136">
                  <c:v>4.5999999999999996</c:v>
                </c:pt>
                <c:pt idx="137">
                  <c:v>5.1568571165714285</c:v>
                </c:pt>
                <c:pt idx="138">
                  <c:v>2.15</c:v>
                </c:pt>
                <c:pt idx="139">
                  <c:v>4.8342857142857136</c:v>
                </c:pt>
                <c:pt idx="140">
                  <c:v>3.1535714688571423</c:v>
                </c:pt>
                <c:pt idx="141">
                  <c:v>3.3441428289999995</c:v>
                </c:pt>
                <c:pt idx="142">
                  <c:v>4.6500000000000004</c:v>
                </c:pt>
                <c:pt idx="143">
                  <c:v>5.128571373571428</c:v>
                </c:pt>
                <c:pt idx="144">
                  <c:v>4.8594285079410948</c:v>
                </c:pt>
                <c:pt idx="145">
                  <c:v>4.00314286776951</c:v>
                </c:pt>
                <c:pt idx="146">
                  <c:v>6.0481427737644662</c:v>
                </c:pt>
                <c:pt idx="147">
                  <c:v>7.6531428608571428</c:v>
                </c:pt>
                <c:pt idx="148">
                  <c:v>4.2061428341428568</c:v>
                </c:pt>
                <c:pt idx="149">
                  <c:v>5.9</c:v>
                </c:pt>
                <c:pt idx="150">
                  <c:v>7.1015714912857133</c:v>
                </c:pt>
                <c:pt idx="151">
                  <c:v>4.3617142950000005</c:v>
                </c:pt>
                <c:pt idx="152">
                  <c:v>6.9099999999999993</c:v>
                </c:pt>
                <c:pt idx="153">
                  <c:v>6.5639999597142857</c:v>
                </c:pt>
                <c:pt idx="154">
                  <c:v>7.3285714285714283</c:v>
                </c:pt>
                <c:pt idx="155">
                  <c:v>7.4820000789999996</c:v>
                </c:pt>
                <c:pt idx="156">
                  <c:v>4.4642857141428571</c:v>
                </c:pt>
                <c:pt idx="157">
                  <c:v>3.3685714177142856</c:v>
                </c:pt>
                <c:pt idx="158">
                  <c:v>10.74</c:v>
                </c:pt>
                <c:pt idx="159">
                  <c:v>11.155714580142858</c:v>
                </c:pt>
                <c:pt idx="160">
                  <c:v>16.463000024285716</c:v>
                </c:pt>
                <c:pt idx="161">
                  <c:v>17.05857142857143</c:v>
                </c:pt>
                <c:pt idx="162">
                  <c:v>18.065285818571429</c:v>
                </c:pt>
                <c:pt idx="163">
                  <c:v>14.531571660571432</c:v>
                </c:pt>
                <c:pt idx="164">
                  <c:v>19.520428521428574</c:v>
                </c:pt>
                <c:pt idx="165">
                  <c:v>20.831714628571426</c:v>
                </c:pt>
                <c:pt idx="166">
                  <c:v>22.247142927987216</c:v>
                </c:pt>
                <c:pt idx="167">
                  <c:v>21.707857131428572</c:v>
                </c:pt>
                <c:pt idx="168">
                  <c:v>20.569142751428576</c:v>
                </c:pt>
                <c:pt idx="169">
                  <c:v>18.767857142857142</c:v>
                </c:pt>
                <c:pt idx="170">
                  <c:v>14.275999887714287</c:v>
                </c:pt>
                <c:pt idx="171">
                  <c:v>10.180143014285713</c:v>
                </c:pt>
                <c:pt idx="172">
                  <c:v>12.121571608857142</c:v>
                </c:pt>
                <c:pt idx="173">
                  <c:v>11.996285711571428</c:v>
                </c:pt>
                <c:pt idx="174">
                  <c:v>10.123285769857144</c:v>
                </c:pt>
                <c:pt idx="175">
                  <c:v>9.3731427190000005</c:v>
                </c:pt>
                <c:pt idx="176">
                  <c:v>7.085428442285715</c:v>
                </c:pt>
                <c:pt idx="177">
                  <c:v>7.3308571058571435</c:v>
                </c:pt>
                <c:pt idx="178">
                  <c:v>7.7242857718571427</c:v>
                </c:pt>
                <c:pt idx="179">
                  <c:v>8.8337143495714301</c:v>
                </c:pt>
                <c:pt idx="180">
                  <c:v>7.6592858184285708</c:v>
                </c:pt>
                <c:pt idx="181">
                  <c:v>6.2751428064285708</c:v>
                </c:pt>
                <c:pt idx="182">
                  <c:v>7.15</c:v>
                </c:pt>
                <c:pt idx="183">
                  <c:v>5.7058570728571425</c:v>
                </c:pt>
                <c:pt idx="184">
                  <c:v>6.4564285959516052</c:v>
                </c:pt>
                <c:pt idx="185">
                  <c:v>4.6828571428571433</c:v>
                </c:pt>
                <c:pt idx="186">
                  <c:v>6.0697142064285714</c:v>
                </c:pt>
                <c:pt idx="187">
                  <c:v>7.5088570807142858</c:v>
                </c:pt>
                <c:pt idx="188">
                  <c:v>3.2121428764285715</c:v>
                </c:pt>
                <c:pt idx="189">
                  <c:v>3.3949999810000002</c:v>
                </c:pt>
                <c:pt idx="190">
                  <c:v>7.1025714534285722</c:v>
                </c:pt>
                <c:pt idx="191">
                  <c:v>6.7619999824285708</c:v>
                </c:pt>
                <c:pt idx="192">
                  <c:v>6.5272856442857137</c:v>
                </c:pt>
                <c:pt idx="193">
                  <c:v>5.444285714285714</c:v>
                </c:pt>
                <c:pt idx="194">
                  <c:v>5.896142857415323</c:v>
                </c:pt>
                <c:pt idx="195">
                  <c:v>3.8238571030000004</c:v>
                </c:pt>
                <c:pt idx="196">
                  <c:v>4.0404286040000006</c:v>
                </c:pt>
                <c:pt idx="197">
                  <c:v>4.8257142857142856</c:v>
                </c:pt>
                <c:pt idx="198">
                  <c:v>7.354714223857143</c:v>
                </c:pt>
                <c:pt idx="199">
                  <c:v>6.0929999348571409</c:v>
                </c:pt>
              </c:numCache>
            </c:numRef>
          </c:val>
          <c:extLst>
            <c:ext xmlns:c16="http://schemas.microsoft.com/office/drawing/2014/chart" uri="{C3380CC4-5D6E-409C-BE32-E72D297353CC}">
              <c16:uniqueId val="{00000001-54B8-46D7-AFD1-7C97BC15F9A3}"/>
            </c:ext>
          </c:extLst>
        </c:ser>
        <c:dLbls>
          <c:showLegendKey val="0"/>
          <c:showVal val="0"/>
          <c:showCatName val="0"/>
          <c:showSerName val="0"/>
          <c:showPercent val="0"/>
          <c:showBubbleSize val="0"/>
        </c:dLbls>
        <c:axId val="351274880"/>
        <c:axId val="351281152"/>
      </c:areaChart>
      <c:catAx>
        <c:axId val="351274880"/>
        <c:scaling>
          <c:orientation val="minMax"/>
        </c:scaling>
        <c:delete val="0"/>
        <c:axPos val="b"/>
        <c:title>
          <c:tx>
            <c:rich>
              <a:bodyPr/>
              <a:lstStyle/>
              <a:p>
                <a:pPr>
                  <a:defRPr/>
                </a:pPr>
                <a:r>
                  <a:rPr lang="en-US"/>
                  <a:t>Semanas</a:t>
                </a:r>
              </a:p>
            </c:rich>
          </c:tx>
          <c:layout>
            <c:manualLayout>
              <c:xMode val="edge"/>
              <c:yMode val="edge"/>
              <c:x val="0.91073685998257348"/>
              <c:y val="0.93754924873264456"/>
            </c:manualLayout>
          </c:layout>
          <c:overlay val="0"/>
        </c:title>
        <c:numFmt formatCode="General" sourceLinked="1"/>
        <c:majorTickMark val="out"/>
        <c:minorTickMark val="none"/>
        <c:tickLblPos val="nextTo"/>
        <c:spPr>
          <a:ln/>
        </c:spPr>
        <c:txPr>
          <a:bodyPr/>
          <a:lstStyle/>
          <a:p>
            <a:pPr>
              <a:defRPr sz="800" b="0" kern="2000" spc="-100" baseline="0"/>
            </a:pPr>
            <a:endParaRPr lang="es-PE"/>
          </a:p>
        </c:txPr>
        <c:crossAx val="351281152"/>
        <c:crosses val="autoZero"/>
        <c:auto val="1"/>
        <c:lblAlgn val="ctr"/>
        <c:lblOffset val="100"/>
        <c:tickLblSkip val="200"/>
        <c:noMultiLvlLbl val="0"/>
      </c:catAx>
      <c:valAx>
        <c:axId val="351281152"/>
        <c:scaling>
          <c:orientation val="minMax"/>
        </c:scaling>
        <c:delete val="0"/>
        <c:axPos val="l"/>
        <c:majorGridlines/>
        <c:title>
          <c:tx>
            <c:rich>
              <a:bodyPr rot="0" vert="horz"/>
              <a:lstStyle/>
              <a:p>
                <a:pPr>
                  <a:defRPr/>
                </a:pPr>
                <a:r>
                  <a:rPr lang="en-US"/>
                  <a:t>m3/s</a:t>
                </a:r>
              </a:p>
            </c:rich>
          </c:tx>
          <c:layout>
            <c:manualLayout>
              <c:xMode val="edge"/>
              <c:yMode val="edge"/>
              <c:x val="5.7133994293922892E-3"/>
              <c:y val="3.3573341769482234E-2"/>
            </c:manualLayout>
          </c:layout>
          <c:overlay val="0"/>
        </c:title>
        <c:numFmt formatCode="0" sourceLinked="0"/>
        <c:majorTickMark val="out"/>
        <c:minorTickMark val="none"/>
        <c:tickLblPos val="nextTo"/>
        <c:crossAx val="351274880"/>
        <c:crosses val="autoZero"/>
        <c:crossBetween val="between"/>
      </c:valAx>
    </c:plotArea>
    <c:legend>
      <c:legendPos val="t"/>
      <c:layout>
        <c:manualLayout>
          <c:xMode val="edge"/>
          <c:yMode val="edge"/>
          <c:x val="0.34111515197232239"/>
          <c:y val="0.1710458958743877"/>
          <c:w val="0.33978052701922146"/>
          <c:h val="6.4264558887561857E-2"/>
        </c:manualLayout>
      </c:layout>
      <c:overlay val="0"/>
    </c:legend>
    <c:plotVisOnly val="1"/>
    <c:dispBlanksAs val="gap"/>
    <c:showDLblsOverMax val="0"/>
  </c:chart>
  <c:spPr>
    <a:noFill/>
    <a:ln>
      <a:noFill/>
    </a:ln>
  </c:spPr>
  <c:printSettings>
    <c:headerFooter>
      <c:oddHeader>&amp;R&amp;7Informe de la Operación Mensual - Enero 2018
INFSGI-MES-01-2018
15/02/2018
Versión: 01</c:oddHeader>
    </c:headerFooter>
    <c:pageMargins b="0.75" l="0.7" r="0.7" t="0.75" header="0.3" footer="0.3"/>
    <c:pageSetup paperSize="9" orientation="landscape"/>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800"/>
            </a:pPr>
            <a:r>
              <a:rPr lang="en-US" sz="800"/>
              <a:t>CAUDALES</a:t>
            </a:r>
            <a:r>
              <a:rPr lang="en-US" sz="800" baseline="0"/>
              <a:t> </a:t>
            </a:r>
            <a:r>
              <a:rPr lang="en-US" sz="800"/>
              <a:t>DE LOS RÍOS MANTARO, TULUMAYO Y TARMA</a:t>
            </a:r>
          </a:p>
        </c:rich>
      </c:tx>
      <c:overlay val="1"/>
    </c:title>
    <c:autoTitleDeleted val="0"/>
    <c:plotArea>
      <c:layout>
        <c:manualLayout>
          <c:layoutTarget val="inner"/>
          <c:xMode val="edge"/>
          <c:yMode val="edge"/>
          <c:x val="6.0670796785473401E-2"/>
          <c:y val="0.17694994803333938"/>
          <c:w val="0.92446702092359789"/>
          <c:h val="0.62124993956389307"/>
        </c:manualLayout>
      </c:layout>
      <c:areaChart>
        <c:grouping val="standard"/>
        <c:varyColors val="0"/>
        <c:ser>
          <c:idx val="2"/>
          <c:order val="0"/>
          <c:tx>
            <c:strRef>
              <c:f>'13.Caudales'!$S$3</c:f>
              <c:strCache>
                <c:ptCount val="1"/>
                <c:pt idx="0">
                  <c:v>MANTARO</c:v>
                </c:pt>
              </c:strCache>
            </c:strRef>
          </c:tx>
          <c:spPr>
            <a:solidFill>
              <a:srgbClr val="0077A5"/>
            </a:solidFill>
          </c:spPr>
          <c:cat>
            <c:multiLvlStrRef>
              <c:f>'13.Caudales'!$N$4:$O$203</c:f>
              <c:multiLvlStrCache>
                <c:ptCount val="200"/>
                <c:lvl>
                  <c:pt idx="0">
                    <c:v>1</c:v>
                  </c:pt>
                  <c:pt idx="3">
                    <c:v>4</c:v>
                  </c:pt>
                  <c:pt idx="7">
                    <c:v>8</c:v>
                  </c:pt>
                  <c:pt idx="11">
                    <c:v>12</c:v>
                  </c:pt>
                  <c:pt idx="15">
                    <c:v>16</c:v>
                  </c:pt>
                  <c:pt idx="19">
                    <c:v>20</c:v>
                  </c:pt>
                  <c:pt idx="23">
                    <c:v>24</c:v>
                  </c:pt>
                  <c:pt idx="27">
                    <c:v>28</c:v>
                  </c:pt>
                  <c:pt idx="31">
                    <c:v>32</c:v>
                  </c:pt>
                  <c:pt idx="35">
                    <c:v>36</c:v>
                  </c:pt>
                  <c:pt idx="38">
                    <c:v>39</c:v>
                  </c:pt>
                  <c:pt idx="42">
                    <c:v>43</c:v>
                  </c:pt>
                  <c:pt idx="47">
                    <c:v>48</c:v>
                  </c:pt>
                  <c:pt idx="51">
                    <c:v>52</c:v>
                  </c:pt>
                  <c:pt idx="52">
                    <c:v>1</c:v>
                  </c:pt>
                  <c:pt idx="55">
                    <c:v>4</c:v>
                  </c:pt>
                  <c:pt idx="59">
                    <c:v>8</c:v>
                  </c:pt>
                  <c:pt idx="63">
                    <c:v>12</c:v>
                  </c:pt>
                  <c:pt idx="67">
                    <c:v>16</c:v>
                  </c:pt>
                  <c:pt idx="71">
                    <c:v>20</c:v>
                  </c:pt>
                  <c:pt idx="75">
                    <c:v>24</c:v>
                  </c:pt>
                  <c:pt idx="79">
                    <c:v>28</c:v>
                  </c:pt>
                  <c:pt idx="83">
                    <c:v>32</c:v>
                  </c:pt>
                  <c:pt idx="87">
                    <c:v>36</c:v>
                  </c:pt>
                  <c:pt idx="90">
                    <c:v>39</c:v>
                  </c:pt>
                  <c:pt idx="94">
                    <c:v>43</c:v>
                  </c:pt>
                  <c:pt idx="99">
                    <c:v>48</c:v>
                  </c:pt>
                  <c:pt idx="103">
                    <c:v>52</c:v>
                  </c:pt>
                  <c:pt idx="104">
                    <c:v>1</c:v>
                  </c:pt>
                  <c:pt idx="107">
                    <c:v>4</c:v>
                  </c:pt>
                  <c:pt idx="111">
                    <c:v>8</c:v>
                  </c:pt>
                  <c:pt idx="115">
                    <c:v>12</c:v>
                  </c:pt>
                  <c:pt idx="119">
                    <c:v>16</c:v>
                  </c:pt>
                  <c:pt idx="123">
                    <c:v>20</c:v>
                  </c:pt>
                  <c:pt idx="127">
                    <c:v>24</c:v>
                  </c:pt>
                  <c:pt idx="131">
                    <c:v>28</c:v>
                  </c:pt>
                  <c:pt idx="135">
                    <c:v>32</c:v>
                  </c:pt>
                  <c:pt idx="139">
                    <c:v>36</c:v>
                  </c:pt>
                  <c:pt idx="143">
                    <c:v>40</c:v>
                  </c:pt>
                  <c:pt idx="147">
                    <c:v>44</c:v>
                  </c:pt>
                  <c:pt idx="151">
                    <c:v>48</c:v>
                  </c:pt>
                  <c:pt idx="155">
                    <c:v>52</c:v>
                  </c:pt>
                  <c:pt idx="156">
                    <c:v>1</c:v>
                  </c:pt>
                  <c:pt idx="159">
                    <c:v>4</c:v>
                  </c:pt>
                  <c:pt idx="163">
                    <c:v>8</c:v>
                  </c:pt>
                  <c:pt idx="167">
                    <c:v>12</c:v>
                  </c:pt>
                  <c:pt idx="171">
                    <c:v>16</c:v>
                  </c:pt>
                  <c:pt idx="177">
                    <c:v>22</c:v>
                  </c:pt>
                  <c:pt idx="181">
                    <c:v>26</c:v>
                  </c:pt>
                  <c:pt idx="185">
                    <c:v>30</c:v>
                  </c:pt>
                  <c:pt idx="191">
                    <c:v>36</c:v>
                  </c:pt>
                  <c:pt idx="195">
                    <c:v>40</c:v>
                  </c:pt>
                  <c:pt idx="199">
                    <c:v>44</c:v>
                  </c:pt>
                </c:lvl>
                <c:lvl>
                  <c:pt idx="0">
                    <c:v>2016</c:v>
                  </c:pt>
                  <c:pt idx="52">
                    <c:v>2017</c:v>
                  </c:pt>
                  <c:pt idx="104">
                    <c:v>2018</c:v>
                  </c:pt>
                  <c:pt idx="156">
                    <c:v>2019</c:v>
                  </c:pt>
                </c:lvl>
              </c:multiLvlStrCache>
            </c:multiLvlStrRef>
          </c:cat>
          <c:val>
            <c:numRef>
              <c:f>'13.Caudales'!$S$4:$S$203</c:f>
              <c:numCache>
                <c:formatCode>0.0</c:formatCode>
                <c:ptCount val="200"/>
                <c:pt idx="0">
                  <c:v>165.03200000000001</c:v>
                </c:pt>
                <c:pt idx="1">
                  <c:v>137.04</c:v>
                </c:pt>
                <c:pt idx="2">
                  <c:v>102.45</c:v>
                </c:pt>
                <c:pt idx="3">
                  <c:v>93.71</c:v>
                </c:pt>
                <c:pt idx="4">
                  <c:v>142.55000000000001</c:v>
                </c:pt>
                <c:pt idx="5">
                  <c:v>223.15</c:v>
                </c:pt>
                <c:pt idx="6">
                  <c:v>223.86</c:v>
                </c:pt>
                <c:pt idx="7">
                  <c:v>297.45999999999998</c:v>
                </c:pt>
                <c:pt idx="8">
                  <c:v>326.48699649999998</c:v>
                </c:pt>
                <c:pt idx="9">
                  <c:v>281.91442869999997</c:v>
                </c:pt>
                <c:pt idx="10">
                  <c:v>302.97000000000003</c:v>
                </c:pt>
                <c:pt idx="11">
                  <c:v>179.33771623883899</c:v>
                </c:pt>
                <c:pt idx="12">
                  <c:v>130.67500305175699</c:v>
                </c:pt>
                <c:pt idx="13">
                  <c:v>121.81457192557171</c:v>
                </c:pt>
                <c:pt idx="14">
                  <c:v>184.69442967006074</c:v>
                </c:pt>
                <c:pt idx="15">
                  <c:v>164.52</c:v>
                </c:pt>
                <c:pt idx="16">
                  <c:v>152.88357325962556</c:v>
                </c:pt>
                <c:pt idx="17">
                  <c:v>98.225285121372636</c:v>
                </c:pt>
                <c:pt idx="18">
                  <c:v>86.615142822265582</c:v>
                </c:pt>
                <c:pt idx="19">
                  <c:v>78.2</c:v>
                </c:pt>
                <c:pt idx="20">
                  <c:v>73.744141714913454</c:v>
                </c:pt>
                <c:pt idx="21">
                  <c:v>66.739999999999995</c:v>
                </c:pt>
                <c:pt idx="22">
                  <c:v>59.4</c:v>
                </c:pt>
                <c:pt idx="23">
                  <c:v>54.3</c:v>
                </c:pt>
                <c:pt idx="24">
                  <c:v>56.674428669999998</c:v>
                </c:pt>
                <c:pt idx="25">
                  <c:v>68.087428501674069</c:v>
                </c:pt>
                <c:pt idx="26">
                  <c:v>60.110428400000004</c:v>
                </c:pt>
                <c:pt idx="27">
                  <c:v>60.986856189999997</c:v>
                </c:pt>
                <c:pt idx="28">
                  <c:v>56.540714260000001</c:v>
                </c:pt>
                <c:pt idx="29">
                  <c:v>65.491856709999993</c:v>
                </c:pt>
                <c:pt idx="30">
                  <c:v>65.491856711251344</c:v>
                </c:pt>
                <c:pt idx="31">
                  <c:v>49.942714418571427</c:v>
                </c:pt>
                <c:pt idx="32">
                  <c:v>57.183571406773112</c:v>
                </c:pt>
                <c:pt idx="33">
                  <c:v>49.366142269999997</c:v>
                </c:pt>
                <c:pt idx="34">
                  <c:v>56.934856959999998</c:v>
                </c:pt>
                <c:pt idx="35">
                  <c:v>48.51</c:v>
                </c:pt>
                <c:pt idx="36">
                  <c:v>43.99</c:v>
                </c:pt>
                <c:pt idx="37">
                  <c:v>47.220570700000003</c:v>
                </c:pt>
                <c:pt idx="38">
                  <c:v>63.05</c:v>
                </c:pt>
                <c:pt idx="39">
                  <c:v>61.54114314571428</c:v>
                </c:pt>
                <c:pt idx="40">
                  <c:v>58.117285592215353</c:v>
                </c:pt>
                <c:pt idx="41">
                  <c:v>58.888142721428572</c:v>
                </c:pt>
                <c:pt idx="42">
                  <c:v>69.2</c:v>
                </c:pt>
                <c:pt idx="43">
                  <c:v>51.59</c:v>
                </c:pt>
                <c:pt idx="44">
                  <c:v>72.92</c:v>
                </c:pt>
                <c:pt idx="45">
                  <c:v>58.4</c:v>
                </c:pt>
                <c:pt idx="46">
                  <c:v>52.554856440000002</c:v>
                </c:pt>
                <c:pt idx="47">
                  <c:v>53.429429191428575</c:v>
                </c:pt>
                <c:pt idx="48">
                  <c:v>61.07</c:v>
                </c:pt>
                <c:pt idx="49">
                  <c:v>78.02</c:v>
                </c:pt>
                <c:pt idx="50">
                  <c:v>67.64</c:v>
                </c:pt>
                <c:pt idx="51">
                  <c:v>56.187571937142856</c:v>
                </c:pt>
                <c:pt idx="52">
                  <c:v>104.02</c:v>
                </c:pt>
                <c:pt idx="53">
                  <c:v>143.97</c:v>
                </c:pt>
                <c:pt idx="54">
                  <c:v>355.12</c:v>
                </c:pt>
                <c:pt idx="55">
                  <c:v>519.4</c:v>
                </c:pt>
                <c:pt idx="56">
                  <c:v>330.78</c:v>
                </c:pt>
                <c:pt idx="57">
                  <c:v>200.58</c:v>
                </c:pt>
                <c:pt idx="58">
                  <c:v>393.69</c:v>
                </c:pt>
                <c:pt idx="59">
                  <c:v>345.37</c:v>
                </c:pt>
                <c:pt idx="60">
                  <c:v>567.22</c:v>
                </c:pt>
                <c:pt idx="61">
                  <c:v>467.04</c:v>
                </c:pt>
                <c:pt idx="62">
                  <c:v>448.3</c:v>
                </c:pt>
                <c:pt idx="63">
                  <c:v>350.87</c:v>
                </c:pt>
                <c:pt idx="64">
                  <c:v>380.48</c:v>
                </c:pt>
                <c:pt idx="65">
                  <c:v>427.28</c:v>
                </c:pt>
                <c:pt idx="66">
                  <c:v>334.14</c:v>
                </c:pt>
                <c:pt idx="67">
                  <c:v>218.96</c:v>
                </c:pt>
                <c:pt idx="68">
                  <c:v>180.47</c:v>
                </c:pt>
                <c:pt idx="69">
                  <c:v>212.89</c:v>
                </c:pt>
                <c:pt idx="70">
                  <c:v>199.54</c:v>
                </c:pt>
                <c:pt idx="71">
                  <c:v>136.84</c:v>
                </c:pt>
                <c:pt idx="72">
                  <c:v>116.86</c:v>
                </c:pt>
                <c:pt idx="73">
                  <c:v>118.58</c:v>
                </c:pt>
                <c:pt idx="74">
                  <c:v>112.05</c:v>
                </c:pt>
                <c:pt idx="75">
                  <c:v>91.62</c:v>
                </c:pt>
                <c:pt idx="76">
                  <c:v>81.33</c:v>
                </c:pt>
                <c:pt idx="77">
                  <c:v>80.900000000000006</c:v>
                </c:pt>
                <c:pt idx="78">
                  <c:v>82.99</c:v>
                </c:pt>
                <c:pt idx="79">
                  <c:v>71.739999999999995</c:v>
                </c:pt>
                <c:pt idx="80">
                  <c:v>67.8</c:v>
                </c:pt>
                <c:pt idx="81">
                  <c:v>69.62</c:v>
                </c:pt>
                <c:pt idx="82">
                  <c:v>61.71</c:v>
                </c:pt>
                <c:pt idx="83">
                  <c:v>65.38</c:v>
                </c:pt>
                <c:pt idx="84">
                  <c:v>59.63</c:v>
                </c:pt>
                <c:pt idx="85">
                  <c:v>60.62</c:v>
                </c:pt>
                <c:pt idx="86">
                  <c:v>58.47</c:v>
                </c:pt>
                <c:pt idx="87">
                  <c:v>61.13</c:v>
                </c:pt>
                <c:pt idx="88">
                  <c:v>59.93</c:v>
                </c:pt>
                <c:pt idx="89">
                  <c:v>64.319999999999993</c:v>
                </c:pt>
                <c:pt idx="90">
                  <c:v>66.83</c:v>
                </c:pt>
                <c:pt idx="91">
                  <c:v>56.32</c:v>
                </c:pt>
                <c:pt idx="92">
                  <c:v>57.18</c:v>
                </c:pt>
                <c:pt idx="93">
                  <c:v>71.87</c:v>
                </c:pt>
                <c:pt idx="94">
                  <c:v>73.22</c:v>
                </c:pt>
                <c:pt idx="95">
                  <c:v>75.150000000000006</c:v>
                </c:pt>
                <c:pt idx="96">
                  <c:v>67.39</c:v>
                </c:pt>
                <c:pt idx="97">
                  <c:v>66.959999999999994</c:v>
                </c:pt>
                <c:pt idx="98">
                  <c:v>67.72</c:v>
                </c:pt>
                <c:pt idx="99">
                  <c:v>77.366571698571434</c:v>
                </c:pt>
                <c:pt idx="100">
                  <c:v>84.55585806714285</c:v>
                </c:pt>
                <c:pt idx="101">
                  <c:v>77.460142951428566</c:v>
                </c:pt>
                <c:pt idx="102">
                  <c:v>78.166143688571424</c:v>
                </c:pt>
                <c:pt idx="103">
                  <c:v>86.972714017142849</c:v>
                </c:pt>
                <c:pt idx="104">
                  <c:v>140.04142857142858</c:v>
                </c:pt>
                <c:pt idx="105">
                  <c:v>209.91800362857143</c:v>
                </c:pt>
                <c:pt idx="106">
                  <c:v>223.6645725857143</c:v>
                </c:pt>
                <c:pt idx="107">
                  <c:v>346.88342720000003</c:v>
                </c:pt>
                <c:pt idx="108">
                  <c:v>214.95928737142859</c:v>
                </c:pt>
                <c:pt idx="109">
                  <c:v>166.34242902857142</c:v>
                </c:pt>
                <c:pt idx="110">
                  <c:v>239.50057330000001</c:v>
                </c:pt>
                <c:pt idx="111">
                  <c:v>357.61814662857148</c:v>
                </c:pt>
                <c:pt idx="112">
                  <c:v>333.90885488571433</c:v>
                </c:pt>
                <c:pt idx="113">
                  <c:v>431.64157101428572</c:v>
                </c:pt>
                <c:pt idx="114">
                  <c:v>485.98543439999997</c:v>
                </c:pt>
                <c:pt idx="115">
                  <c:v>465.24414497142863</c:v>
                </c:pt>
                <c:pt idx="116">
                  <c:v>396.37686155714289</c:v>
                </c:pt>
                <c:pt idx="117">
                  <c:v>226.32643345714288</c:v>
                </c:pt>
                <c:pt idx="118">
                  <c:v>207.40800040000002</c:v>
                </c:pt>
                <c:pt idx="119">
                  <c:v>166.38871437142856</c:v>
                </c:pt>
                <c:pt idx="120">
                  <c:v>168.19342804285716</c:v>
                </c:pt>
                <c:pt idx="121">
                  <c:v>171.5428597714286</c:v>
                </c:pt>
                <c:pt idx="122">
                  <c:v>146.54485865714287</c:v>
                </c:pt>
                <c:pt idx="123">
                  <c:v>112.76242937142857</c:v>
                </c:pt>
                <c:pt idx="124">
                  <c:v>94.636570517142857</c:v>
                </c:pt>
                <c:pt idx="125">
                  <c:v>81.718714031428576</c:v>
                </c:pt>
                <c:pt idx="126">
                  <c:v>83.760285512857152</c:v>
                </c:pt>
                <c:pt idx="127">
                  <c:v>82.799001421428557</c:v>
                </c:pt>
                <c:pt idx="128">
                  <c:v>74.093855721428568</c:v>
                </c:pt>
                <c:pt idx="129">
                  <c:v>66.795142037142867</c:v>
                </c:pt>
                <c:pt idx="130">
                  <c:v>67.368571689999996</c:v>
                </c:pt>
                <c:pt idx="131">
                  <c:v>65.073571887142847</c:v>
                </c:pt>
                <c:pt idx="132">
                  <c:v>62.515714285714289</c:v>
                </c:pt>
                <c:pt idx="133">
                  <c:v>57.148857115714286</c:v>
                </c:pt>
                <c:pt idx="134">
                  <c:v>58.768000000000001</c:v>
                </c:pt>
                <c:pt idx="135">
                  <c:v>54.703428540000004</c:v>
                </c:pt>
                <c:pt idx="136">
                  <c:v>59.066285269999995</c:v>
                </c:pt>
                <c:pt idx="137">
                  <c:v>82.033571515714272</c:v>
                </c:pt>
                <c:pt idx="138">
                  <c:v>71.48</c:v>
                </c:pt>
                <c:pt idx="139">
                  <c:v>63.092857142857149</c:v>
                </c:pt>
                <c:pt idx="140">
                  <c:v>61.141713821428574</c:v>
                </c:pt>
                <c:pt idx="141">
                  <c:v>49.664428712857145</c:v>
                </c:pt>
                <c:pt idx="142">
                  <c:v>42.24</c:v>
                </c:pt>
                <c:pt idx="143">
                  <c:v>38.906285422857138</c:v>
                </c:pt>
                <c:pt idx="144">
                  <c:v>42.923713956560341</c:v>
                </c:pt>
                <c:pt idx="145">
                  <c:v>73.976001194545148</c:v>
                </c:pt>
                <c:pt idx="146">
                  <c:v>97.234427315848038</c:v>
                </c:pt>
                <c:pt idx="147">
                  <c:v>120.62971387142855</c:v>
                </c:pt>
                <c:pt idx="148">
                  <c:v>125.43157086857143</c:v>
                </c:pt>
                <c:pt idx="149">
                  <c:v>78.757142857142853</c:v>
                </c:pt>
                <c:pt idx="150">
                  <c:v>88.111712864285735</c:v>
                </c:pt>
                <c:pt idx="151">
                  <c:v>80.151286534285717</c:v>
                </c:pt>
                <c:pt idx="152">
                  <c:v>66.555714285714288</c:v>
                </c:pt>
                <c:pt idx="153">
                  <c:v>61.602715082857152</c:v>
                </c:pt>
                <c:pt idx="154">
                  <c:v>53.9</c:v>
                </c:pt>
                <c:pt idx="155">
                  <c:v>57.504999978571433</c:v>
                </c:pt>
                <c:pt idx="156">
                  <c:v>57.514999934285704</c:v>
                </c:pt>
                <c:pt idx="157">
                  <c:v>63.363856724285711</c:v>
                </c:pt>
                <c:pt idx="158">
                  <c:v>80.75</c:v>
                </c:pt>
                <c:pt idx="159">
                  <c:v>85.689570837142853</c:v>
                </c:pt>
                <c:pt idx="160">
                  <c:v>416.48700821428571</c:v>
                </c:pt>
                <c:pt idx="161">
                  <c:v>426.67142857142863</c:v>
                </c:pt>
                <c:pt idx="162">
                  <c:v>581.62514822857145</c:v>
                </c:pt>
                <c:pt idx="163">
                  <c:v>439.74099729999995</c:v>
                </c:pt>
                <c:pt idx="164">
                  <c:v>316.26999772857147</c:v>
                </c:pt>
                <c:pt idx="165">
                  <c:v>326.63642664285715</c:v>
                </c:pt>
                <c:pt idx="166">
                  <c:v>416.08099801199745</c:v>
                </c:pt>
                <c:pt idx="167">
                  <c:v>394.13957431428571</c:v>
                </c:pt>
                <c:pt idx="168">
                  <c:v>522.42285592857138</c:v>
                </c:pt>
                <c:pt idx="169">
                  <c:v>316.33943394285717</c:v>
                </c:pt>
                <c:pt idx="170">
                  <c:v>168.45457024285716</c:v>
                </c:pt>
                <c:pt idx="171">
                  <c:v>131.80142647142856</c:v>
                </c:pt>
                <c:pt idx="172">
                  <c:v>143.84128789999997</c:v>
                </c:pt>
                <c:pt idx="173">
                  <c:v>111.12314277285714</c:v>
                </c:pt>
                <c:pt idx="174">
                  <c:v>89.41828482428572</c:v>
                </c:pt>
                <c:pt idx="175">
                  <c:v>79.212427410000004</c:v>
                </c:pt>
                <c:pt idx="176">
                  <c:v>62.717000688571432</c:v>
                </c:pt>
                <c:pt idx="177">
                  <c:v>41.633143151428598</c:v>
                </c:pt>
                <c:pt idx="178">
                  <c:v>41.633143151428598</c:v>
                </c:pt>
                <c:pt idx="179">
                  <c:v>78.434000150000003</c:v>
                </c:pt>
                <c:pt idx="180">
                  <c:v>77.872000559999989</c:v>
                </c:pt>
                <c:pt idx="181">
                  <c:v>76.447856358571428</c:v>
                </c:pt>
                <c:pt idx="182">
                  <c:v>77.430000000000007</c:v>
                </c:pt>
                <c:pt idx="183">
                  <c:v>76.24514443428572</c:v>
                </c:pt>
                <c:pt idx="184">
                  <c:v>66.31271307809007</c:v>
                </c:pt>
                <c:pt idx="185">
                  <c:v>72.048571428571435</c:v>
                </c:pt>
                <c:pt idx="186">
                  <c:v>71.543143134285714</c:v>
                </c:pt>
                <c:pt idx="187">
                  <c:v>73.754999434285722</c:v>
                </c:pt>
                <c:pt idx="188">
                  <c:v>68.878572191428574</c:v>
                </c:pt>
                <c:pt idx="189">
                  <c:v>65.663999831428569</c:v>
                </c:pt>
                <c:pt idx="190">
                  <c:v>65.224427905714279</c:v>
                </c:pt>
                <c:pt idx="191">
                  <c:v>60.719142914285719</c:v>
                </c:pt>
                <c:pt idx="192">
                  <c:v>62.679428645714289</c:v>
                </c:pt>
                <c:pt idx="193">
                  <c:v>65.47</c:v>
                </c:pt>
                <c:pt idx="194">
                  <c:v>72.930715288434641</c:v>
                </c:pt>
                <c:pt idx="195">
                  <c:v>70.661287578571418</c:v>
                </c:pt>
                <c:pt idx="196">
                  <c:v>65.047571455714291</c:v>
                </c:pt>
                <c:pt idx="197">
                  <c:v>67.597142857142856</c:v>
                </c:pt>
                <c:pt idx="198">
                  <c:v>80.445570807142857</c:v>
                </c:pt>
                <c:pt idx="199">
                  <c:v>68.079284669999993</c:v>
                </c:pt>
              </c:numCache>
            </c:numRef>
          </c:val>
          <c:extLst>
            <c:ext xmlns:c16="http://schemas.microsoft.com/office/drawing/2014/chart" uri="{C3380CC4-5D6E-409C-BE32-E72D297353CC}">
              <c16:uniqueId val="{00000000-B34C-4256-AD7D-0647565F6528}"/>
            </c:ext>
          </c:extLst>
        </c:ser>
        <c:ser>
          <c:idx val="3"/>
          <c:order val="1"/>
          <c:tx>
            <c:strRef>
              <c:f>'13.Caudales'!$T$3</c:f>
              <c:strCache>
                <c:ptCount val="1"/>
                <c:pt idx="0">
                  <c:v>TULUMAYO</c:v>
                </c:pt>
              </c:strCache>
            </c:strRef>
          </c:tx>
          <c:spPr>
            <a:solidFill>
              <a:schemeClr val="accent5">
                <a:lumMod val="60000"/>
                <a:lumOff val="40000"/>
                <a:alpha val="78000"/>
              </a:schemeClr>
            </a:solidFill>
            <a:ln w="25400">
              <a:noFill/>
            </a:ln>
          </c:spPr>
          <c:cat>
            <c:multiLvlStrRef>
              <c:f>'13.Caudales'!$N$4:$O$203</c:f>
              <c:multiLvlStrCache>
                <c:ptCount val="200"/>
                <c:lvl>
                  <c:pt idx="0">
                    <c:v>1</c:v>
                  </c:pt>
                  <c:pt idx="3">
                    <c:v>4</c:v>
                  </c:pt>
                  <c:pt idx="7">
                    <c:v>8</c:v>
                  </c:pt>
                  <c:pt idx="11">
                    <c:v>12</c:v>
                  </c:pt>
                  <c:pt idx="15">
                    <c:v>16</c:v>
                  </c:pt>
                  <c:pt idx="19">
                    <c:v>20</c:v>
                  </c:pt>
                  <c:pt idx="23">
                    <c:v>24</c:v>
                  </c:pt>
                  <c:pt idx="27">
                    <c:v>28</c:v>
                  </c:pt>
                  <c:pt idx="31">
                    <c:v>32</c:v>
                  </c:pt>
                  <c:pt idx="35">
                    <c:v>36</c:v>
                  </c:pt>
                  <c:pt idx="38">
                    <c:v>39</c:v>
                  </c:pt>
                  <c:pt idx="42">
                    <c:v>43</c:v>
                  </c:pt>
                  <c:pt idx="47">
                    <c:v>48</c:v>
                  </c:pt>
                  <c:pt idx="51">
                    <c:v>52</c:v>
                  </c:pt>
                  <c:pt idx="52">
                    <c:v>1</c:v>
                  </c:pt>
                  <c:pt idx="55">
                    <c:v>4</c:v>
                  </c:pt>
                  <c:pt idx="59">
                    <c:v>8</c:v>
                  </c:pt>
                  <c:pt idx="63">
                    <c:v>12</c:v>
                  </c:pt>
                  <c:pt idx="67">
                    <c:v>16</c:v>
                  </c:pt>
                  <c:pt idx="71">
                    <c:v>20</c:v>
                  </c:pt>
                  <c:pt idx="75">
                    <c:v>24</c:v>
                  </c:pt>
                  <c:pt idx="79">
                    <c:v>28</c:v>
                  </c:pt>
                  <c:pt idx="83">
                    <c:v>32</c:v>
                  </c:pt>
                  <c:pt idx="87">
                    <c:v>36</c:v>
                  </c:pt>
                  <c:pt idx="90">
                    <c:v>39</c:v>
                  </c:pt>
                  <c:pt idx="94">
                    <c:v>43</c:v>
                  </c:pt>
                  <c:pt idx="99">
                    <c:v>48</c:v>
                  </c:pt>
                  <c:pt idx="103">
                    <c:v>52</c:v>
                  </c:pt>
                  <c:pt idx="104">
                    <c:v>1</c:v>
                  </c:pt>
                  <c:pt idx="107">
                    <c:v>4</c:v>
                  </c:pt>
                  <c:pt idx="111">
                    <c:v>8</c:v>
                  </c:pt>
                  <c:pt idx="115">
                    <c:v>12</c:v>
                  </c:pt>
                  <c:pt idx="119">
                    <c:v>16</c:v>
                  </c:pt>
                  <c:pt idx="123">
                    <c:v>20</c:v>
                  </c:pt>
                  <c:pt idx="127">
                    <c:v>24</c:v>
                  </c:pt>
                  <c:pt idx="131">
                    <c:v>28</c:v>
                  </c:pt>
                  <c:pt idx="135">
                    <c:v>32</c:v>
                  </c:pt>
                  <c:pt idx="139">
                    <c:v>36</c:v>
                  </c:pt>
                  <c:pt idx="143">
                    <c:v>40</c:v>
                  </c:pt>
                  <c:pt idx="147">
                    <c:v>44</c:v>
                  </c:pt>
                  <c:pt idx="151">
                    <c:v>48</c:v>
                  </c:pt>
                  <c:pt idx="155">
                    <c:v>52</c:v>
                  </c:pt>
                  <c:pt idx="156">
                    <c:v>1</c:v>
                  </c:pt>
                  <c:pt idx="159">
                    <c:v>4</c:v>
                  </c:pt>
                  <c:pt idx="163">
                    <c:v>8</c:v>
                  </c:pt>
                  <c:pt idx="167">
                    <c:v>12</c:v>
                  </c:pt>
                  <c:pt idx="171">
                    <c:v>16</c:v>
                  </c:pt>
                  <c:pt idx="177">
                    <c:v>22</c:v>
                  </c:pt>
                  <c:pt idx="181">
                    <c:v>26</c:v>
                  </c:pt>
                  <c:pt idx="185">
                    <c:v>30</c:v>
                  </c:pt>
                  <c:pt idx="191">
                    <c:v>36</c:v>
                  </c:pt>
                  <c:pt idx="195">
                    <c:v>40</c:v>
                  </c:pt>
                  <c:pt idx="199">
                    <c:v>44</c:v>
                  </c:pt>
                </c:lvl>
                <c:lvl>
                  <c:pt idx="0">
                    <c:v>2016</c:v>
                  </c:pt>
                  <c:pt idx="52">
                    <c:v>2017</c:v>
                  </c:pt>
                  <c:pt idx="104">
                    <c:v>2018</c:v>
                  </c:pt>
                  <c:pt idx="156">
                    <c:v>2019</c:v>
                  </c:pt>
                </c:lvl>
              </c:multiLvlStrCache>
            </c:multiLvlStrRef>
          </c:cat>
          <c:val>
            <c:numRef>
              <c:f>'13.Caudales'!$T$4:$T$203</c:f>
              <c:numCache>
                <c:formatCode>0.0</c:formatCode>
                <c:ptCount val="200"/>
                <c:pt idx="0">
                  <c:v>95.83</c:v>
                </c:pt>
                <c:pt idx="1">
                  <c:v>78.260000000000005</c:v>
                </c:pt>
                <c:pt idx="2">
                  <c:v>101.264</c:v>
                </c:pt>
                <c:pt idx="3">
                  <c:v>79.73</c:v>
                </c:pt>
                <c:pt idx="4">
                  <c:v>128.66</c:v>
                </c:pt>
                <c:pt idx="5">
                  <c:v>174.87</c:v>
                </c:pt>
                <c:pt idx="6">
                  <c:v>126.56</c:v>
                </c:pt>
                <c:pt idx="7">
                  <c:v>188.83</c:v>
                </c:pt>
                <c:pt idx="8">
                  <c:v>170.33500290000001</c:v>
                </c:pt>
                <c:pt idx="9">
                  <c:v>164.05856977190246</c:v>
                </c:pt>
                <c:pt idx="10">
                  <c:v>146.11571393694155</c:v>
                </c:pt>
                <c:pt idx="11">
                  <c:v>114.18428584507485</c:v>
                </c:pt>
                <c:pt idx="12">
                  <c:v>89.040000915527301</c:v>
                </c:pt>
                <c:pt idx="13">
                  <c:v>78.037142072405103</c:v>
                </c:pt>
                <c:pt idx="14">
                  <c:v>74.048570905412902</c:v>
                </c:pt>
                <c:pt idx="15">
                  <c:v>81.069999999999993</c:v>
                </c:pt>
                <c:pt idx="16">
                  <c:v>64.311428070000005</c:v>
                </c:pt>
                <c:pt idx="17">
                  <c:v>46.242857796805197</c:v>
                </c:pt>
                <c:pt idx="18">
                  <c:v>41.954286302838973</c:v>
                </c:pt>
                <c:pt idx="19">
                  <c:v>39.6</c:v>
                </c:pt>
                <c:pt idx="20">
                  <c:v>44.79285812377924</c:v>
                </c:pt>
                <c:pt idx="21">
                  <c:v>34.01</c:v>
                </c:pt>
                <c:pt idx="22">
                  <c:v>28.71</c:v>
                </c:pt>
                <c:pt idx="23">
                  <c:v>30.83</c:v>
                </c:pt>
                <c:pt idx="24">
                  <c:v>25.690000260000001</c:v>
                </c:pt>
                <c:pt idx="25">
                  <c:v>30.317143300000001</c:v>
                </c:pt>
                <c:pt idx="26">
                  <c:v>28.581429350000001</c:v>
                </c:pt>
                <c:pt idx="27">
                  <c:v>27.099999836512943</c:v>
                </c:pt>
                <c:pt idx="28">
                  <c:v>23.477142610000001</c:v>
                </c:pt>
                <c:pt idx="29">
                  <c:v>21.095714300000001</c:v>
                </c:pt>
                <c:pt idx="30">
                  <c:v>20.037142889840243</c:v>
                </c:pt>
                <c:pt idx="31">
                  <c:v>23.275714059999999</c:v>
                </c:pt>
                <c:pt idx="32">
                  <c:v>22.619999750000002</c:v>
                </c:pt>
                <c:pt idx="33">
                  <c:v>25.04757145</c:v>
                </c:pt>
                <c:pt idx="34">
                  <c:v>21.374285830000002</c:v>
                </c:pt>
                <c:pt idx="35">
                  <c:v>22.661428449999999</c:v>
                </c:pt>
                <c:pt idx="36">
                  <c:v>19.149999999999999</c:v>
                </c:pt>
                <c:pt idx="37">
                  <c:v>22.304285589999999</c:v>
                </c:pt>
                <c:pt idx="38">
                  <c:v>48.7</c:v>
                </c:pt>
                <c:pt idx="39">
                  <c:v>37.928571428999994</c:v>
                </c:pt>
                <c:pt idx="40">
                  <c:v>48.921429225376635</c:v>
                </c:pt>
                <c:pt idx="41">
                  <c:v>55.619142805714283</c:v>
                </c:pt>
                <c:pt idx="42">
                  <c:v>54.58</c:v>
                </c:pt>
                <c:pt idx="43">
                  <c:v>57.65</c:v>
                </c:pt>
                <c:pt idx="44">
                  <c:v>67.069999999999993</c:v>
                </c:pt>
                <c:pt idx="45">
                  <c:v>34.982142860000003</c:v>
                </c:pt>
                <c:pt idx="46">
                  <c:v>29.07742855</c:v>
                </c:pt>
                <c:pt idx="47">
                  <c:v>88.059571399999996</c:v>
                </c:pt>
                <c:pt idx="48">
                  <c:v>106.59</c:v>
                </c:pt>
                <c:pt idx="49">
                  <c:v>104.79</c:v>
                </c:pt>
                <c:pt idx="50">
                  <c:v>69.61</c:v>
                </c:pt>
                <c:pt idx="51">
                  <c:v>58.452428545714284</c:v>
                </c:pt>
                <c:pt idx="52">
                  <c:v>148.43</c:v>
                </c:pt>
                <c:pt idx="53">
                  <c:v>175.88</c:v>
                </c:pt>
                <c:pt idx="54">
                  <c:v>177.57</c:v>
                </c:pt>
                <c:pt idx="55">
                  <c:v>205.76</c:v>
                </c:pt>
                <c:pt idx="56">
                  <c:v>123.41</c:v>
                </c:pt>
                <c:pt idx="57">
                  <c:v>108.48</c:v>
                </c:pt>
                <c:pt idx="58">
                  <c:v>144.62</c:v>
                </c:pt>
                <c:pt idx="59">
                  <c:v>140.63</c:v>
                </c:pt>
                <c:pt idx="60">
                  <c:v>245.85</c:v>
                </c:pt>
                <c:pt idx="61">
                  <c:v>188.01</c:v>
                </c:pt>
                <c:pt idx="62">
                  <c:v>169.95</c:v>
                </c:pt>
                <c:pt idx="63">
                  <c:v>146.01</c:v>
                </c:pt>
                <c:pt idx="64">
                  <c:v>173.02</c:v>
                </c:pt>
                <c:pt idx="65">
                  <c:v>137.65</c:v>
                </c:pt>
                <c:pt idx="66">
                  <c:v>129.9</c:v>
                </c:pt>
                <c:pt idx="67">
                  <c:v>100.66</c:v>
                </c:pt>
                <c:pt idx="68">
                  <c:v>91.24</c:v>
                </c:pt>
                <c:pt idx="69">
                  <c:v>98.95</c:v>
                </c:pt>
                <c:pt idx="70">
                  <c:v>89.02</c:v>
                </c:pt>
                <c:pt idx="71">
                  <c:v>72.95</c:v>
                </c:pt>
                <c:pt idx="72">
                  <c:v>99.42</c:v>
                </c:pt>
                <c:pt idx="73">
                  <c:v>79.099999999999994</c:v>
                </c:pt>
                <c:pt idx="74">
                  <c:v>63.27</c:v>
                </c:pt>
                <c:pt idx="75">
                  <c:v>49.79</c:v>
                </c:pt>
                <c:pt idx="76">
                  <c:v>46.74</c:v>
                </c:pt>
                <c:pt idx="77">
                  <c:v>41.45</c:v>
                </c:pt>
                <c:pt idx="78">
                  <c:v>60.31</c:v>
                </c:pt>
                <c:pt idx="79">
                  <c:v>39.090000000000003</c:v>
                </c:pt>
                <c:pt idx="80">
                  <c:v>32.590000000000003</c:v>
                </c:pt>
                <c:pt idx="81">
                  <c:v>28.39</c:v>
                </c:pt>
                <c:pt idx="82">
                  <c:v>26.51</c:v>
                </c:pt>
                <c:pt idx="83">
                  <c:v>24.1</c:v>
                </c:pt>
                <c:pt idx="84">
                  <c:v>24.29</c:v>
                </c:pt>
                <c:pt idx="85">
                  <c:v>25.9</c:v>
                </c:pt>
                <c:pt idx="86">
                  <c:v>26.33</c:v>
                </c:pt>
                <c:pt idx="87">
                  <c:v>27.35</c:v>
                </c:pt>
                <c:pt idx="88">
                  <c:v>34.56</c:v>
                </c:pt>
                <c:pt idx="89">
                  <c:v>41.74</c:v>
                </c:pt>
                <c:pt idx="90">
                  <c:v>46.48</c:v>
                </c:pt>
                <c:pt idx="91">
                  <c:v>28.11</c:v>
                </c:pt>
                <c:pt idx="92">
                  <c:v>32.11</c:v>
                </c:pt>
                <c:pt idx="93">
                  <c:v>64.69</c:v>
                </c:pt>
                <c:pt idx="94">
                  <c:v>71.16</c:v>
                </c:pt>
                <c:pt idx="95">
                  <c:v>62.33</c:v>
                </c:pt>
                <c:pt idx="96">
                  <c:v>61.76</c:v>
                </c:pt>
                <c:pt idx="97">
                  <c:v>66.040000000000006</c:v>
                </c:pt>
                <c:pt idx="98">
                  <c:v>52.82</c:v>
                </c:pt>
                <c:pt idx="99">
                  <c:v>66.577285762857144</c:v>
                </c:pt>
                <c:pt idx="100">
                  <c:v>72.732000077142857</c:v>
                </c:pt>
                <c:pt idx="101">
                  <c:v>64.097142899999994</c:v>
                </c:pt>
                <c:pt idx="102">
                  <c:v>94.237856191428577</c:v>
                </c:pt>
                <c:pt idx="103">
                  <c:v>94.357285634285716</c:v>
                </c:pt>
                <c:pt idx="104">
                  <c:v>143.09</c:v>
                </c:pt>
                <c:pt idx="105">
                  <c:v>160.98214394285716</c:v>
                </c:pt>
                <c:pt idx="106">
                  <c:v>190.44042751428574</c:v>
                </c:pt>
                <c:pt idx="107">
                  <c:v>205.5832868285714</c:v>
                </c:pt>
                <c:pt idx="108">
                  <c:v>93.607142857142861</c:v>
                </c:pt>
                <c:pt idx="109">
                  <c:v>108.25571334000001</c:v>
                </c:pt>
                <c:pt idx="110">
                  <c:v>202.98199900000003</c:v>
                </c:pt>
                <c:pt idx="111">
                  <c:v>251.1</c:v>
                </c:pt>
                <c:pt idx="112">
                  <c:v>204.95843285714287</c:v>
                </c:pt>
                <c:pt idx="113">
                  <c:v>177.15485925714287</c:v>
                </c:pt>
                <c:pt idx="114">
                  <c:v>169.375</c:v>
                </c:pt>
                <c:pt idx="115">
                  <c:v>201.58328465714288</c:v>
                </c:pt>
                <c:pt idx="116">
                  <c:v>163.75585502857143</c:v>
                </c:pt>
                <c:pt idx="117">
                  <c:v>133.53585814285714</c:v>
                </c:pt>
                <c:pt idx="118">
                  <c:v>107.59514291428572</c:v>
                </c:pt>
                <c:pt idx="119">
                  <c:v>95.78</c:v>
                </c:pt>
                <c:pt idx="120">
                  <c:v>95.39</c:v>
                </c:pt>
                <c:pt idx="121">
                  <c:v>85.958285739999994</c:v>
                </c:pt>
                <c:pt idx="122">
                  <c:v>88.244000028571435</c:v>
                </c:pt>
                <c:pt idx="123">
                  <c:v>64.809571402857145</c:v>
                </c:pt>
                <c:pt idx="124">
                  <c:v>49.303714208571428</c:v>
                </c:pt>
                <c:pt idx="125">
                  <c:v>42.928571428571431</c:v>
                </c:pt>
                <c:pt idx="126">
                  <c:v>67.797571451428567</c:v>
                </c:pt>
                <c:pt idx="127">
                  <c:v>63.982142857142854</c:v>
                </c:pt>
                <c:pt idx="128">
                  <c:v>53.035571505714287</c:v>
                </c:pt>
                <c:pt idx="129">
                  <c:v>40.369000025714286</c:v>
                </c:pt>
                <c:pt idx="130">
                  <c:v>33.409999999999997</c:v>
                </c:pt>
                <c:pt idx="131">
                  <c:v>33.160714285714285</c:v>
                </c:pt>
                <c:pt idx="132">
                  <c:v>35.738</c:v>
                </c:pt>
                <c:pt idx="133">
                  <c:v>85.065429679999994</c:v>
                </c:pt>
                <c:pt idx="134">
                  <c:v>40.375</c:v>
                </c:pt>
                <c:pt idx="135">
                  <c:v>52.946428571428569</c:v>
                </c:pt>
                <c:pt idx="136">
                  <c:v>47.13</c:v>
                </c:pt>
                <c:pt idx="137">
                  <c:v>63.892999920000001</c:v>
                </c:pt>
                <c:pt idx="138">
                  <c:v>45.64</c:v>
                </c:pt>
                <c:pt idx="139">
                  <c:v>34.571428571428569</c:v>
                </c:pt>
                <c:pt idx="140">
                  <c:v>28.744000025714286</c:v>
                </c:pt>
                <c:pt idx="141">
                  <c:v>35.571571351428574</c:v>
                </c:pt>
                <c:pt idx="142">
                  <c:v>39.39</c:v>
                </c:pt>
                <c:pt idx="143">
                  <c:v>41.34000069857143</c:v>
                </c:pt>
                <c:pt idx="144">
                  <c:v>56.607142857142847</c:v>
                </c:pt>
                <c:pt idx="145">
                  <c:v>89.232285635811792</c:v>
                </c:pt>
                <c:pt idx="146">
                  <c:v>125.70828465052978</c:v>
                </c:pt>
                <c:pt idx="147">
                  <c:v>157.60714285714286</c:v>
                </c:pt>
                <c:pt idx="148">
                  <c:v>105.63685608857143</c:v>
                </c:pt>
                <c:pt idx="149">
                  <c:v>79.304285714285712</c:v>
                </c:pt>
                <c:pt idx="150">
                  <c:v>74.684428622857141</c:v>
                </c:pt>
                <c:pt idx="151">
                  <c:v>95.303570342857142</c:v>
                </c:pt>
                <c:pt idx="152">
                  <c:v>54.31</c:v>
                </c:pt>
                <c:pt idx="153">
                  <c:v>52.47614288285714</c:v>
                </c:pt>
                <c:pt idx="154">
                  <c:v>126.14285714285714</c:v>
                </c:pt>
                <c:pt idx="155">
                  <c:v>100.38085719714286</c:v>
                </c:pt>
                <c:pt idx="156">
                  <c:v>79.871427261428579</c:v>
                </c:pt>
                <c:pt idx="157">
                  <c:v>84.184571402857145</c:v>
                </c:pt>
                <c:pt idx="158">
                  <c:v>149.30000000000001</c:v>
                </c:pt>
                <c:pt idx="159">
                  <c:v>168.80999974285714</c:v>
                </c:pt>
                <c:pt idx="160">
                  <c:v>195.24999782857142</c:v>
                </c:pt>
                <c:pt idx="161">
                  <c:v>265.28000000000003</c:v>
                </c:pt>
                <c:pt idx="162">
                  <c:v>230.7322888857143</c:v>
                </c:pt>
                <c:pt idx="163">
                  <c:v>219.37485614285717</c:v>
                </c:pt>
                <c:pt idx="164">
                  <c:v>191.17842539999998</c:v>
                </c:pt>
                <c:pt idx="165">
                  <c:v>184.08928571428572</c:v>
                </c:pt>
                <c:pt idx="166">
                  <c:v>226.88085501534573</c:v>
                </c:pt>
                <c:pt idx="167">
                  <c:v>203.44642857142858</c:v>
                </c:pt>
                <c:pt idx="168">
                  <c:v>225.26185825714285</c:v>
                </c:pt>
                <c:pt idx="169">
                  <c:v>152.47643277142856</c:v>
                </c:pt>
                <c:pt idx="170">
                  <c:v>98.160714291428576</c:v>
                </c:pt>
                <c:pt idx="171">
                  <c:v>98.279714314285712</c:v>
                </c:pt>
                <c:pt idx="172">
                  <c:v>83.547571454285716</c:v>
                </c:pt>
                <c:pt idx="173">
                  <c:v>74.392857142857139</c:v>
                </c:pt>
                <c:pt idx="174">
                  <c:v>60.613000051428571</c:v>
                </c:pt>
                <c:pt idx="175">
                  <c:v>72.321428569999995</c:v>
                </c:pt>
                <c:pt idx="176">
                  <c:v>52.565571377142859</c:v>
                </c:pt>
                <c:pt idx="177">
                  <c:v>49.261999948571429</c:v>
                </c:pt>
                <c:pt idx="178">
                  <c:v>40.500142779999997</c:v>
                </c:pt>
                <c:pt idx="179">
                  <c:v>35.785857065714289</c:v>
                </c:pt>
                <c:pt idx="180">
                  <c:v>33.357000077142857</c:v>
                </c:pt>
                <c:pt idx="181">
                  <c:v>29.154571531428569</c:v>
                </c:pt>
                <c:pt idx="182">
                  <c:v>30.35</c:v>
                </c:pt>
                <c:pt idx="183">
                  <c:v>27.702285765714286</c:v>
                </c:pt>
                <c:pt idx="184">
                  <c:v>29.940428597586454</c:v>
                </c:pt>
                <c:pt idx="185">
                  <c:v>36.729999999999997</c:v>
                </c:pt>
                <c:pt idx="186">
                  <c:v>31.720428468571431</c:v>
                </c:pt>
                <c:pt idx="187">
                  <c:v>23.255857194285714</c:v>
                </c:pt>
                <c:pt idx="188">
                  <c:v>21.297428674285715</c:v>
                </c:pt>
                <c:pt idx="189">
                  <c:v>20.922428674285715</c:v>
                </c:pt>
                <c:pt idx="190">
                  <c:v>19.458285740000001</c:v>
                </c:pt>
                <c:pt idx="191">
                  <c:v>25.369000025714286</c:v>
                </c:pt>
                <c:pt idx="192">
                  <c:v>28.136857168571428</c:v>
                </c:pt>
                <c:pt idx="193">
                  <c:v>29.351428571428567</c:v>
                </c:pt>
                <c:pt idx="194">
                  <c:v>26.470285688127774</c:v>
                </c:pt>
                <c:pt idx="195">
                  <c:v>28.190571377142856</c:v>
                </c:pt>
                <c:pt idx="196">
                  <c:v>47.010571615714284</c:v>
                </c:pt>
                <c:pt idx="197">
                  <c:v>47.291428571428575</c:v>
                </c:pt>
                <c:pt idx="198">
                  <c:v>71.934570317142857</c:v>
                </c:pt>
                <c:pt idx="199">
                  <c:v>33.011999948571429</c:v>
                </c:pt>
              </c:numCache>
            </c:numRef>
          </c:val>
          <c:extLst>
            <c:ext xmlns:c16="http://schemas.microsoft.com/office/drawing/2014/chart" uri="{C3380CC4-5D6E-409C-BE32-E72D297353CC}">
              <c16:uniqueId val="{00000001-B34C-4256-AD7D-0647565F6528}"/>
            </c:ext>
          </c:extLst>
        </c:ser>
        <c:dLbls>
          <c:showLegendKey val="0"/>
          <c:showVal val="0"/>
          <c:showCatName val="0"/>
          <c:showSerName val="0"/>
          <c:showPercent val="0"/>
          <c:showBubbleSize val="0"/>
        </c:dLbls>
        <c:axId val="351297536"/>
        <c:axId val="351299456"/>
      </c:areaChart>
      <c:lineChart>
        <c:grouping val="standard"/>
        <c:varyColors val="0"/>
        <c:ser>
          <c:idx val="1"/>
          <c:order val="2"/>
          <c:tx>
            <c:strRef>
              <c:f>'13.Caudales'!$U$3</c:f>
              <c:strCache>
                <c:ptCount val="1"/>
                <c:pt idx="0">
                  <c:v>TARMA</c:v>
                </c:pt>
              </c:strCache>
            </c:strRef>
          </c:tx>
          <c:spPr>
            <a:ln>
              <a:solidFill>
                <a:schemeClr val="accent1">
                  <a:lumMod val="75000"/>
                </a:schemeClr>
              </a:solidFill>
            </a:ln>
          </c:spPr>
          <c:marker>
            <c:symbol val="none"/>
          </c:marker>
          <c:cat>
            <c:multiLvlStrRef>
              <c:f>'13.Caudales'!$N$4:$O$203</c:f>
              <c:multiLvlStrCache>
                <c:ptCount val="200"/>
                <c:lvl>
                  <c:pt idx="0">
                    <c:v>1</c:v>
                  </c:pt>
                  <c:pt idx="3">
                    <c:v>4</c:v>
                  </c:pt>
                  <c:pt idx="7">
                    <c:v>8</c:v>
                  </c:pt>
                  <c:pt idx="11">
                    <c:v>12</c:v>
                  </c:pt>
                  <c:pt idx="15">
                    <c:v>16</c:v>
                  </c:pt>
                  <c:pt idx="19">
                    <c:v>20</c:v>
                  </c:pt>
                  <c:pt idx="23">
                    <c:v>24</c:v>
                  </c:pt>
                  <c:pt idx="27">
                    <c:v>28</c:v>
                  </c:pt>
                  <c:pt idx="31">
                    <c:v>32</c:v>
                  </c:pt>
                  <c:pt idx="35">
                    <c:v>36</c:v>
                  </c:pt>
                  <c:pt idx="38">
                    <c:v>39</c:v>
                  </c:pt>
                  <c:pt idx="42">
                    <c:v>43</c:v>
                  </c:pt>
                  <c:pt idx="47">
                    <c:v>48</c:v>
                  </c:pt>
                  <c:pt idx="51">
                    <c:v>52</c:v>
                  </c:pt>
                  <c:pt idx="52">
                    <c:v>1</c:v>
                  </c:pt>
                  <c:pt idx="55">
                    <c:v>4</c:v>
                  </c:pt>
                  <c:pt idx="59">
                    <c:v>8</c:v>
                  </c:pt>
                  <c:pt idx="63">
                    <c:v>12</c:v>
                  </c:pt>
                  <c:pt idx="67">
                    <c:v>16</c:v>
                  </c:pt>
                  <c:pt idx="71">
                    <c:v>20</c:v>
                  </c:pt>
                  <c:pt idx="75">
                    <c:v>24</c:v>
                  </c:pt>
                  <c:pt idx="79">
                    <c:v>28</c:v>
                  </c:pt>
                  <c:pt idx="83">
                    <c:v>32</c:v>
                  </c:pt>
                  <c:pt idx="87">
                    <c:v>36</c:v>
                  </c:pt>
                  <c:pt idx="90">
                    <c:v>39</c:v>
                  </c:pt>
                  <c:pt idx="94">
                    <c:v>43</c:v>
                  </c:pt>
                  <c:pt idx="99">
                    <c:v>48</c:v>
                  </c:pt>
                  <c:pt idx="103">
                    <c:v>52</c:v>
                  </c:pt>
                  <c:pt idx="104">
                    <c:v>1</c:v>
                  </c:pt>
                  <c:pt idx="107">
                    <c:v>4</c:v>
                  </c:pt>
                  <c:pt idx="111">
                    <c:v>8</c:v>
                  </c:pt>
                  <c:pt idx="115">
                    <c:v>12</c:v>
                  </c:pt>
                  <c:pt idx="119">
                    <c:v>16</c:v>
                  </c:pt>
                  <c:pt idx="123">
                    <c:v>20</c:v>
                  </c:pt>
                  <c:pt idx="127">
                    <c:v>24</c:v>
                  </c:pt>
                  <c:pt idx="131">
                    <c:v>28</c:v>
                  </c:pt>
                  <c:pt idx="135">
                    <c:v>32</c:v>
                  </c:pt>
                  <c:pt idx="139">
                    <c:v>36</c:v>
                  </c:pt>
                  <c:pt idx="143">
                    <c:v>40</c:v>
                  </c:pt>
                  <c:pt idx="147">
                    <c:v>44</c:v>
                  </c:pt>
                  <c:pt idx="151">
                    <c:v>48</c:v>
                  </c:pt>
                  <c:pt idx="155">
                    <c:v>52</c:v>
                  </c:pt>
                  <c:pt idx="156">
                    <c:v>1</c:v>
                  </c:pt>
                  <c:pt idx="159">
                    <c:v>4</c:v>
                  </c:pt>
                  <c:pt idx="163">
                    <c:v>8</c:v>
                  </c:pt>
                  <c:pt idx="167">
                    <c:v>12</c:v>
                  </c:pt>
                  <c:pt idx="171">
                    <c:v>16</c:v>
                  </c:pt>
                  <c:pt idx="177">
                    <c:v>22</c:v>
                  </c:pt>
                  <c:pt idx="181">
                    <c:v>26</c:v>
                  </c:pt>
                  <c:pt idx="185">
                    <c:v>30</c:v>
                  </c:pt>
                  <c:pt idx="191">
                    <c:v>36</c:v>
                  </c:pt>
                  <c:pt idx="195">
                    <c:v>40</c:v>
                  </c:pt>
                  <c:pt idx="199">
                    <c:v>44</c:v>
                  </c:pt>
                </c:lvl>
                <c:lvl>
                  <c:pt idx="0">
                    <c:v>2016</c:v>
                  </c:pt>
                  <c:pt idx="52">
                    <c:v>2017</c:v>
                  </c:pt>
                  <c:pt idx="104">
                    <c:v>2018</c:v>
                  </c:pt>
                  <c:pt idx="156">
                    <c:v>2019</c:v>
                  </c:pt>
                </c:lvl>
              </c:multiLvlStrCache>
            </c:multiLvlStrRef>
          </c:cat>
          <c:val>
            <c:numRef>
              <c:f>'13.Caudales'!$U$4:$U$203</c:f>
              <c:numCache>
                <c:formatCode>0.0</c:formatCode>
                <c:ptCount val="200"/>
                <c:pt idx="0">
                  <c:v>18.5</c:v>
                </c:pt>
                <c:pt idx="1">
                  <c:v>13.1</c:v>
                </c:pt>
                <c:pt idx="2">
                  <c:v>15.26</c:v>
                </c:pt>
                <c:pt idx="3">
                  <c:v>12.66</c:v>
                </c:pt>
                <c:pt idx="4">
                  <c:v>24.24</c:v>
                </c:pt>
                <c:pt idx="5">
                  <c:v>35.18</c:v>
                </c:pt>
                <c:pt idx="6">
                  <c:v>25.04</c:v>
                </c:pt>
                <c:pt idx="7">
                  <c:v>26.72</c:v>
                </c:pt>
                <c:pt idx="8">
                  <c:v>30.940000529999999</c:v>
                </c:pt>
                <c:pt idx="9">
                  <c:v>30.751428604125927</c:v>
                </c:pt>
                <c:pt idx="10">
                  <c:v>26.230000359671411</c:v>
                </c:pt>
                <c:pt idx="11">
                  <c:v>18.61999988555905</c:v>
                </c:pt>
                <c:pt idx="12">
                  <c:v>15.310000419616699</c:v>
                </c:pt>
                <c:pt idx="13">
                  <c:v>14.082857131957956</c:v>
                </c:pt>
                <c:pt idx="14">
                  <c:v>17.312857082911869</c:v>
                </c:pt>
                <c:pt idx="15">
                  <c:v>21.07</c:v>
                </c:pt>
                <c:pt idx="16">
                  <c:v>16.638571469999999</c:v>
                </c:pt>
                <c:pt idx="17">
                  <c:v>10.637142998831566</c:v>
                </c:pt>
                <c:pt idx="18">
                  <c:v>9.4342857088361427</c:v>
                </c:pt>
                <c:pt idx="19">
                  <c:v>8.6</c:v>
                </c:pt>
                <c:pt idx="20">
                  <c:v>10.11999988555907</c:v>
                </c:pt>
                <c:pt idx="21">
                  <c:v>8.15</c:v>
                </c:pt>
                <c:pt idx="22">
                  <c:v>7.74</c:v>
                </c:pt>
                <c:pt idx="23">
                  <c:v>7.53</c:v>
                </c:pt>
                <c:pt idx="24">
                  <c:v>6.9342856409999998</c:v>
                </c:pt>
                <c:pt idx="25">
                  <c:v>8.8971428190000008</c:v>
                </c:pt>
                <c:pt idx="26">
                  <c:v>7.9442856649999998</c:v>
                </c:pt>
                <c:pt idx="27">
                  <c:v>7.4514284819999999</c:v>
                </c:pt>
                <c:pt idx="28">
                  <c:v>6.2828570089999998</c:v>
                </c:pt>
                <c:pt idx="29">
                  <c:v>5.8057142669999999</c:v>
                </c:pt>
                <c:pt idx="30">
                  <c:v>5.4814286231994549</c:v>
                </c:pt>
                <c:pt idx="31">
                  <c:v>5.8257142479999997</c:v>
                </c:pt>
                <c:pt idx="32">
                  <c:v>5.5228571210000004</c:v>
                </c:pt>
                <c:pt idx="33">
                  <c:v>5.8727143149999996</c:v>
                </c:pt>
                <c:pt idx="34">
                  <c:v>4.9342857090000001</c:v>
                </c:pt>
                <c:pt idx="35">
                  <c:v>4.9800000000000004</c:v>
                </c:pt>
                <c:pt idx="36">
                  <c:v>5.31</c:v>
                </c:pt>
                <c:pt idx="37">
                  <c:v>5.581428528</c:v>
                </c:pt>
                <c:pt idx="38">
                  <c:v>7.81</c:v>
                </c:pt>
                <c:pt idx="39">
                  <c:v>7.9165713450000004</c:v>
                </c:pt>
                <c:pt idx="40">
                  <c:v>8.5942858287266173</c:v>
                </c:pt>
                <c:pt idx="41">
                  <c:v>9.5089999614285716</c:v>
                </c:pt>
                <c:pt idx="42">
                  <c:v>8.23</c:v>
                </c:pt>
                <c:pt idx="43">
                  <c:v>7.72</c:v>
                </c:pt>
                <c:pt idx="44">
                  <c:v>6.9</c:v>
                </c:pt>
                <c:pt idx="45">
                  <c:v>5.0667143550000002</c:v>
                </c:pt>
                <c:pt idx="46">
                  <c:v>4.2727143420000004</c:v>
                </c:pt>
                <c:pt idx="47">
                  <c:v>7.879285812428571</c:v>
                </c:pt>
                <c:pt idx="48">
                  <c:v>16.09</c:v>
                </c:pt>
                <c:pt idx="49">
                  <c:v>18.649999999999999</c:v>
                </c:pt>
                <c:pt idx="50">
                  <c:v>11.22</c:v>
                </c:pt>
                <c:pt idx="51">
                  <c:v>8.01</c:v>
                </c:pt>
                <c:pt idx="52">
                  <c:v>24.1</c:v>
                </c:pt>
                <c:pt idx="53">
                  <c:v>33.74</c:v>
                </c:pt>
                <c:pt idx="54">
                  <c:v>35.49</c:v>
                </c:pt>
                <c:pt idx="55">
                  <c:v>48.48</c:v>
                </c:pt>
                <c:pt idx="56">
                  <c:v>25.33</c:v>
                </c:pt>
                <c:pt idx="57">
                  <c:v>22.99</c:v>
                </c:pt>
                <c:pt idx="58">
                  <c:v>39.44</c:v>
                </c:pt>
                <c:pt idx="59">
                  <c:v>30.47</c:v>
                </c:pt>
                <c:pt idx="60">
                  <c:v>67.56</c:v>
                </c:pt>
                <c:pt idx="61">
                  <c:v>50.5</c:v>
                </c:pt>
                <c:pt idx="62">
                  <c:v>51.21</c:v>
                </c:pt>
                <c:pt idx="63">
                  <c:v>38.08</c:v>
                </c:pt>
                <c:pt idx="64">
                  <c:v>38.869999999999997</c:v>
                </c:pt>
                <c:pt idx="65">
                  <c:v>35.950000000000003</c:v>
                </c:pt>
                <c:pt idx="66">
                  <c:v>29.93</c:v>
                </c:pt>
                <c:pt idx="67">
                  <c:v>21.85</c:v>
                </c:pt>
                <c:pt idx="68">
                  <c:v>18.89</c:v>
                </c:pt>
                <c:pt idx="69">
                  <c:v>19.899999999999999</c:v>
                </c:pt>
                <c:pt idx="70">
                  <c:v>15.9</c:v>
                </c:pt>
                <c:pt idx="71">
                  <c:v>15.03</c:v>
                </c:pt>
                <c:pt idx="72">
                  <c:v>20.059999999999999</c:v>
                </c:pt>
                <c:pt idx="73">
                  <c:v>16</c:v>
                </c:pt>
                <c:pt idx="74">
                  <c:v>13.78</c:v>
                </c:pt>
                <c:pt idx="75">
                  <c:v>11.29</c:v>
                </c:pt>
                <c:pt idx="76">
                  <c:v>10.02</c:v>
                </c:pt>
                <c:pt idx="77">
                  <c:v>9.24</c:v>
                </c:pt>
                <c:pt idx="78">
                  <c:v>9.73</c:v>
                </c:pt>
                <c:pt idx="79">
                  <c:v>8.42</c:v>
                </c:pt>
                <c:pt idx="80">
                  <c:v>7.7</c:v>
                </c:pt>
                <c:pt idx="81">
                  <c:v>7.39</c:v>
                </c:pt>
                <c:pt idx="82">
                  <c:v>7.02</c:v>
                </c:pt>
                <c:pt idx="83">
                  <c:v>6.7</c:v>
                </c:pt>
                <c:pt idx="84">
                  <c:v>6.44</c:v>
                </c:pt>
                <c:pt idx="85">
                  <c:v>6.62</c:v>
                </c:pt>
                <c:pt idx="86">
                  <c:v>6.66</c:v>
                </c:pt>
                <c:pt idx="87">
                  <c:v>6.84</c:v>
                </c:pt>
                <c:pt idx="88">
                  <c:v>7.96</c:v>
                </c:pt>
                <c:pt idx="89">
                  <c:v>9.43</c:v>
                </c:pt>
                <c:pt idx="90">
                  <c:v>7.93</c:v>
                </c:pt>
                <c:pt idx="91">
                  <c:v>6.02</c:v>
                </c:pt>
                <c:pt idx="92">
                  <c:v>6.5</c:v>
                </c:pt>
                <c:pt idx="93">
                  <c:v>9.44</c:v>
                </c:pt>
                <c:pt idx="94">
                  <c:v>8.8800000000000008</c:v>
                </c:pt>
                <c:pt idx="95">
                  <c:v>10.59</c:v>
                </c:pt>
                <c:pt idx="96">
                  <c:v>10.039999999999999</c:v>
                </c:pt>
                <c:pt idx="97">
                  <c:v>8.7799999999999994</c:v>
                </c:pt>
                <c:pt idx="98">
                  <c:v>7.81</c:v>
                </c:pt>
                <c:pt idx="99">
                  <c:v>9.1851428580000007</c:v>
                </c:pt>
                <c:pt idx="100">
                  <c:v>14.04828548342857</c:v>
                </c:pt>
                <c:pt idx="101">
                  <c:v>11.032857077571427</c:v>
                </c:pt>
                <c:pt idx="102">
                  <c:v>14.381428445285712</c:v>
                </c:pt>
                <c:pt idx="103">
                  <c:v>13.293999945714287</c:v>
                </c:pt>
                <c:pt idx="104">
                  <c:v>20.63</c:v>
                </c:pt>
                <c:pt idx="105">
                  <c:v>36.213856559999996</c:v>
                </c:pt>
                <c:pt idx="106">
                  <c:v>30.819142750000001</c:v>
                </c:pt>
                <c:pt idx="107">
                  <c:v>40.893000467142862</c:v>
                </c:pt>
                <c:pt idx="108">
                  <c:v>17.748285841428572</c:v>
                </c:pt>
                <c:pt idx="109">
                  <c:v>18.79157175142857</c:v>
                </c:pt>
                <c:pt idx="110">
                  <c:v>42.088571821428573</c:v>
                </c:pt>
                <c:pt idx="111">
                  <c:v>43.74</c:v>
                </c:pt>
                <c:pt idx="112">
                  <c:v>31.755000522857138</c:v>
                </c:pt>
                <c:pt idx="113">
                  <c:v>31.196571622857142</c:v>
                </c:pt>
                <c:pt idx="114">
                  <c:v>52.626284462857136</c:v>
                </c:pt>
                <c:pt idx="115">
                  <c:v>57.669144221428567</c:v>
                </c:pt>
                <c:pt idx="116">
                  <c:v>35.725570951428573</c:v>
                </c:pt>
                <c:pt idx="117">
                  <c:v>28.622000282857147</c:v>
                </c:pt>
                <c:pt idx="118">
                  <c:v>30.753999982857145</c:v>
                </c:pt>
                <c:pt idx="119">
                  <c:v>29.88</c:v>
                </c:pt>
                <c:pt idx="120">
                  <c:v>22.257285525714284</c:v>
                </c:pt>
                <c:pt idx="121">
                  <c:v>21.651714052857141</c:v>
                </c:pt>
                <c:pt idx="122">
                  <c:v>19.037142890000002</c:v>
                </c:pt>
                <c:pt idx="123">
                  <c:v>16.531571660000001</c:v>
                </c:pt>
                <c:pt idx="124">
                  <c:v>13.450571468571427</c:v>
                </c:pt>
                <c:pt idx="125">
                  <c:v>11.897571562857141</c:v>
                </c:pt>
                <c:pt idx="126">
                  <c:v>15.801714215714284</c:v>
                </c:pt>
                <c:pt idx="127">
                  <c:v>15.595999989999999</c:v>
                </c:pt>
                <c:pt idx="128">
                  <c:v>14.135857038571428</c:v>
                </c:pt>
                <c:pt idx="129">
                  <c:v>10.912428581428573</c:v>
                </c:pt>
                <c:pt idx="130">
                  <c:v>9.4035714009999989</c:v>
                </c:pt>
                <c:pt idx="131">
                  <c:v>9.4155716217142871</c:v>
                </c:pt>
                <c:pt idx="132">
                  <c:v>9.5503999999999998</c:v>
                </c:pt>
                <c:pt idx="133">
                  <c:v>15.534142631428571</c:v>
                </c:pt>
                <c:pt idx="134">
                  <c:v>8.5579999999999998</c:v>
                </c:pt>
                <c:pt idx="135">
                  <c:v>10.739857128857144</c:v>
                </c:pt>
                <c:pt idx="136">
                  <c:v>9.23</c:v>
                </c:pt>
                <c:pt idx="137">
                  <c:v>10.917285918714287</c:v>
                </c:pt>
                <c:pt idx="138">
                  <c:v>9.4700000000000006</c:v>
                </c:pt>
                <c:pt idx="139">
                  <c:v>7.5942857142857134</c:v>
                </c:pt>
                <c:pt idx="140">
                  <c:v>6.5637142318571433</c:v>
                </c:pt>
                <c:pt idx="141">
                  <c:v>7.2939999444285712</c:v>
                </c:pt>
                <c:pt idx="142">
                  <c:v>7.68</c:v>
                </c:pt>
                <c:pt idx="143">
                  <c:v>9.112857137571428</c:v>
                </c:pt>
                <c:pt idx="144">
                  <c:v>11.170142854962995</c:v>
                </c:pt>
                <c:pt idx="145">
                  <c:v>19.282285690307582</c:v>
                </c:pt>
                <c:pt idx="146">
                  <c:v>26.382142475673081</c:v>
                </c:pt>
                <c:pt idx="147">
                  <c:v>33.364427840000005</c:v>
                </c:pt>
                <c:pt idx="148">
                  <c:v>18.735571588571428</c:v>
                </c:pt>
                <c:pt idx="149">
                  <c:v>13.16</c:v>
                </c:pt>
                <c:pt idx="150">
                  <c:v>13.483142988571428</c:v>
                </c:pt>
                <c:pt idx="151">
                  <c:v>12.543571337142859</c:v>
                </c:pt>
                <c:pt idx="152">
                  <c:v>8.99</c:v>
                </c:pt>
                <c:pt idx="153">
                  <c:v>10.909571511285714</c:v>
                </c:pt>
                <c:pt idx="154">
                  <c:v>16.8</c:v>
                </c:pt>
                <c:pt idx="155">
                  <c:v>16.435142652857145</c:v>
                </c:pt>
                <c:pt idx="156">
                  <c:v>13.115714484285716</c:v>
                </c:pt>
                <c:pt idx="157">
                  <c:v>16.11014284285714</c:v>
                </c:pt>
                <c:pt idx="158">
                  <c:v>29.23</c:v>
                </c:pt>
                <c:pt idx="159">
                  <c:v>36.200000218571425</c:v>
                </c:pt>
                <c:pt idx="160">
                  <c:v>36.703999928571427</c:v>
                </c:pt>
                <c:pt idx="161">
                  <c:v>51.29</c:v>
                </c:pt>
                <c:pt idx="162">
                  <c:v>46.224000658571427</c:v>
                </c:pt>
                <c:pt idx="163">
                  <c:v>42.94585745571429</c:v>
                </c:pt>
                <c:pt idx="164">
                  <c:v>34.696428571428569</c:v>
                </c:pt>
                <c:pt idx="165">
                  <c:v>38.680999754285715</c:v>
                </c:pt>
                <c:pt idx="166">
                  <c:v>42.633285522460888</c:v>
                </c:pt>
                <c:pt idx="167">
                  <c:v>43.529285431428569</c:v>
                </c:pt>
                <c:pt idx="168">
                  <c:v>57.974427901428569</c:v>
                </c:pt>
                <c:pt idx="169">
                  <c:v>55.119428907142868</c:v>
                </c:pt>
                <c:pt idx="170">
                  <c:v>27.713714872857139</c:v>
                </c:pt>
                <c:pt idx="171">
                  <c:v>22.869143077142859</c:v>
                </c:pt>
                <c:pt idx="172">
                  <c:v>20.273857388571425</c:v>
                </c:pt>
                <c:pt idx="173">
                  <c:v>18.103142875714287</c:v>
                </c:pt>
                <c:pt idx="174">
                  <c:v>15.728999954285714</c:v>
                </c:pt>
                <c:pt idx="175">
                  <c:v>20.647571429999999</c:v>
                </c:pt>
                <c:pt idx="176">
                  <c:v>14.46171447</c:v>
                </c:pt>
                <c:pt idx="177">
                  <c:v>12.621714454285712</c:v>
                </c:pt>
                <c:pt idx="178">
                  <c:v>10.571857179142857</c:v>
                </c:pt>
                <c:pt idx="179">
                  <c:v>9.2180000031428584</c:v>
                </c:pt>
                <c:pt idx="180">
                  <c:v>8.9321429390000002</c:v>
                </c:pt>
                <c:pt idx="181">
                  <c:v>8.3007144928571428</c:v>
                </c:pt>
                <c:pt idx="182">
                  <c:v>8.59</c:v>
                </c:pt>
                <c:pt idx="183">
                  <c:v>7.8261427880000003</c:v>
                </c:pt>
                <c:pt idx="184">
                  <c:v>7.6488569804600273</c:v>
                </c:pt>
                <c:pt idx="185">
                  <c:v>8.18</c:v>
                </c:pt>
                <c:pt idx="186">
                  <c:v>7.0618571554285712</c:v>
                </c:pt>
                <c:pt idx="187">
                  <c:v>6.2595714159999991</c:v>
                </c:pt>
                <c:pt idx="188">
                  <c:v>6.3691428730000004</c:v>
                </c:pt>
                <c:pt idx="189">
                  <c:v>6.115428584</c:v>
                </c:pt>
                <c:pt idx="190">
                  <c:v>6.3137143680000003</c:v>
                </c:pt>
                <c:pt idx="191">
                  <c:v>5.8737142427142857</c:v>
                </c:pt>
                <c:pt idx="192">
                  <c:v>6.1154285838571436</c:v>
                </c:pt>
                <c:pt idx="193">
                  <c:v>6.8328571428571419</c:v>
                </c:pt>
                <c:pt idx="194">
                  <c:v>9.2337144442966927</c:v>
                </c:pt>
                <c:pt idx="195">
                  <c:v>9.6928569934285722</c:v>
                </c:pt>
                <c:pt idx="196">
                  <c:v>10.709857054714286</c:v>
                </c:pt>
                <c:pt idx="197">
                  <c:v>8.5642857142857132</c:v>
                </c:pt>
                <c:pt idx="198">
                  <c:v>12.279142925142859</c:v>
                </c:pt>
                <c:pt idx="199">
                  <c:v>8.685571329857142</c:v>
                </c:pt>
              </c:numCache>
            </c:numRef>
          </c:val>
          <c:smooth val="0"/>
          <c:extLst>
            <c:ext xmlns:c16="http://schemas.microsoft.com/office/drawing/2014/chart" uri="{C3380CC4-5D6E-409C-BE32-E72D297353CC}">
              <c16:uniqueId val="{00000002-B34C-4256-AD7D-0647565F6528}"/>
            </c:ext>
          </c:extLst>
        </c:ser>
        <c:dLbls>
          <c:showLegendKey val="0"/>
          <c:showVal val="0"/>
          <c:showCatName val="0"/>
          <c:showSerName val="0"/>
          <c:showPercent val="0"/>
          <c:showBubbleSize val="0"/>
        </c:dLbls>
        <c:marker val="1"/>
        <c:smooth val="0"/>
        <c:axId val="351297536"/>
        <c:axId val="351299456"/>
      </c:lineChart>
      <c:catAx>
        <c:axId val="351297536"/>
        <c:scaling>
          <c:orientation val="minMax"/>
        </c:scaling>
        <c:delete val="0"/>
        <c:axPos val="b"/>
        <c:title>
          <c:tx>
            <c:rich>
              <a:bodyPr/>
              <a:lstStyle/>
              <a:p>
                <a:pPr>
                  <a:defRPr/>
                </a:pPr>
                <a:r>
                  <a:rPr lang="en-US"/>
                  <a:t>Semanas</a:t>
                </a:r>
              </a:p>
            </c:rich>
          </c:tx>
          <c:layout>
            <c:manualLayout>
              <c:xMode val="edge"/>
              <c:yMode val="edge"/>
              <c:x val="0.9091738907841429"/>
              <c:y val="0.9448088370339609"/>
            </c:manualLayout>
          </c:layout>
          <c:overlay val="0"/>
        </c:title>
        <c:numFmt formatCode="General" sourceLinked="1"/>
        <c:majorTickMark val="out"/>
        <c:minorTickMark val="none"/>
        <c:tickLblPos val="nextTo"/>
        <c:txPr>
          <a:bodyPr/>
          <a:lstStyle/>
          <a:p>
            <a:pPr>
              <a:defRPr kern="2000" spc="-100" baseline="0"/>
            </a:pPr>
            <a:endParaRPr lang="es-PE"/>
          </a:p>
        </c:txPr>
        <c:crossAx val="351299456"/>
        <c:crosses val="autoZero"/>
        <c:auto val="1"/>
        <c:lblAlgn val="ctr"/>
        <c:lblOffset val="100"/>
        <c:tickLblSkip val="250"/>
        <c:noMultiLvlLbl val="0"/>
      </c:catAx>
      <c:valAx>
        <c:axId val="351299456"/>
        <c:scaling>
          <c:orientation val="minMax"/>
        </c:scaling>
        <c:delete val="0"/>
        <c:axPos val="l"/>
        <c:majorGridlines/>
        <c:title>
          <c:tx>
            <c:rich>
              <a:bodyPr rot="0" vert="horz"/>
              <a:lstStyle/>
              <a:p>
                <a:pPr>
                  <a:defRPr/>
                </a:pPr>
                <a:r>
                  <a:rPr lang="en-US"/>
                  <a:t>m3/s</a:t>
                </a:r>
              </a:p>
            </c:rich>
          </c:tx>
          <c:layout>
            <c:manualLayout>
              <c:xMode val="edge"/>
              <c:yMode val="edge"/>
              <c:x val="7.826885561442223E-3"/>
              <c:y val="8.1785800036393116E-2"/>
            </c:manualLayout>
          </c:layout>
          <c:overlay val="0"/>
        </c:title>
        <c:numFmt formatCode="0" sourceLinked="0"/>
        <c:majorTickMark val="out"/>
        <c:minorTickMark val="none"/>
        <c:tickLblPos val="nextTo"/>
        <c:crossAx val="351297536"/>
        <c:crosses val="autoZero"/>
        <c:crossBetween val="between"/>
      </c:valAx>
    </c:plotArea>
    <c:legend>
      <c:legendPos val="t"/>
      <c:layout>
        <c:manualLayout>
          <c:xMode val="edge"/>
          <c:yMode val="edge"/>
          <c:x val="0.52348384361815492"/>
          <c:y val="0.11450845005374818"/>
          <c:w val="0.44737462991043048"/>
          <c:h val="6.4264558887561857E-2"/>
        </c:manualLayout>
      </c:layout>
      <c:overlay val="0"/>
    </c:legend>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pageMargins b="0.75" l="0.7" r="0.7" t="0.75" header="0.3" footer="0.3"/>
    <c:pageSetup paperSize="9" orientation="landscape"/>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800"/>
            </a:pPr>
            <a:r>
              <a:rPr lang="en-US" sz="800"/>
              <a:t>CAUDALES LAS CUENCAS DE CHILI, ARICOTA , VILCANOTA Y SAN GABÁN </a:t>
            </a:r>
          </a:p>
        </c:rich>
      </c:tx>
      <c:layout>
        <c:manualLayout>
          <c:xMode val="edge"/>
          <c:yMode val="edge"/>
          <c:x val="0.14200237719103209"/>
          <c:y val="9.1839217170351954E-4"/>
        </c:manualLayout>
      </c:layout>
      <c:overlay val="1"/>
    </c:title>
    <c:autoTitleDeleted val="0"/>
    <c:plotArea>
      <c:layout>
        <c:manualLayout>
          <c:layoutTarget val="inner"/>
          <c:xMode val="edge"/>
          <c:yMode val="edge"/>
          <c:x val="5.2925334267377382E-2"/>
          <c:y val="0.15493728093999826"/>
          <c:w val="0.88581872474147405"/>
          <c:h val="0.66871483845707558"/>
        </c:manualLayout>
      </c:layout>
      <c:areaChart>
        <c:grouping val="standard"/>
        <c:varyColors val="0"/>
        <c:ser>
          <c:idx val="2"/>
          <c:order val="0"/>
          <c:tx>
            <c:strRef>
              <c:f>'13.Caudales'!$V$3</c:f>
              <c:strCache>
                <c:ptCount val="1"/>
                <c:pt idx="0">
                  <c:v>TURBINADO CHARCANI V</c:v>
                </c:pt>
              </c:strCache>
            </c:strRef>
          </c:tx>
          <c:spPr>
            <a:solidFill>
              <a:schemeClr val="accent5">
                <a:lumMod val="50000"/>
              </a:schemeClr>
            </a:solidFill>
          </c:spPr>
          <c:cat>
            <c:multiLvlStrRef>
              <c:f>'13.Caudales'!$N$4:$O$203</c:f>
              <c:multiLvlStrCache>
                <c:ptCount val="200"/>
                <c:lvl>
                  <c:pt idx="0">
                    <c:v>1</c:v>
                  </c:pt>
                  <c:pt idx="3">
                    <c:v>4</c:v>
                  </c:pt>
                  <c:pt idx="7">
                    <c:v>8</c:v>
                  </c:pt>
                  <c:pt idx="11">
                    <c:v>12</c:v>
                  </c:pt>
                  <c:pt idx="15">
                    <c:v>16</c:v>
                  </c:pt>
                  <c:pt idx="19">
                    <c:v>20</c:v>
                  </c:pt>
                  <c:pt idx="23">
                    <c:v>24</c:v>
                  </c:pt>
                  <c:pt idx="27">
                    <c:v>28</c:v>
                  </c:pt>
                  <c:pt idx="31">
                    <c:v>32</c:v>
                  </c:pt>
                  <c:pt idx="35">
                    <c:v>36</c:v>
                  </c:pt>
                  <c:pt idx="38">
                    <c:v>39</c:v>
                  </c:pt>
                  <c:pt idx="42">
                    <c:v>43</c:v>
                  </c:pt>
                  <c:pt idx="47">
                    <c:v>48</c:v>
                  </c:pt>
                  <c:pt idx="51">
                    <c:v>52</c:v>
                  </c:pt>
                  <c:pt idx="52">
                    <c:v>1</c:v>
                  </c:pt>
                  <c:pt idx="55">
                    <c:v>4</c:v>
                  </c:pt>
                  <c:pt idx="59">
                    <c:v>8</c:v>
                  </c:pt>
                  <c:pt idx="63">
                    <c:v>12</c:v>
                  </c:pt>
                  <c:pt idx="67">
                    <c:v>16</c:v>
                  </c:pt>
                  <c:pt idx="71">
                    <c:v>20</c:v>
                  </c:pt>
                  <c:pt idx="75">
                    <c:v>24</c:v>
                  </c:pt>
                  <c:pt idx="79">
                    <c:v>28</c:v>
                  </c:pt>
                  <c:pt idx="83">
                    <c:v>32</c:v>
                  </c:pt>
                  <c:pt idx="87">
                    <c:v>36</c:v>
                  </c:pt>
                  <c:pt idx="90">
                    <c:v>39</c:v>
                  </c:pt>
                  <c:pt idx="94">
                    <c:v>43</c:v>
                  </c:pt>
                  <c:pt idx="99">
                    <c:v>48</c:v>
                  </c:pt>
                  <c:pt idx="103">
                    <c:v>52</c:v>
                  </c:pt>
                  <c:pt idx="104">
                    <c:v>1</c:v>
                  </c:pt>
                  <c:pt idx="107">
                    <c:v>4</c:v>
                  </c:pt>
                  <c:pt idx="111">
                    <c:v>8</c:v>
                  </c:pt>
                  <c:pt idx="115">
                    <c:v>12</c:v>
                  </c:pt>
                  <c:pt idx="119">
                    <c:v>16</c:v>
                  </c:pt>
                  <c:pt idx="123">
                    <c:v>20</c:v>
                  </c:pt>
                  <c:pt idx="127">
                    <c:v>24</c:v>
                  </c:pt>
                  <c:pt idx="131">
                    <c:v>28</c:v>
                  </c:pt>
                  <c:pt idx="135">
                    <c:v>32</c:v>
                  </c:pt>
                  <c:pt idx="139">
                    <c:v>36</c:v>
                  </c:pt>
                  <c:pt idx="143">
                    <c:v>40</c:v>
                  </c:pt>
                  <c:pt idx="147">
                    <c:v>44</c:v>
                  </c:pt>
                  <c:pt idx="151">
                    <c:v>48</c:v>
                  </c:pt>
                  <c:pt idx="155">
                    <c:v>52</c:v>
                  </c:pt>
                  <c:pt idx="156">
                    <c:v>1</c:v>
                  </c:pt>
                  <c:pt idx="159">
                    <c:v>4</c:v>
                  </c:pt>
                  <c:pt idx="163">
                    <c:v>8</c:v>
                  </c:pt>
                  <c:pt idx="167">
                    <c:v>12</c:v>
                  </c:pt>
                  <c:pt idx="171">
                    <c:v>16</c:v>
                  </c:pt>
                  <c:pt idx="177">
                    <c:v>22</c:v>
                  </c:pt>
                  <c:pt idx="181">
                    <c:v>26</c:v>
                  </c:pt>
                  <c:pt idx="185">
                    <c:v>30</c:v>
                  </c:pt>
                  <c:pt idx="191">
                    <c:v>36</c:v>
                  </c:pt>
                  <c:pt idx="195">
                    <c:v>40</c:v>
                  </c:pt>
                  <c:pt idx="199">
                    <c:v>44</c:v>
                  </c:pt>
                </c:lvl>
                <c:lvl>
                  <c:pt idx="0">
                    <c:v>2016</c:v>
                  </c:pt>
                  <c:pt idx="52">
                    <c:v>2017</c:v>
                  </c:pt>
                  <c:pt idx="104">
                    <c:v>2018</c:v>
                  </c:pt>
                  <c:pt idx="156">
                    <c:v>2019</c:v>
                  </c:pt>
                </c:lvl>
              </c:multiLvlStrCache>
            </c:multiLvlStrRef>
          </c:cat>
          <c:val>
            <c:numRef>
              <c:f>'13.Caudales'!$V$4:$V$203</c:f>
              <c:numCache>
                <c:formatCode>0.0</c:formatCode>
                <c:ptCount val="200"/>
                <c:pt idx="0">
                  <c:v>10.01</c:v>
                </c:pt>
                <c:pt idx="1">
                  <c:v>10</c:v>
                </c:pt>
                <c:pt idx="2">
                  <c:v>10.01</c:v>
                </c:pt>
                <c:pt idx="3">
                  <c:v>10.01</c:v>
                </c:pt>
                <c:pt idx="4">
                  <c:v>10.01</c:v>
                </c:pt>
                <c:pt idx="5">
                  <c:v>9.01</c:v>
                </c:pt>
                <c:pt idx="6">
                  <c:v>9.01</c:v>
                </c:pt>
                <c:pt idx="7">
                  <c:v>18.309999999999999</c:v>
                </c:pt>
                <c:pt idx="8">
                  <c:v>16.54985727582655</c:v>
                </c:pt>
                <c:pt idx="9">
                  <c:v>9.5257144655499921</c:v>
                </c:pt>
                <c:pt idx="10">
                  <c:v>10.001428604125973</c:v>
                </c:pt>
                <c:pt idx="11">
                  <c:v>9.9999999999999964</c:v>
                </c:pt>
                <c:pt idx="12">
                  <c:v>10</c:v>
                </c:pt>
                <c:pt idx="13">
                  <c:v>10.001428604125973</c:v>
                </c:pt>
                <c:pt idx="14">
                  <c:v>10.005714416503881</c:v>
                </c:pt>
                <c:pt idx="15">
                  <c:v>10.01</c:v>
                </c:pt>
                <c:pt idx="16">
                  <c:v>10.004285812377887</c:v>
                </c:pt>
                <c:pt idx="17">
                  <c:v>10.007143020629858</c:v>
                </c:pt>
                <c:pt idx="18">
                  <c:v>10.004285812377914</c:v>
                </c:pt>
                <c:pt idx="19">
                  <c:v>10</c:v>
                </c:pt>
                <c:pt idx="20">
                  <c:v>10.011428560529414</c:v>
                </c:pt>
                <c:pt idx="21">
                  <c:v>10.02</c:v>
                </c:pt>
                <c:pt idx="22">
                  <c:v>10</c:v>
                </c:pt>
                <c:pt idx="23">
                  <c:v>10</c:v>
                </c:pt>
                <c:pt idx="24">
                  <c:v>10.00571442</c:v>
                </c:pt>
                <c:pt idx="25">
                  <c:v>10</c:v>
                </c:pt>
                <c:pt idx="26">
                  <c:v>10.001428600000001</c:v>
                </c:pt>
                <c:pt idx="27">
                  <c:v>10.0128573</c:v>
                </c:pt>
                <c:pt idx="28">
                  <c:v>10.001428600000001</c:v>
                </c:pt>
                <c:pt idx="29">
                  <c:v>10.01142883</c:v>
                </c:pt>
                <c:pt idx="30">
                  <c:v>10.011428833007772</c:v>
                </c:pt>
                <c:pt idx="31">
                  <c:v>10.004285810000001</c:v>
                </c:pt>
                <c:pt idx="32">
                  <c:v>10</c:v>
                </c:pt>
                <c:pt idx="33">
                  <c:v>10.00857162</c:v>
                </c:pt>
                <c:pt idx="34">
                  <c:v>10.28714289</c:v>
                </c:pt>
                <c:pt idx="35">
                  <c:v>11.01</c:v>
                </c:pt>
                <c:pt idx="36">
                  <c:v>11</c:v>
                </c:pt>
                <c:pt idx="37">
                  <c:v>10.85142858</c:v>
                </c:pt>
                <c:pt idx="38">
                  <c:v>11.15</c:v>
                </c:pt>
                <c:pt idx="39">
                  <c:v>11.005714417142856</c:v>
                </c:pt>
                <c:pt idx="40">
                  <c:v>11.002857208251914</c:v>
                </c:pt>
                <c:pt idx="41">
                  <c:v>11.007142884285715</c:v>
                </c:pt>
                <c:pt idx="42">
                  <c:v>11.01</c:v>
                </c:pt>
                <c:pt idx="43">
                  <c:v>11.01</c:v>
                </c:pt>
                <c:pt idx="44">
                  <c:v>11</c:v>
                </c:pt>
                <c:pt idx="45">
                  <c:v>11.01</c:v>
                </c:pt>
                <c:pt idx="46">
                  <c:v>11.00286</c:v>
                </c:pt>
                <c:pt idx="47">
                  <c:v>10.862857274285714</c:v>
                </c:pt>
                <c:pt idx="48">
                  <c:v>10.5</c:v>
                </c:pt>
                <c:pt idx="49">
                  <c:v>10.51</c:v>
                </c:pt>
                <c:pt idx="50">
                  <c:v>10.5</c:v>
                </c:pt>
                <c:pt idx="51">
                  <c:v>10.507142884285715</c:v>
                </c:pt>
                <c:pt idx="52">
                  <c:v>10.220000000000001</c:v>
                </c:pt>
                <c:pt idx="53">
                  <c:v>10.17</c:v>
                </c:pt>
                <c:pt idx="54">
                  <c:v>10</c:v>
                </c:pt>
                <c:pt idx="55">
                  <c:v>10</c:v>
                </c:pt>
                <c:pt idx="56">
                  <c:v>11.41</c:v>
                </c:pt>
                <c:pt idx="57">
                  <c:v>10.57</c:v>
                </c:pt>
                <c:pt idx="58">
                  <c:v>10</c:v>
                </c:pt>
                <c:pt idx="59">
                  <c:v>9.58</c:v>
                </c:pt>
                <c:pt idx="60">
                  <c:v>9.01</c:v>
                </c:pt>
                <c:pt idx="61">
                  <c:v>10.06</c:v>
                </c:pt>
                <c:pt idx="62">
                  <c:v>26.15</c:v>
                </c:pt>
                <c:pt idx="63">
                  <c:v>12.43</c:v>
                </c:pt>
                <c:pt idx="64">
                  <c:v>11.98</c:v>
                </c:pt>
                <c:pt idx="65">
                  <c:v>28.72</c:v>
                </c:pt>
                <c:pt idx="66">
                  <c:v>16.28</c:v>
                </c:pt>
                <c:pt idx="67">
                  <c:v>15.43</c:v>
                </c:pt>
                <c:pt idx="68">
                  <c:v>12.29</c:v>
                </c:pt>
                <c:pt idx="69">
                  <c:v>11.64</c:v>
                </c:pt>
                <c:pt idx="70">
                  <c:v>11</c:v>
                </c:pt>
                <c:pt idx="71">
                  <c:v>11</c:v>
                </c:pt>
                <c:pt idx="72">
                  <c:v>11.01</c:v>
                </c:pt>
                <c:pt idx="73">
                  <c:v>11</c:v>
                </c:pt>
                <c:pt idx="74">
                  <c:v>11</c:v>
                </c:pt>
                <c:pt idx="75">
                  <c:v>11</c:v>
                </c:pt>
                <c:pt idx="76">
                  <c:v>11</c:v>
                </c:pt>
                <c:pt idx="77">
                  <c:v>12</c:v>
                </c:pt>
                <c:pt idx="78">
                  <c:v>12</c:v>
                </c:pt>
                <c:pt idx="79">
                  <c:v>12</c:v>
                </c:pt>
                <c:pt idx="80">
                  <c:v>10.51</c:v>
                </c:pt>
                <c:pt idx="81">
                  <c:v>12</c:v>
                </c:pt>
                <c:pt idx="82">
                  <c:v>12</c:v>
                </c:pt>
                <c:pt idx="83">
                  <c:v>12</c:v>
                </c:pt>
                <c:pt idx="84">
                  <c:v>12</c:v>
                </c:pt>
                <c:pt idx="85">
                  <c:v>12</c:v>
                </c:pt>
                <c:pt idx="86">
                  <c:v>12.14</c:v>
                </c:pt>
                <c:pt idx="87">
                  <c:v>13</c:v>
                </c:pt>
                <c:pt idx="88">
                  <c:v>13</c:v>
                </c:pt>
                <c:pt idx="89">
                  <c:v>13</c:v>
                </c:pt>
                <c:pt idx="90">
                  <c:v>13</c:v>
                </c:pt>
                <c:pt idx="91">
                  <c:v>13</c:v>
                </c:pt>
                <c:pt idx="92">
                  <c:v>13</c:v>
                </c:pt>
                <c:pt idx="93">
                  <c:v>13</c:v>
                </c:pt>
                <c:pt idx="94">
                  <c:v>13</c:v>
                </c:pt>
                <c:pt idx="95">
                  <c:v>13</c:v>
                </c:pt>
                <c:pt idx="96">
                  <c:v>13</c:v>
                </c:pt>
                <c:pt idx="97">
                  <c:v>13</c:v>
                </c:pt>
                <c:pt idx="98">
                  <c:v>13</c:v>
                </c:pt>
                <c:pt idx="99">
                  <c:v>13.005714417142858</c:v>
                </c:pt>
                <c:pt idx="100">
                  <c:v>13.002857208571429</c:v>
                </c:pt>
                <c:pt idx="101">
                  <c:v>13</c:v>
                </c:pt>
                <c:pt idx="102">
                  <c:v>13.01285743857143</c:v>
                </c:pt>
                <c:pt idx="103">
                  <c:v>13.09681579142857</c:v>
                </c:pt>
                <c:pt idx="104">
                  <c:v>13</c:v>
                </c:pt>
                <c:pt idx="105">
                  <c:v>11.774285724285715</c:v>
                </c:pt>
                <c:pt idx="106">
                  <c:v>11.857142857142858</c:v>
                </c:pt>
                <c:pt idx="107">
                  <c:v>18.734285627142857</c:v>
                </c:pt>
                <c:pt idx="108">
                  <c:v>23.390000208571426</c:v>
                </c:pt>
                <c:pt idx="109">
                  <c:v>20.201017107142857</c:v>
                </c:pt>
                <c:pt idx="110">
                  <c:v>15.283185821428571</c:v>
                </c:pt>
                <c:pt idx="111">
                  <c:v>16.564</c:v>
                </c:pt>
                <c:pt idx="112">
                  <c:v>15.852976190476195</c:v>
                </c:pt>
                <c:pt idx="113">
                  <c:v>14.442</c:v>
                </c:pt>
                <c:pt idx="114">
                  <c:v>18.273</c:v>
                </c:pt>
                <c:pt idx="115">
                  <c:v>23.244</c:v>
                </c:pt>
                <c:pt idx="116">
                  <c:v>23.143392837142859</c:v>
                </c:pt>
                <c:pt idx="117">
                  <c:v>19.16</c:v>
                </c:pt>
                <c:pt idx="118">
                  <c:v>14.377143042857142</c:v>
                </c:pt>
                <c:pt idx="119">
                  <c:v>12.36</c:v>
                </c:pt>
                <c:pt idx="120">
                  <c:v>13.4</c:v>
                </c:pt>
                <c:pt idx="121">
                  <c:v>12.785805702857145</c:v>
                </c:pt>
                <c:pt idx="122">
                  <c:v>11.328391347142857</c:v>
                </c:pt>
                <c:pt idx="123">
                  <c:v>10.899261474285714</c:v>
                </c:pt>
                <c:pt idx="124">
                  <c:v>11.166911400000002</c:v>
                </c:pt>
                <c:pt idx="125">
                  <c:v>10.57333578442857</c:v>
                </c:pt>
                <c:pt idx="126">
                  <c:v>11.341294289999999</c:v>
                </c:pt>
                <c:pt idx="127">
                  <c:v>11.96411841142857</c:v>
                </c:pt>
                <c:pt idx="128">
                  <c:v>11.79</c:v>
                </c:pt>
                <c:pt idx="129">
                  <c:v>10.93</c:v>
                </c:pt>
                <c:pt idx="130">
                  <c:v>12.51</c:v>
                </c:pt>
                <c:pt idx="131">
                  <c:v>12.3</c:v>
                </c:pt>
                <c:pt idx="132">
                  <c:v>12.245714285714286</c:v>
                </c:pt>
                <c:pt idx="133">
                  <c:v>10.995952741142858</c:v>
                </c:pt>
                <c:pt idx="134">
                  <c:v>13.18</c:v>
                </c:pt>
                <c:pt idx="135">
                  <c:v>10.850328444285712</c:v>
                </c:pt>
                <c:pt idx="136">
                  <c:v>10.84</c:v>
                </c:pt>
                <c:pt idx="137">
                  <c:v>10.534582955714285</c:v>
                </c:pt>
                <c:pt idx="138">
                  <c:v>10.92</c:v>
                </c:pt>
                <c:pt idx="139">
                  <c:v>11.091428571428571</c:v>
                </c:pt>
                <c:pt idx="140">
                  <c:v>10.825238499999999</c:v>
                </c:pt>
                <c:pt idx="141">
                  <c:v>11.159824370000001</c:v>
                </c:pt>
                <c:pt idx="142">
                  <c:v>11.33</c:v>
                </c:pt>
                <c:pt idx="143">
                  <c:v>11.565001485714285</c:v>
                </c:pt>
                <c:pt idx="144">
                  <c:v>12.740178653172041</c:v>
                </c:pt>
                <c:pt idx="145">
                  <c:v>11.792381422860229</c:v>
                </c:pt>
                <c:pt idx="146">
                  <c:v>12.0416071755545</c:v>
                </c:pt>
                <c:pt idx="147">
                  <c:v>12.188929967142856</c:v>
                </c:pt>
                <c:pt idx="148">
                  <c:v>13</c:v>
                </c:pt>
                <c:pt idx="149">
                  <c:v>13.001428571428571</c:v>
                </c:pt>
                <c:pt idx="150">
                  <c:v>12.142405645714286</c:v>
                </c:pt>
                <c:pt idx="151">
                  <c:v>11.975262778571429</c:v>
                </c:pt>
                <c:pt idx="152">
                  <c:v>12.26</c:v>
                </c:pt>
                <c:pt idx="153">
                  <c:v>13.001428604285715</c:v>
                </c:pt>
                <c:pt idx="154">
                  <c:v>12.257142857142856</c:v>
                </c:pt>
                <c:pt idx="155">
                  <c:v>12.222315514285714</c:v>
                </c:pt>
                <c:pt idx="156">
                  <c:v>11.571904317142856</c:v>
                </c:pt>
                <c:pt idx="157">
                  <c:v>11.570298602857141</c:v>
                </c:pt>
                <c:pt idx="158">
                  <c:v>11.28</c:v>
                </c:pt>
                <c:pt idx="159">
                  <c:v>11.843988554285716</c:v>
                </c:pt>
                <c:pt idx="160">
                  <c:v>12.496724401428571</c:v>
                </c:pt>
                <c:pt idx="161">
                  <c:v>12.744285714285715</c:v>
                </c:pt>
                <c:pt idx="162">
                  <c:v>23.841369902857146</c:v>
                </c:pt>
                <c:pt idx="163">
                  <c:v>23.894881112857146</c:v>
                </c:pt>
                <c:pt idx="164">
                  <c:v>22.406962801428573</c:v>
                </c:pt>
                <c:pt idx="165">
                  <c:v>23.828572680000001</c:v>
                </c:pt>
                <c:pt idx="166">
                  <c:v>23.809881482805473</c:v>
                </c:pt>
                <c:pt idx="167">
                  <c:v>19.572964258571432</c:v>
                </c:pt>
                <c:pt idx="168">
                  <c:v>12.582738467142859</c:v>
                </c:pt>
                <c:pt idx="169">
                  <c:v>21.303751674285714</c:v>
                </c:pt>
                <c:pt idx="170">
                  <c:v>17.810774395714287</c:v>
                </c:pt>
                <c:pt idx="171">
                  <c:v>12.210951395714286</c:v>
                </c:pt>
                <c:pt idx="172">
                  <c:v>12.949641501428573</c:v>
                </c:pt>
                <c:pt idx="173">
                  <c:v>11.493274145714285</c:v>
                </c:pt>
                <c:pt idx="174">
                  <c:v>10.883738517142858</c:v>
                </c:pt>
                <c:pt idx="175">
                  <c:v>11.153748650000001</c:v>
                </c:pt>
                <c:pt idx="176">
                  <c:v>12</c:v>
                </c:pt>
                <c:pt idx="177">
                  <c:v>10.442797251571431</c:v>
                </c:pt>
                <c:pt idx="178">
                  <c:v>10.979225701428572</c:v>
                </c:pt>
                <c:pt idx="179">
                  <c:v>11.096784181428571</c:v>
                </c:pt>
                <c:pt idx="180">
                  <c:v>10.461965969999998</c:v>
                </c:pt>
                <c:pt idx="181">
                  <c:v>11.259941372857144</c:v>
                </c:pt>
                <c:pt idx="182">
                  <c:v>10.758154460361988</c:v>
                </c:pt>
                <c:pt idx="183">
                  <c:v>11.139168601428571</c:v>
                </c:pt>
                <c:pt idx="184">
                  <c:v>10.810358456202879</c:v>
                </c:pt>
                <c:pt idx="185">
                  <c:v>12.61</c:v>
                </c:pt>
                <c:pt idx="186">
                  <c:v>12.322975702857141</c:v>
                </c:pt>
                <c:pt idx="187">
                  <c:v>12.551451548571427</c:v>
                </c:pt>
                <c:pt idx="188">
                  <c:v>12.137084417142857</c:v>
                </c:pt>
                <c:pt idx="189">
                  <c:v>12.034524235714285</c:v>
                </c:pt>
                <c:pt idx="190">
                  <c:v>12.041607177142856</c:v>
                </c:pt>
                <c:pt idx="191">
                  <c:v>12.055594308571429</c:v>
                </c:pt>
                <c:pt idx="192">
                  <c:v>12.130952835714286</c:v>
                </c:pt>
                <c:pt idx="193">
                  <c:v>12.194285714285716</c:v>
                </c:pt>
                <c:pt idx="194">
                  <c:v>12.167024339948341</c:v>
                </c:pt>
                <c:pt idx="195">
                  <c:v>12.594642775714282</c:v>
                </c:pt>
                <c:pt idx="196">
                  <c:v>13.274107117142858</c:v>
                </c:pt>
                <c:pt idx="197">
                  <c:v>13.001428571428571</c:v>
                </c:pt>
                <c:pt idx="198">
                  <c:v>13.139822822857143</c:v>
                </c:pt>
                <c:pt idx="199">
                  <c:v>13.275356975714287</c:v>
                </c:pt>
              </c:numCache>
            </c:numRef>
          </c:val>
          <c:extLst>
            <c:ext xmlns:c16="http://schemas.microsoft.com/office/drawing/2014/chart" uri="{C3380CC4-5D6E-409C-BE32-E72D297353CC}">
              <c16:uniqueId val="{00000000-4386-4F80-BA11-24E7324C05B4}"/>
            </c:ext>
          </c:extLst>
        </c:ser>
        <c:ser>
          <c:idx val="3"/>
          <c:order val="1"/>
          <c:tx>
            <c:strRef>
              <c:f>'13.Caudales'!$W$3</c:f>
              <c:strCache>
                <c:ptCount val="1"/>
                <c:pt idx="0">
                  <c:v>INGRESO ARICOTA</c:v>
                </c:pt>
              </c:strCache>
            </c:strRef>
          </c:tx>
          <c:spPr>
            <a:solidFill>
              <a:schemeClr val="accent5"/>
            </a:solidFill>
            <a:ln w="25400">
              <a:noFill/>
            </a:ln>
          </c:spPr>
          <c:cat>
            <c:multiLvlStrRef>
              <c:f>'13.Caudales'!$N$4:$O$203</c:f>
              <c:multiLvlStrCache>
                <c:ptCount val="200"/>
                <c:lvl>
                  <c:pt idx="0">
                    <c:v>1</c:v>
                  </c:pt>
                  <c:pt idx="3">
                    <c:v>4</c:v>
                  </c:pt>
                  <c:pt idx="7">
                    <c:v>8</c:v>
                  </c:pt>
                  <c:pt idx="11">
                    <c:v>12</c:v>
                  </c:pt>
                  <c:pt idx="15">
                    <c:v>16</c:v>
                  </c:pt>
                  <c:pt idx="19">
                    <c:v>20</c:v>
                  </c:pt>
                  <c:pt idx="23">
                    <c:v>24</c:v>
                  </c:pt>
                  <c:pt idx="27">
                    <c:v>28</c:v>
                  </c:pt>
                  <c:pt idx="31">
                    <c:v>32</c:v>
                  </c:pt>
                  <c:pt idx="35">
                    <c:v>36</c:v>
                  </c:pt>
                  <c:pt idx="38">
                    <c:v>39</c:v>
                  </c:pt>
                  <c:pt idx="42">
                    <c:v>43</c:v>
                  </c:pt>
                  <c:pt idx="47">
                    <c:v>48</c:v>
                  </c:pt>
                  <c:pt idx="51">
                    <c:v>52</c:v>
                  </c:pt>
                  <c:pt idx="52">
                    <c:v>1</c:v>
                  </c:pt>
                  <c:pt idx="55">
                    <c:v>4</c:v>
                  </c:pt>
                  <c:pt idx="59">
                    <c:v>8</c:v>
                  </c:pt>
                  <c:pt idx="63">
                    <c:v>12</c:v>
                  </c:pt>
                  <c:pt idx="67">
                    <c:v>16</c:v>
                  </c:pt>
                  <c:pt idx="71">
                    <c:v>20</c:v>
                  </c:pt>
                  <c:pt idx="75">
                    <c:v>24</c:v>
                  </c:pt>
                  <c:pt idx="79">
                    <c:v>28</c:v>
                  </c:pt>
                  <c:pt idx="83">
                    <c:v>32</c:v>
                  </c:pt>
                  <c:pt idx="87">
                    <c:v>36</c:v>
                  </c:pt>
                  <c:pt idx="90">
                    <c:v>39</c:v>
                  </c:pt>
                  <c:pt idx="94">
                    <c:v>43</c:v>
                  </c:pt>
                  <c:pt idx="99">
                    <c:v>48</c:v>
                  </c:pt>
                  <c:pt idx="103">
                    <c:v>52</c:v>
                  </c:pt>
                  <c:pt idx="104">
                    <c:v>1</c:v>
                  </c:pt>
                  <c:pt idx="107">
                    <c:v>4</c:v>
                  </c:pt>
                  <c:pt idx="111">
                    <c:v>8</c:v>
                  </c:pt>
                  <c:pt idx="115">
                    <c:v>12</c:v>
                  </c:pt>
                  <c:pt idx="119">
                    <c:v>16</c:v>
                  </c:pt>
                  <c:pt idx="123">
                    <c:v>20</c:v>
                  </c:pt>
                  <c:pt idx="127">
                    <c:v>24</c:v>
                  </c:pt>
                  <c:pt idx="131">
                    <c:v>28</c:v>
                  </c:pt>
                  <c:pt idx="135">
                    <c:v>32</c:v>
                  </c:pt>
                  <c:pt idx="139">
                    <c:v>36</c:v>
                  </c:pt>
                  <c:pt idx="143">
                    <c:v>40</c:v>
                  </c:pt>
                  <c:pt idx="147">
                    <c:v>44</c:v>
                  </c:pt>
                  <c:pt idx="151">
                    <c:v>48</c:v>
                  </c:pt>
                  <c:pt idx="155">
                    <c:v>52</c:v>
                  </c:pt>
                  <c:pt idx="156">
                    <c:v>1</c:v>
                  </c:pt>
                  <c:pt idx="159">
                    <c:v>4</c:v>
                  </c:pt>
                  <c:pt idx="163">
                    <c:v>8</c:v>
                  </c:pt>
                  <c:pt idx="167">
                    <c:v>12</c:v>
                  </c:pt>
                  <c:pt idx="171">
                    <c:v>16</c:v>
                  </c:pt>
                  <c:pt idx="177">
                    <c:v>22</c:v>
                  </c:pt>
                  <c:pt idx="181">
                    <c:v>26</c:v>
                  </c:pt>
                  <c:pt idx="185">
                    <c:v>30</c:v>
                  </c:pt>
                  <c:pt idx="191">
                    <c:v>36</c:v>
                  </c:pt>
                  <c:pt idx="195">
                    <c:v>40</c:v>
                  </c:pt>
                  <c:pt idx="199">
                    <c:v>44</c:v>
                  </c:pt>
                </c:lvl>
                <c:lvl>
                  <c:pt idx="0">
                    <c:v>2016</c:v>
                  </c:pt>
                  <c:pt idx="52">
                    <c:v>2017</c:v>
                  </c:pt>
                  <c:pt idx="104">
                    <c:v>2018</c:v>
                  </c:pt>
                  <c:pt idx="156">
                    <c:v>2019</c:v>
                  </c:pt>
                </c:lvl>
              </c:multiLvlStrCache>
            </c:multiLvlStrRef>
          </c:cat>
          <c:val>
            <c:numRef>
              <c:f>'13.Caudales'!$W$4:$W$203</c:f>
              <c:numCache>
                <c:formatCode>0.0</c:formatCode>
                <c:ptCount val="200"/>
                <c:pt idx="0">
                  <c:v>1.23</c:v>
                </c:pt>
                <c:pt idx="1">
                  <c:v>1.18</c:v>
                </c:pt>
                <c:pt idx="2">
                  <c:v>1.2529999999999999</c:v>
                </c:pt>
                <c:pt idx="3">
                  <c:v>1.22</c:v>
                </c:pt>
                <c:pt idx="4">
                  <c:v>1.17</c:v>
                </c:pt>
                <c:pt idx="5">
                  <c:v>0.82</c:v>
                </c:pt>
                <c:pt idx="6">
                  <c:v>1.59</c:v>
                </c:pt>
                <c:pt idx="7">
                  <c:v>14.62</c:v>
                </c:pt>
                <c:pt idx="8">
                  <c:v>7.4597144130000004</c:v>
                </c:pt>
                <c:pt idx="9">
                  <c:v>2.1815714495522598</c:v>
                </c:pt>
                <c:pt idx="10">
                  <c:v>1.7041428429739771</c:v>
                </c:pt>
                <c:pt idx="11">
                  <c:v>1.2444285835538544</c:v>
                </c:pt>
                <c:pt idx="12">
                  <c:v>1.0199999809265099</c:v>
                </c:pt>
                <c:pt idx="13">
                  <c:v>1.3691428899764975</c:v>
                </c:pt>
                <c:pt idx="14">
                  <c:v>1.6558571543012313</c:v>
                </c:pt>
                <c:pt idx="15">
                  <c:v>1.27</c:v>
                </c:pt>
                <c:pt idx="16">
                  <c:v>1.7342857122421229</c:v>
                </c:pt>
                <c:pt idx="17">
                  <c:v>1.4345714194433998</c:v>
                </c:pt>
                <c:pt idx="18">
                  <c:v>1.3051428794860784</c:v>
                </c:pt>
                <c:pt idx="19">
                  <c:v>1.6</c:v>
                </c:pt>
                <c:pt idx="20">
                  <c:v>1.2349999972752113</c:v>
                </c:pt>
                <c:pt idx="21">
                  <c:v>1.52</c:v>
                </c:pt>
                <c:pt idx="22">
                  <c:v>1.55</c:v>
                </c:pt>
                <c:pt idx="23">
                  <c:v>1.6</c:v>
                </c:pt>
                <c:pt idx="24">
                  <c:v>1.254714302</c:v>
                </c:pt>
                <c:pt idx="25">
                  <c:v>1.4324285809999999</c:v>
                </c:pt>
                <c:pt idx="26">
                  <c:v>1.455999987</c:v>
                </c:pt>
                <c:pt idx="27">
                  <c:v>1.5508571609999999</c:v>
                </c:pt>
                <c:pt idx="28">
                  <c:v>2.1035714489999999</c:v>
                </c:pt>
                <c:pt idx="29">
                  <c:v>1.8491428750000001</c:v>
                </c:pt>
                <c:pt idx="30">
                  <c:v>1.8019999946866672</c:v>
                </c:pt>
                <c:pt idx="31">
                  <c:v>1.2214285650000001</c:v>
                </c:pt>
                <c:pt idx="32">
                  <c:v>1.3032857349940685</c:v>
                </c:pt>
                <c:pt idx="33">
                  <c:v>1.2842857160000001</c:v>
                </c:pt>
                <c:pt idx="34">
                  <c:v>1.5979999810000001</c:v>
                </c:pt>
                <c:pt idx="35">
                  <c:v>1.63</c:v>
                </c:pt>
                <c:pt idx="36">
                  <c:v>1.59</c:v>
                </c:pt>
                <c:pt idx="37">
                  <c:v>1.5402856890000001</c:v>
                </c:pt>
                <c:pt idx="38">
                  <c:v>1.32</c:v>
                </c:pt>
                <c:pt idx="39">
                  <c:v>1.3828571522857145</c:v>
                </c:pt>
                <c:pt idx="40">
                  <c:v>1.3182857036590543</c:v>
                </c:pt>
                <c:pt idx="41">
                  <c:v>1.2221428497142859</c:v>
                </c:pt>
                <c:pt idx="42">
                  <c:v>1.35</c:v>
                </c:pt>
                <c:pt idx="43">
                  <c:v>1.47</c:v>
                </c:pt>
                <c:pt idx="44">
                  <c:v>1.42</c:v>
                </c:pt>
                <c:pt idx="45">
                  <c:v>1.38</c:v>
                </c:pt>
                <c:pt idx="46">
                  <c:v>1.63</c:v>
                </c:pt>
                <c:pt idx="47">
                  <c:v>1.6007142748571428</c:v>
                </c:pt>
                <c:pt idx="48">
                  <c:v>1.1200000000000001</c:v>
                </c:pt>
                <c:pt idx="49">
                  <c:v>1.1399999999999999</c:v>
                </c:pt>
                <c:pt idx="50">
                  <c:v>1.37</c:v>
                </c:pt>
                <c:pt idx="51">
                  <c:v>1.53</c:v>
                </c:pt>
                <c:pt idx="52">
                  <c:v>3.28</c:v>
                </c:pt>
                <c:pt idx="53">
                  <c:v>6.45</c:v>
                </c:pt>
                <c:pt idx="54">
                  <c:v>9.0500000000000007</c:v>
                </c:pt>
                <c:pt idx="55">
                  <c:v>2.4300000000000002</c:v>
                </c:pt>
                <c:pt idx="56">
                  <c:v>2.87</c:v>
                </c:pt>
                <c:pt idx="57">
                  <c:v>3.01</c:v>
                </c:pt>
                <c:pt idx="58">
                  <c:v>2.88</c:v>
                </c:pt>
                <c:pt idx="59">
                  <c:v>2.0699999999999998</c:v>
                </c:pt>
                <c:pt idx="60">
                  <c:v>7.33</c:v>
                </c:pt>
                <c:pt idx="61">
                  <c:v>3.71</c:v>
                </c:pt>
                <c:pt idx="62">
                  <c:v>8.66</c:v>
                </c:pt>
                <c:pt idx="63">
                  <c:v>5.63</c:v>
                </c:pt>
                <c:pt idx="64">
                  <c:v>5.83</c:v>
                </c:pt>
                <c:pt idx="65">
                  <c:v>4.95</c:v>
                </c:pt>
                <c:pt idx="66">
                  <c:v>1.82</c:v>
                </c:pt>
                <c:pt idx="67">
                  <c:v>2.33</c:v>
                </c:pt>
                <c:pt idx="68">
                  <c:v>1.9</c:v>
                </c:pt>
                <c:pt idx="69">
                  <c:v>1.46</c:v>
                </c:pt>
                <c:pt idx="70">
                  <c:v>1.36</c:v>
                </c:pt>
                <c:pt idx="71">
                  <c:v>1.98</c:v>
                </c:pt>
                <c:pt idx="72">
                  <c:v>1.6</c:v>
                </c:pt>
                <c:pt idx="73">
                  <c:v>1.01</c:v>
                </c:pt>
                <c:pt idx="74">
                  <c:v>1.82</c:v>
                </c:pt>
                <c:pt idx="75">
                  <c:v>1.89</c:v>
                </c:pt>
                <c:pt idx="76">
                  <c:v>1.77</c:v>
                </c:pt>
                <c:pt idx="77">
                  <c:v>1.86</c:v>
                </c:pt>
                <c:pt idx="78">
                  <c:v>1.9</c:v>
                </c:pt>
                <c:pt idx="79">
                  <c:v>1.65</c:v>
                </c:pt>
                <c:pt idx="80">
                  <c:v>1.79</c:v>
                </c:pt>
                <c:pt idx="81">
                  <c:v>1.64</c:v>
                </c:pt>
                <c:pt idx="82">
                  <c:v>1.87</c:v>
                </c:pt>
                <c:pt idx="83">
                  <c:v>1.95</c:v>
                </c:pt>
                <c:pt idx="84">
                  <c:v>1.82</c:v>
                </c:pt>
                <c:pt idx="85">
                  <c:v>1.89</c:v>
                </c:pt>
                <c:pt idx="86">
                  <c:v>1.97</c:v>
                </c:pt>
                <c:pt idx="87">
                  <c:v>1.76</c:v>
                </c:pt>
                <c:pt idx="88">
                  <c:v>1.7</c:v>
                </c:pt>
                <c:pt idx="89">
                  <c:v>1.77</c:v>
                </c:pt>
                <c:pt idx="90">
                  <c:v>1.99</c:v>
                </c:pt>
                <c:pt idx="91">
                  <c:v>1.48</c:v>
                </c:pt>
                <c:pt idx="92">
                  <c:v>1.53</c:v>
                </c:pt>
                <c:pt idx="93">
                  <c:v>1.93</c:v>
                </c:pt>
                <c:pt idx="94">
                  <c:v>1.69</c:v>
                </c:pt>
                <c:pt idx="95">
                  <c:v>1.65</c:v>
                </c:pt>
                <c:pt idx="96">
                  <c:v>1.51</c:v>
                </c:pt>
                <c:pt idx="97">
                  <c:v>1.65</c:v>
                </c:pt>
                <c:pt idx="98">
                  <c:v>1.6</c:v>
                </c:pt>
                <c:pt idx="99">
                  <c:v>1.6</c:v>
                </c:pt>
                <c:pt idx="100">
                  <c:v>1.6</c:v>
                </c:pt>
                <c:pt idx="101">
                  <c:v>1.6000000240000001</c:v>
                </c:pt>
                <c:pt idx="102">
                  <c:v>1.6257142851428572</c:v>
                </c:pt>
                <c:pt idx="103">
                  <c:v>1.644999981</c:v>
                </c:pt>
                <c:pt idx="104">
                  <c:v>1.64</c:v>
                </c:pt>
                <c:pt idx="105">
                  <c:v>1.5914286031428568</c:v>
                </c:pt>
                <c:pt idx="106">
                  <c:v>1.5814286125714285</c:v>
                </c:pt>
                <c:pt idx="107">
                  <c:v>1.5700000519999997</c:v>
                </c:pt>
                <c:pt idx="108">
                  <c:v>1.5700000519999997</c:v>
                </c:pt>
                <c:pt idx="109">
                  <c:v>2.3694285491428571</c:v>
                </c:pt>
                <c:pt idx="110">
                  <c:v>3.1689999100000001</c:v>
                </c:pt>
                <c:pt idx="111">
                  <c:v>3.16</c:v>
                </c:pt>
                <c:pt idx="112">
                  <c:v>3.1689999100000001</c:v>
                </c:pt>
                <c:pt idx="113">
                  <c:v>4.7437142644285712</c:v>
                </c:pt>
                <c:pt idx="114">
                  <c:v>3.0879999738571429</c:v>
                </c:pt>
                <c:pt idx="115">
                  <c:v>4.5095714328571432</c:v>
                </c:pt>
                <c:pt idx="116">
                  <c:v>3.3929999999999998</c:v>
                </c:pt>
                <c:pt idx="117">
                  <c:v>1.736</c:v>
                </c:pt>
                <c:pt idx="118">
                  <c:v>1.8612856864285716</c:v>
                </c:pt>
                <c:pt idx="119">
                  <c:v>1.9</c:v>
                </c:pt>
                <c:pt idx="120">
                  <c:v>1.7940000124285713</c:v>
                </c:pt>
                <c:pt idx="121">
                  <c:v>2.3024285860000004</c:v>
                </c:pt>
                <c:pt idx="122">
                  <c:v>1.8057142665714285</c:v>
                </c:pt>
                <c:pt idx="123">
                  <c:v>1.7767143248571429</c:v>
                </c:pt>
                <c:pt idx="124">
                  <c:v>1.8437143055714282</c:v>
                </c:pt>
                <c:pt idx="125">
                  <c:v>1.8770000252857142</c:v>
                </c:pt>
                <c:pt idx="126">
                  <c:v>1.7928571701428571</c:v>
                </c:pt>
                <c:pt idx="127">
                  <c:v>2.0252857377142854</c:v>
                </c:pt>
                <c:pt idx="128">
                  <c:v>2.0514285564285717</c:v>
                </c:pt>
                <c:pt idx="129">
                  <c:v>2.1038571597142854</c:v>
                </c:pt>
                <c:pt idx="130">
                  <c:v>2.0499999999999998</c:v>
                </c:pt>
                <c:pt idx="131">
                  <c:v>2.2505714212857142</c:v>
                </c:pt>
                <c:pt idx="132">
                  <c:v>1.9771428571428571</c:v>
                </c:pt>
                <c:pt idx="133">
                  <c:v>2.2859999964285715</c:v>
                </c:pt>
                <c:pt idx="134">
                  <c:v>2</c:v>
                </c:pt>
                <c:pt idx="135">
                  <c:v>2.0667142697142857</c:v>
                </c:pt>
                <c:pt idx="136">
                  <c:v>2.0499999999999998</c:v>
                </c:pt>
                <c:pt idx="137">
                  <c:v>1.8788571358571429</c:v>
                </c:pt>
                <c:pt idx="138">
                  <c:v>1.88</c:v>
                </c:pt>
                <c:pt idx="139">
                  <c:v>1.8442857142857143</c:v>
                </c:pt>
                <c:pt idx="140">
                  <c:v>1.8114285809999999</c:v>
                </c:pt>
                <c:pt idx="141">
                  <c:v>1.8427142925714282</c:v>
                </c:pt>
                <c:pt idx="142">
                  <c:v>1.64</c:v>
                </c:pt>
                <c:pt idx="143">
                  <c:v>1.8221428395714285</c:v>
                </c:pt>
                <c:pt idx="144">
                  <c:v>1.7041428429739784</c:v>
                </c:pt>
                <c:pt idx="145">
                  <c:v>1.5524285691124997</c:v>
                </c:pt>
                <c:pt idx="146">
                  <c:v>1.585428544453207</c:v>
                </c:pt>
                <c:pt idx="147">
                  <c:v>1.6864285471428571</c:v>
                </c:pt>
                <c:pt idx="148">
                  <c:v>1.7397142818571427</c:v>
                </c:pt>
                <c:pt idx="149">
                  <c:v>1.5</c:v>
                </c:pt>
                <c:pt idx="150">
                  <c:v>1.5</c:v>
                </c:pt>
                <c:pt idx="151">
                  <c:v>1.5</c:v>
                </c:pt>
                <c:pt idx="152">
                  <c:v>1.5</c:v>
                </c:pt>
                <c:pt idx="153">
                  <c:v>1.457142846857143</c:v>
                </c:pt>
                <c:pt idx="154">
                  <c:v>1.3857142857142859</c:v>
                </c:pt>
                <c:pt idx="155">
                  <c:v>1.2999999520000001</c:v>
                </c:pt>
                <c:pt idx="156">
                  <c:v>1.2999999520000001</c:v>
                </c:pt>
                <c:pt idx="157">
                  <c:v>1.2999999520000001</c:v>
                </c:pt>
                <c:pt idx="158">
                  <c:v>1.33</c:v>
                </c:pt>
                <c:pt idx="159">
                  <c:v>3.0287143159999999</c:v>
                </c:pt>
                <c:pt idx="160">
                  <c:v>6.6928571292857146</c:v>
                </c:pt>
                <c:pt idx="161">
                  <c:v>14.464285714285714</c:v>
                </c:pt>
                <c:pt idx="162">
                  <c:v>21.059571402857141</c:v>
                </c:pt>
                <c:pt idx="163">
                  <c:v>6.8928571428571432</c:v>
                </c:pt>
                <c:pt idx="164">
                  <c:v>3.3807143142857146</c:v>
                </c:pt>
                <c:pt idx="165">
                  <c:v>2.3840000118571427</c:v>
                </c:pt>
                <c:pt idx="166">
                  <c:v>1.9291428668158341</c:v>
                </c:pt>
                <c:pt idx="167">
                  <c:v>1.7968571012857144</c:v>
                </c:pt>
                <c:pt idx="168">
                  <c:v>1.6904285634285714</c:v>
                </c:pt>
                <c:pt idx="169">
                  <c:v>1.6808571647142858</c:v>
                </c:pt>
                <c:pt idx="170">
                  <c:v>1.7205714498571432</c:v>
                </c:pt>
                <c:pt idx="171">
                  <c:v>1.789857131857143</c:v>
                </c:pt>
                <c:pt idx="172">
                  <c:v>1.6648571664285714</c:v>
                </c:pt>
                <c:pt idx="173">
                  <c:v>1.55</c:v>
                </c:pt>
                <c:pt idx="174">
                  <c:v>1.5914285865714286</c:v>
                </c:pt>
                <c:pt idx="175">
                  <c:v>1.5371428389999999</c:v>
                </c:pt>
                <c:pt idx="176">
                  <c:v>1.5128571304285714</c:v>
                </c:pt>
                <c:pt idx="177">
                  <c:v>1.5</c:v>
                </c:pt>
                <c:pt idx="178">
                  <c:v>1.5</c:v>
                </c:pt>
                <c:pt idx="179">
                  <c:v>1.5</c:v>
                </c:pt>
                <c:pt idx="180">
                  <c:v>1.5</c:v>
                </c:pt>
                <c:pt idx="181">
                  <c:v>1.5</c:v>
                </c:pt>
                <c:pt idx="182">
                  <c:v>1.59</c:v>
                </c:pt>
                <c:pt idx="183">
                  <c:v>1.6000000240000001</c:v>
                </c:pt>
                <c:pt idx="184">
                  <c:v>1.6000000238418504</c:v>
                </c:pt>
                <c:pt idx="185">
                  <c:v>1.6285714285714283</c:v>
                </c:pt>
                <c:pt idx="186">
                  <c:v>1.7000000479999999</c:v>
                </c:pt>
                <c:pt idx="187">
                  <c:v>1.7214285988571427</c:v>
                </c:pt>
                <c:pt idx="188">
                  <c:v>1.7482857022857143</c:v>
                </c:pt>
                <c:pt idx="189">
                  <c:v>1.7482857022857143</c:v>
                </c:pt>
                <c:pt idx="190">
                  <c:v>1.75</c:v>
                </c:pt>
                <c:pt idx="191">
                  <c:v>1.6425714154285713</c:v>
                </c:pt>
                <c:pt idx="192">
                  <c:v>1.6457142658571429</c:v>
                </c:pt>
                <c:pt idx="193">
                  <c:v>1.6014285714285712</c:v>
                </c:pt>
                <c:pt idx="194">
                  <c:v>1.4285714115415273</c:v>
                </c:pt>
                <c:pt idx="195">
                  <c:v>1.3999999759999999</c:v>
                </c:pt>
                <c:pt idx="196">
                  <c:v>1.3785714251428571</c:v>
                </c:pt>
                <c:pt idx="197">
                  <c:v>1.3499999999999999</c:v>
                </c:pt>
                <c:pt idx="198">
                  <c:v>1.2642857177142857</c:v>
                </c:pt>
                <c:pt idx="199">
                  <c:v>1.1857142621428574</c:v>
                </c:pt>
              </c:numCache>
            </c:numRef>
          </c:val>
          <c:extLst>
            <c:ext xmlns:c16="http://schemas.microsoft.com/office/drawing/2014/chart" uri="{C3380CC4-5D6E-409C-BE32-E72D297353CC}">
              <c16:uniqueId val="{00000001-4386-4F80-BA11-24E7324C05B4}"/>
            </c:ext>
          </c:extLst>
        </c:ser>
        <c:dLbls>
          <c:showLegendKey val="0"/>
          <c:showVal val="0"/>
          <c:showCatName val="0"/>
          <c:showSerName val="0"/>
          <c:showPercent val="0"/>
          <c:showBubbleSize val="0"/>
        </c:dLbls>
        <c:axId val="351621120"/>
        <c:axId val="351623424"/>
      </c:areaChart>
      <c:lineChart>
        <c:grouping val="standard"/>
        <c:varyColors val="0"/>
        <c:ser>
          <c:idx val="0"/>
          <c:order val="2"/>
          <c:tx>
            <c:strRef>
              <c:f>'13.Caudales'!$Y$3</c:f>
              <c:strCache>
                <c:ptCount val="1"/>
                <c:pt idx="0">
                  <c:v>SAN GABÁN</c:v>
                </c:pt>
              </c:strCache>
            </c:strRef>
          </c:tx>
          <c:marker>
            <c:symbol val="none"/>
          </c:marker>
          <c:val>
            <c:numRef>
              <c:f>'13.Caudales'!$Y$4:$Y$203</c:f>
              <c:numCache>
                <c:formatCode>0.0</c:formatCode>
                <c:ptCount val="200"/>
                <c:pt idx="0">
                  <c:v>37.270000000000003</c:v>
                </c:pt>
                <c:pt idx="1">
                  <c:v>53.34</c:v>
                </c:pt>
                <c:pt idx="2">
                  <c:v>76.69</c:v>
                </c:pt>
                <c:pt idx="3">
                  <c:v>40.92</c:v>
                </c:pt>
                <c:pt idx="4">
                  <c:v>58.97</c:v>
                </c:pt>
                <c:pt idx="5">
                  <c:v>80.41</c:v>
                </c:pt>
                <c:pt idx="6">
                  <c:v>53.36</c:v>
                </c:pt>
                <c:pt idx="7">
                  <c:v>65.55</c:v>
                </c:pt>
                <c:pt idx="8">
                  <c:v>72.96314185</c:v>
                </c:pt>
                <c:pt idx="9">
                  <c:v>47.002858298165428</c:v>
                </c:pt>
                <c:pt idx="10">
                  <c:v>42.29</c:v>
                </c:pt>
                <c:pt idx="11">
                  <c:v>24.915714263915959</c:v>
                </c:pt>
                <c:pt idx="12">
                  <c:v>24.159999847412099</c:v>
                </c:pt>
                <c:pt idx="13">
                  <c:v>22.646999904087572</c:v>
                </c:pt>
                <c:pt idx="14">
                  <c:v>22.742571422031897</c:v>
                </c:pt>
                <c:pt idx="15">
                  <c:v>23.21</c:v>
                </c:pt>
                <c:pt idx="16">
                  <c:v>19.724285806928286</c:v>
                </c:pt>
                <c:pt idx="17">
                  <c:v>14.075714383806471</c:v>
                </c:pt>
                <c:pt idx="18">
                  <c:v>12.797142846243686</c:v>
                </c:pt>
                <c:pt idx="19">
                  <c:v>12.9</c:v>
                </c:pt>
                <c:pt idx="20">
                  <c:v>11.968571390424414</c:v>
                </c:pt>
                <c:pt idx="21">
                  <c:v>9.89</c:v>
                </c:pt>
                <c:pt idx="22">
                  <c:v>8.57</c:v>
                </c:pt>
                <c:pt idx="23">
                  <c:v>9.6</c:v>
                </c:pt>
                <c:pt idx="24">
                  <c:v>7.91285726</c:v>
                </c:pt>
                <c:pt idx="25">
                  <c:v>8.911428656</c:v>
                </c:pt>
                <c:pt idx="26">
                  <c:v>7.2057142259999996</c:v>
                </c:pt>
                <c:pt idx="27">
                  <c:v>9.9999998639999994</c:v>
                </c:pt>
                <c:pt idx="28">
                  <c:v>6.7128572460000004</c:v>
                </c:pt>
                <c:pt idx="29">
                  <c:v>6.0797142300000004</c:v>
                </c:pt>
                <c:pt idx="30">
                  <c:v>4.9059999329703157</c:v>
                </c:pt>
                <c:pt idx="31">
                  <c:v>4.0242800000000001</c:v>
                </c:pt>
                <c:pt idx="32">
                  <c:v>4.354285752</c:v>
                </c:pt>
                <c:pt idx="33">
                  <c:v>4.3511429509999999</c:v>
                </c:pt>
                <c:pt idx="34">
                  <c:v>5.3042856629999999</c:v>
                </c:pt>
                <c:pt idx="35">
                  <c:v>7.46</c:v>
                </c:pt>
                <c:pt idx="36">
                  <c:v>7.79</c:v>
                </c:pt>
                <c:pt idx="37">
                  <c:v>8.5442856379999998</c:v>
                </c:pt>
                <c:pt idx="38">
                  <c:v>6.81</c:v>
                </c:pt>
                <c:pt idx="39">
                  <c:v>6.2752857208571422</c:v>
                </c:pt>
                <c:pt idx="40">
                  <c:v>9.9285714966910028</c:v>
                </c:pt>
                <c:pt idx="41">
                  <c:v>9.6800000322857152</c:v>
                </c:pt>
                <c:pt idx="42">
                  <c:v>10.33</c:v>
                </c:pt>
                <c:pt idx="43">
                  <c:v>11.29</c:v>
                </c:pt>
                <c:pt idx="44">
                  <c:v>9</c:v>
                </c:pt>
                <c:pt idx="45">
                  <c:v>8.81</c:v>
                </c:pt>
                <c:pt idx="46">
                  <c:v>9.3542860000000001</c:v>
                </c:pt>
                <c:pt idx="47">
                  <c:v>14.194285802</c:v>
                </c:pt>
                <c:pt idx="48">
                  <c:v>22.62</c:v>
                </c:pt>
                <c:pt idx="49">
                  <c:v>22.62</c:v>
                </c:pt>
                <c:pt idx="50">
                  <c:v>17.489999999999998</c:v>
                </c:pt>
                <c:pt idx="51">
                  <c:v>18.608285904285712</c:v>
                </c:pt>
                <c:pt idx="52">
                  <c:v>25.43</c:v>
                </c:pt>
                <c:pt idx="53">
                  <c:v>55.67</c:v>
                </c:pt>
                <c:pt idx="54">
                  <c:v>58.31</c:v>
                </c:pt>
                <c:pt idx="55">
                  <c:v>47.49</c:v>
                </c:pt>
                <c:pt idx="56">
                  <c:v>45.46</c:v>
                </c:pt>
                <c:pt idx="57">
                  <c:v>28.56</c:v>
                </c:pt>
                <c:pt idx="58">
                  <c:v>25.04</c:v>
                </c:pt>
                <c:pt idx="59">
                  <c:v>58.84</c:v>
                </c:pt>
                <c:pt idx="60">
                  <c:v>102.26</c:v>
                </c:pt>
                <c:pt idx="61">
                  <c:v>83.74</c:v>
                </c:pt>
                <c:pt idx="62">
                  <c:v>62.42</c:v>
                </c:pt>
                <c:pt idx="63">
                  <c:v>52.01</c:v>
                </c:pt>
                <c:pt idx="64">
                  <c:v>65.430000000000007</c:v>
                </c:pt>
                <c:pt idx="65">
                  <c:v>71.06</c:v>
                </c:pt>
                <c:pt idx="66">
                  <c:v>77.099999999999994</c:v>
                </c:pt>
                <c:pt idx="67">
                  <c:v>48.77</c:v>
                </c:pt>
                <c:pt idx="68">
                  <c:v>34.409999999999997</c:v>
                </c:pt>
                <c:pt idx="69">
                  <c:v>28.8</c:v>
                </c:pt>
                <c:pt idx="70">
                  <c:v>22.78</c:v>
                </c:pt>
                <c:pt idx="71">
                  <c:v>17.8</c:v>
                </c:pt>
                <c:pt idx="72">
                  <c:v>17.84</c:v>
                </c:pt>
                <c:pt idx="73">
                  <c:v>16.37</c:v>
                </c:pt>
                <c:pt idx="74">
                  <c:v>13.15</c:v>
                </c:pt>
                <c:pt idx="75">
                  <c:v>10.85</c:v>
                </c:pt>
                <c:pt idx="76">
                  <c:v>8.98</c:v>
                </c:pt>
                <c:pt idx="77">
                  <c:v>9.41</c:v>
                </c:pt>
                <c:pt idx="78">
                  <c:v>8.58</c:v>
                </c:pt>
                <c:pt idx="79">
                  <c:v>6.64</c:v>
                </c:pt>
                <c:pt idx="80">
                  <c:v>6.49</c:v>
                </c:pt>
                <c:pt idx="81">
                  <c:v>6.15</c:v>
                </c:pt>
                <c:pt idx="82">
                  <c:v>5.51</c:v>
                </c:pt>
                <c:pt idx="83">
                  <c:v>5.16</c:v>
                </c:pt>
                <c:pt idx="84">
                  <c:v>5.27</c:v>
                </c:pt>
                <c:pt idx="85">
                  <c:v>5.0599999999999996</c:v>
                </c:pt>
                <c:pt idx="86">
                  <c:v>4.84</c:v>
                </c:pt>
                <c:pt idx="87">
                  <c:v>4.8899999999999997</c:v>
                </c:pt>
                <c:pt idx="88">
                  <c:v>8.4</c:v>
                </c:pt>
                <c:pt idx="89">
                  <c:v>6.42</c:v>
                </c:pt>
                <c:pt idx="90">
                  <c:v>7.98</c:v>
                </c:pt>
                <c:pt idx="91">
                  <c:v>5.32</c:v>
                </c:pt>
                <c:pt idx="92">
                  <c:v>4.95</c:v>
                </c:pt>
                <c:pt idx="93">
                  <c:v>7.39</c:v>
                </c:pt>
                <c:pt idx="94">
                  <c:v>6.18</c:v>
                </c:pt>
                <c:pt idx="95">
                  <c:v>8.7899999999999991</c:v>
                </c:pt>
                <c:pt idx="96">
                  <c:v>11.45</c:v>
                </c:pt>
                <c:pt idx="97">
                  <c:v>14.58</c:v>
                </c:pt>
                <c:pt idx="98">
                  <c:v>12.14</c:v>
                </c:pt>
                <c:pt idx="99">
                  <c:v>12.516714369142859</c:v>
                </c:pt>
                <c:pt idx="100">
                  <c:v>18.826999800000003</c:v>
                </c:pt>
                <c:pt idx="101">
                  <c:v>20.280285972857143</c:v>
                </c:pt>
                <c:pt idx="102">
                  <c:v>34.849000112857141</c:v>
                </c:pt>
                <c:pt idx="103">
                  <c:v>35.335714887142856</c:v>
                </c:pt>
                <c:pt idx="104">
                  <c:v>63.23</c:v>
                </c:pt>
                <c:pt idx="105">
                  <c:v>56.654285431428562</c:v>
                </c:pt>
                <c:pt idx="106">
                  <c:v>68.516428267142857</c:v>
                </c:pt>
                <c:pt idx="107">
                  <c:v>58.935427530000005</c:v>
                </c:pt>
                <c:pt idx="108">
                  <c:v>45.332857951428579</c:v>
                </c:pt>
                <c:pt idx="109">
                  <c:v>65.987571171428584</c:v>
                </c:pt>
                <c:pt idx="110">
                  <c:v>97.722999031428586</c:v>
                </c:pt>
                <c:pt idx="111">
                  <c:v>142.13</c:v>
                </c:pt>
                <c:pt idx="112">
                  <c:v>142.13857270714286</c:v>
                </c:pt>
                <c:pt idx="113">
                  <c:v>72.30971418</c:v>
                </c:pt>
                <c:pt idx="114">
                  <c:v>119.7894287057143</c:v>
                </c:pt>
                <c:pt idx="115">
                  <c:v>152.80443028571429</c:v>
                </c:pt>
                <c:pt idx="116">
                  <c:v>107.32928468714286</c:v>
                </c:pt>
                <c:pt idx="117">
                  <c:v>80.936570849999995</c:v>
                </c:pt>
                <c:pt idx="118">
                  <c:v>42.693143572857146</c:v>
                </c:pt>
                <c:pt idx="119">
                  <c:v>33.717142651428574</c:v>
                </c:pt>
                <c:pt idx="120">
                  <c:v>27.06</c:v>
                </c:pt>
                <c:pt idx="121">
                  <c:v>22.269714081428571</c:v>
                </c:pt>
                <c:pt idx="122">
                  <c:v>17.565999711428571</c:v>
                </c:pt>
                <c:pt idx="123">
                  <c:v>14.502285821428572</c:v>
                </c:pt>
                <c:pt idx="124">
                  <c:v>12.214999879999999</c:v>
                </c:pt>
                <c:pt idx="125">
                  <c:v>10.894571441428569</c:v>
                </c:pt>
                <c:pt idx="126">
                  <c:v>13.860571451428571</c:v>
                </c:pt>
                <c:pt idx="127">
                  <c:v>13.392856871428572</c:v>
                </c:pt>
                <c:pt idx="128">
                  <c:v>10.749428476857142</c:v>
                </c:pt>
                <c:pt idx="129">
                  <c:v>9.1145714351428584</c:v>
                </c:pt>
                <c:pt idx="130">
                  <c:v>7.6487142698571438</c:v>
                </c:pt>
                <c:pt idx="131">
                  <c:v>7.0544285774285713</c:v>
                </c:pt>
                <c:pt idx="132">
                  <c:v>6.3400000000000007</c:v>
                </c:pt>
                <c:pt idx="133">
                  <c:v>9.4385714285714304</c:v>
                </c:pt>
                <c:pt idx="134">
                  <c:v>8.5770238095238049</c:v>
                </c:pt>
                <c:pt idx="135">
                  <c:v>9.7962856299999999</c:v>
                </c:pt>
                <c:pt idx="136">
                  <c:v>8.7822855541428577</c:v>
                </c:pt>
                <c:pt idx="137">
                  <c:v>11.383714402571428</c:v>
                </c:pt>
                <c:pt idx="138">
                  <c:v>7.88</c:v>
                </c:pt>
                <c:pt idx="139">
                  <c:v>8.0857142857142854</c:v>
                </c:pt>
                <c:pt idx="140">
                  <c:v>8.6452856064285708</c:v>
                </c:pt>
                <c:pt idx="141">
                  <c:v>8.6452856064285708</c:v>
                </c:pt>
                <c:pt idx="142">
                  <c:v>7.4194285528571422</c:v>
                </c:pt>
                <c:pt idx="143">
                  <c:v>9.6005713597142837</c:v>
                </c:pt>
                <c:pt idx="144">
                  <c:v>10.943285942077617</c:v>
                </c:pt>
                <c:pt idx="145">
                  <c:v>17.972571236746628</c:v>
                </c:pt>
                <c:pt idx="146">
                  <c:v>19.552571432931028</c:v>
                </c:pt>
                <c:pt idx="147">
                  <c:v>33.081571032857141</c:v>
                </c:pt>
                <c:pt idx="148">
                  <c:v>39.80185754</c:v>
                </c:pt>
                <c:pt idx="149">
                  <c:v>37.212857142857146</c:v>
                </c:pt>
                <c:pt idx="150">
                  <c:v>35.055428368571434</c:v>
                </c:pt>
                <c:pt idx="151">
                  <c:v>28.370000294285713</c:v>
                </c:pt>
                <c:pt idx="152">
                  <c:v>22.919999999999998</c:v>
                </c:pt>
                <c:pt idx="153">
                  <c:v>17.695714271428571</c:v>
                </c:pt>
                <c:pt idx="154">
                  <c:v>33.51428571428572</c:v>
                </c:pt>
                <c:pt idx="155">
                  <c:v>52.753143308571431</c:v>
                </c:pt>
                <c:pt idx="156">
                  <c:v>64.398429325714275</c:v>
                </c:pt>
                <c:pt idx="157">
                  <c:v>70.997858864285703</c:v>
                </c:pt>
                <c:pt idx="158">
                  <c:v>68.83</c:v>
                </c:pt>
                <c:pt idx="159">
                  <c:v>70.089428494285713</c:v>
                </c:pt>
                <c:pt idx="160">
                  <c:v>74.655428748571438</c:v>
                </c:pt>
                <c:pt idx="161">
                  <c:v>117.82857142857142</c:v>
                </c:pt>
                <c:pt idx="162">
                  <c:v>118.07871352857144</c:v>
                </c:pt>
                <c:pt idx="163">
                  <c:v>98.32</c:v>
                </c:pt>
                <c:pt idx="164">
                  <c:v>120.90099988571428</c:v>
                </c:pt>
                <c:pt idx="165">
                  <c:v>78.177285328571429</c:v>
                </c:pt>
                <c:pt idx="166">
                  <c:v>44.638999938964801</c:v>
                </c:pt>
                <c:pt idx="167">
                  <c:v>98.4</c:v>
                </c:pt>
                <c:pt idx="168">
                  <c:v>92.103571201428579</c:v>
                </c:pt>
                <c:pt idx="169">
                  <c:v>65.665856497142855</c:v>
                </c:pt>
                <c:pt idx="170">
                  <c:v>49.633285522857136</c:v>
                </c:pt>
                <c:pt idx="171">
                  <c:v>31.291000095714285</c:v>
                </c:pt>
                <c:pt idx="172">
                  <c:v>25.921857015714284</c:v>
                </c:pt>
                <c:pt idx="173">
                  <c:v>22.190428595714284</c:v>
                </c:pt>
                <c:pt idx="174">
                  <c:v>20.991285870000006</c:v>
                </c:pt>
                <c:pt idx="175">
                  <c:v>23.085714070000002</c:v>
                </c:pt>
                <c:pt idx="176">
                  <c:v>17.858285902857144</c:v>
                </c:pt>
                <c:pt idx="177">
                  <c:v>15.324571202857143</c:v>
                </c:pt>
                <c:pt idx="178">
                  <c:v>13.868142808571431</c:v>
                </c:pt>
                <c:pt idx="179">
                  <c:v>12.512571334285715</c:v>
                </c:pt>
                <c:pt idx="180">
                  <c:v>11.450428658571429</c:v>
                </c:pt>
                <c:pt idx="181">
                  <c:v>9.6660000944285702</c:v>
                </c:pt>
                <c:pt idx="182">
                  <c:v>8.27</c:v>
                </c:pt>
                <c:pt idx="183">
                  <c:v>7.4899999752857136</c:v>
                </c:pt>
                <c:pt idx="184">
                  <c:v>6.46428571428571</c:v>
                </c:pt>
                <c:pt idx="185">
                  <c:v>8.2285714285714295</c:v>
                </c:pt>
                <c:pt idx="186">
                  <c:v>6.7562857354285706</c:v>
                </c:pt>
                <c:pt idx="187">
                  <c:v>6.4201429230000002</c:v>
                </c:pt>
                <c:pt idx="188">
                  <c:v>4.7154285567142855</c:v>
                </c:pt>
                <c:pt idx="189">
                  <c:v>5.7421428814285713</c:v>
                </c:pt>
                <c:pt idx="190">
                  <c:v>6.5945714541428577</c:v>
                </c:pt>
                <c:pt idx="191">
                  <c:v>4.9847143037142851</c:v>
                </c:pt>
                <c:pt idx="192">
                  <c:v>5.502714293285714</c:v>
                </c:pt>
                <c:pt idx="193">
                  <c:v>6.8414285714285716</c:v>
                </c:pt>
                <c:pt idx="194">
                  <c:v>5.5879999569484111</c:v>
                </c:pt>
                <c:pt idx="195">
                  <c:v>8.0550000327142861</c:v>
                </c:pt>
                <c:pt idx="196">
                  <c:v>6.9969999451428562</c:v>
                </c:pt>
                <c:pt idx="197">
                  <c:v>6.2985714285714289</c:v>
                </c:pt>
                <c:pt idx="198">
                  <c:v>11.989999907285712</c:v>
                </c:pt>
                <c:pt idx="199">
                  <c:v>7.9394285338571438</c:v>
                </c:pt>
              </c:numCache>
            </c:numRef>
          </c:val>
          <c:smooth val="0"/>
          <c:extLst>
            <c:ext xmlns:c16="http://schemas.microsoft.com/office/drawing/2014/chart" uri="{C3380CC4-5D6E-409C-BE32-E72D297353CC}">
              <c16:uniqueId val="{00000002-4386-4F80-BA11-24E7324C05B4}"/>
            </c:ext>
          </c:extLst>
        </c:ser>
        <c:dLbls>
          <c:showLegendKey val="0"/>
          <c:showVal val="0"/>
          <c:showCatName val="0"/>
          <c:showSerName val="0"/>
          <c:showPercent val="0"/>
          <c:showBubbleSize val="0"/>
        </c:dLbls>
        <c:marker val="1"/>
        <c:smooth val="0"/>
        <c:axId val="351621120"/>
        <c:axId val="351623424"/>
      </c:lineChart>
      <c:lineChart>
        <c:grouping val="standard"/>
        <c:varyColors val="0"/>
        <c:ser>
          <c:idx val="1"/>
          <c:order val="3"/>
          <c:tx>
            <c:strRef>
              <c:f>'13.Caudales'!$X$3</c:f>
              <c:strCache>
                <c:ptCount val="1"/>
                <c:pt idx="0">
                  <c:v>VILCANOTA</c:v>
                </c:pt>
              </c:strCache>
            </c:strRef>
          </c:tx>
          <c:spPr>
            <a:ln>
              <a:solidFill>
                <a:srgbClr val="00B0F0"/>
              </a:solidFill>
            </a:ln>
          </c:spPr>
          <c:marker>
            <c:symbol val="none"/>
          </c:marker>
          <c:val>
            <c:numRef>
              <c:f>'13.Caudales'!$X$4:$X$203</c:f>
              <c:numCache>
                <c:formatCode>0.0</c:formatCode>
                <c:ptCount val="200"/>
                <c:pt idx="0">
                  <c:v>109.19</c:v>
                </c:pt>
                <c:pt idx="1">
                  <c:v>177.91</c:v>
                </c:pt>
                <c:pt idx="2">
                  <c:v>248.28</c:v>
                </c:pt>
                <c:pt idx="3">
                  <c:v>142.55000000000001</c:v>
                </c:pt>
                <c:pt idx="4">
                  <c:v>251.59399999999999</c:v>
                </c:pt>
                <c:pt idx="5">
                  <c:v>388.05428210000002</c:v>
                </c:pt>
                <c:pt idx="6">
                  <c:v>283.21000240000001</c:v>
                </c:pt>
                <c:pt idx="7">
                  <c:v>414.29357470000002</c:v>
                </c:pt>
                <c:pt idx="8">
                  <c:v>382.60643219999997</c:v>
                </c:pt>
                <c:pt idx="9">
                  <c:v>245.78571646554084</c:v>
                </c:pt>
                <c:pt idx="10">
                  <c:v>239.62</c:v>
                </c:pt>
                <c:pt idx="11">
                  <c:v>150.27357046944684</c:v>
                </c:pt>
                <c:pt idx="12">
                  <c:v>116.33999633789</c:v>
                </c:pt>
                <c:pt idx="13">
                  <c:v>126.18428475516127</c:v>
                </c:pt>
                <c:pt idx="14">
                  <c:v>140.54571315220355</c:v>
                </c:pt>
                <c:pt idx="15">
                  <c:v>141.29</c:v>
                </c:pt>
                <c:pt idx="16">
                  <c:v>105.73500061035119</c:v>
                </c:pt>
                <c:pt idx="17">
                  <c:v>72.620000566754968</c:v>
                </c:pt>
                <c:pt idx="18">
                  <c:v>60.497857775006928</c:v>
                </c:pt>
                <c:pt idx="19">
                  <c:v>56.6</c:v>
                </c:pt>
                <c:pt idx="20">
                  <c:v>52.17071369716097</c:v>
                </c:pt>
                <c:pt idx="21">
                  <c:v>46.88</c:v>
                </c:pt>
                <c:pt idx="22">
                  <c:v>43.39</c:v>
                </c:pt>
                <c:pt idx="23">
                  <c:v>40.28</c:v>
                </c:pt>
                <c:pt idx="24">
                  <c:v>37.560714179999998</c:v>
                </c:pt>
                <c:pt idx="25">
                  <c:v>37.759999409999999</c:v>
                </c:pt>
                <c:pt idx="26">
                  <c:v>35.967143470000003</c:v>
                </c:pt>
                <c:pt idx="27">
                  <c:v>47.66357095</c:v>
                </c:pt>
                <c:pt idx="28">
                  <c:v>44.25</c:v>
                </c:pt>
                <c:pt idx="29">
                  <c:v>42.498571668352326</c:v>
                </c:pt>
                <c:pt idx="30">
                  <c:v>39.98428617204933</c:v>
                </c:pt>
                <c:pt idx="31">
                  <c:v>36.654999320000002</c:v>
                </c:pt>
                <c:pt idx="32">
                  <c:v>35.152857099999999</c:v>
                </c:pt>
                <c:pt idx="33">
                  <c:v>34.115715029999997</c:v>
                </c:pt>
                <c:pt idx="34">
                  <c:v>30.92</c:v>
                </c:pt>
                <c:pt idx="35">
                  <c:v>30.922143120000001</c:v>
                </c:pt>
                <c:pt idx="36">
                  <c:v>29.33</c:v>
                </c:pt>
                <c:pt idx="37">
                  <c:v>34.179286410000003</c:v>
                </c:pt>
                <c:pt idx="38">
                  <c:v>38.82</c:v>
                </c:pt>
                <c:pt idx="39">
                  <c:v>43.879284992857151</c:v>
                </c:pt>
                <c:pt idx="40">
                  <c:v>45.627857753208637</c:v>
                </c:pt>
                <c:pt idx="41">
                  <c:v>52.615000045714282</c:v>
                </c:pt>
                <c:pt idx="42">
                  <c:v>50.71</c:v>
                </c:pt>
                <c:pt idx="43">
                  <c:v>48.41</c:v>
                </c:pt>
                <c:pt idx="44">
                  <c:v>47.24</c:v>
                </c:pt>
                <c:pt idx="45">
                  <c:v>40.61</c:v>
                </c:pt>
                <c:pt idx="46">
                  <c:v>41.625</c:v>
                </c:pt>
                <c:pt idx="47">
                  <c:v>41.014285495714283</c:v>
                </c:pt>
                <c:pt idx="48">
                  <c:v>83.6</c:v>
                </c:pt>
                <c:pt idx="49">
                  <c:v>66.8</c:v>
                </c:pt>
                <c:pt idx="50">
                  <c:v>55.42</c:v>
                </c:pt>
                <c:pt idx="51">
                  <c:v>59.550713675714292</c:v>
                </c:pt>
                <c:pt idx="52">
                  <c:v>89.46</c:v>
                </c:pt>
                <c:pt idx="53">
                  <c:v>178.14</c:v>
                </c:pt>
                <c:pt idx="54">
                  <c:v>174.94</c:v>
                </c:pt>
                <c:pt idx="55">
                  <c:v>141.31</c:v>
                </c:pt>
                <c:pt idx="56">
                  <c:v>123.59</c:v>
                </c:pt>
                <c:pt idx="57">
                  <c:v>85.48</c:v>
                </c:pt>
                <c:pt idx="58">
                  <c:v>100.57</c:v>
                </c:pt>
                <c:pt idx="59">
                  <c:v>163.72999999999999</c:v>
                </c:pt>
                <c:pt idx="60">
                  <c:v>285.31</c:v>
                </c:pt>
                <c:pt idx="61">
                  <c:v>374.33</c:v>
                </c:pt>
                <c:pt idx="62">
                  <c:v>219.86</c:v>
                </c:pt>
                <c:pt idx="63">
                  <c:v>190.11</c:v>
                </c:pt>
                <c:pt idx="64">
                  <c:v>272.08999999999997</c:v>
                </c:pt>
                <c:pt idx="65">
                  <c:v>301.82</c:v>
                </c:pt>
                <c:pt idx="66">
                  <c:v>203.49</c:v>
                </c:pt>
                <c:pt idx="67">
                  <c:v>155.33000000000001</c:v>
                </c:pt>
                <c:pt idx="68">
                  <c:v>111.37</c:v>
                </c:pt>
                <c:pt idx="69">
                  <c:v>117.05</c:v>
                </c:pt>
                <c:pt idx="70">
                  <c:v>79.2</c:v>
                </c:pt>
                <c:pt idx="71">
                  <c:v>69.37</c:v>
                </c:pt>
                <c:pt idx="72">
                  <c:v>68.8</c:v>
                </c:pt>
                <c:pt idx="73">
                  <c:v>69.05</c:v>
                </c:pt>
                <c:pt idx="74">
                  <c:v>54.09</c:v>
                </c:pt>
                <c:pt idx="75">
                  <c:v>45.31</c:v>
                </c:pt>
                <c:pt idx="76">
                  <c:v>40.42</c:v>
                </c:pt>
                <c:pt idx="77">
                  <c:v>37.89</c:v>
                </c:pt>
                <c:pt idx="78">
                  <c:v>38.229999999999997</c:v>
                </c:pt>
                <c:pt idx="79">
                  <c:v>33.9</c:v>
                </c:pt>
                <c:pt idx="80">
                  <c:v>31.97</c:v>
                </c:pt>
                <c:pt idx="81">
                  <c:v>31.76</c:v>
                </c:pt>
                <c:pt idx="82">
                  <c:v>31.68</c:v>
                </c:pt>
                <c:pt idx="83">
                  <c:v>31.01</c:v>
                </c:pt>
                <c:pt idx="84">
                  <c:v>30.23</c:v>
                </c:pt>
                <c:pt idx="85">
                  <c:v>32.17</c:v>
                </c:pt>
                <c:pt idx="86">
                  <c:v>31.63</c:v>
                </c:pt>
                <c:pt idx="87">
                  <c:v>34.090000000000003</c:v>
                </c:pt>
                <c:pt idx="88">
                  <c:v>38.06</c:v>
                </c:pt>
                <c:pt idx="89">
                  <c:v>41.12</c:v>
                </c:pt>
                <c:pt idx="90">
                  <c:v>33.06</c:v>
                </c:pt>
                <c:pt idx="91">
                  <c:v>35.54</c:v>
                </c:pt>
                <c:pt idx="92">
                  <c:v>37.47</c:v>
                </c:pt>
                <c:pt idx="93">
                  <c:v>52.42</c:v>
                </c:pt>
                <c:pt idx="94">
                  <c:v>43.93</c:v>
                </c:pt>
                <c:pt idx="95">
                  <c:v>40.229999999999997</c:v>
                </c:pt>
                <c:pt idx="96">
                  <c:v>41.85</c:v>
                </c:pt>
                <c:pt idx="97">
                  <c:v>70.849999999999994</c:v>
                </c:pt>
                <c:pt idx="98">
                  <c:v>64.819999999999993</c:v>
                </c:pt>
                <c:pt idx="99">
                  <c:v>47.846427917142854</c:v>
                </c:pt>
                <c:pt idx="100">
                  <c:v>57.322143555714298</c:v>
                </c:pt>
                <c:pt idx="101">
                  <c:v>51.470714571428573</c:v>
                </c:pt>
                <c:pt idx="102">
                  <c:v>65.58357184285714</c:v>
                </c:pt>
                <c:pt idx="103">
                  <c:v>104.27285767571428</c:v>
                </c:pt>
                <c:pt idx="104">
                  <c:v>201.2428571428571</c:v>
                </c:pt>
                <c:pt idx="105">
                  <c:v>229.4250030571429</c:v>
                </c:pt>
                <c:pt idx="106">
                  <c:v>261.56357028571426</c:v>
                </c:pt>
                <c:pt idx="107">
                  <c:v>261.98000009999998</c:v>
                </c:pt>
                <c:pt idx="108">
                  <c:v>141.83571514285714</c:v>
                </c:pt>
                <c:pt idx="109">
                  <c:v>164.55714089999998</c:v>
                </c:pt>
                <c:pt idx="110">
                  <c:v>355.31285748571423</c:v>
                </c:pt>
                <c:pt idx="111">
                  <c:v>437.78</c:v>
                </c:pt>
                <c:pt idx="112">
                  <c:v>424.14571271428576</c:v>
                </c:pt>
                <c:pt idx="113">
                  <c:v>293.69142804285718</c:v>
                </c:pt>
                <c:pt idx="114">
                  <c:v>511.54500034285724</c:v>
                </c:pt>
                <c:pt idx="115">
                  <c:v>433.89143152857145</c:v>
                </c:pt>
                <c:pt idx="116">
                  <c:v>281.79928587142859</c:v>
                </c:pt>
                <c:pt idx="117">
                  <c:v>176.23214502857144</c:v>
                </c:pt>
                <c:pt idx="118">
                  <c:v>130.09</c:v>
                </c:pt>
                <c:pt idx="119">
                  <c:v>96.9</c:v>
                </c:pt>
                <c:pt idx="120">
                  <c:v>89.59</c:v>
                </c:pt>
                <c:pt idx="121">
                  <c:v>89.602142331428567</c:v>
                </c:pt>
                <c:pt idx="122">
                  <c:v>75.568572998571426</c:v>
                </c:pt>
                <c:pt idx="123">
                  <c:v>62.208570752857149</c:v>
                </c:pt>
                <c:pt idx="124">
                  <c:v>54.38714218285714</c:v>
                </c:pt>
                <c:pt idx="125">
                  <c:v>48.837857382857138</c:v>
                </c:pt>
                <c:pt idx="126">
                  <c:v>58.175000328571436</c:v>
                </c:pt>
                <c:pt idx="127">
                  <c:v>61.988572801428582</c:v>
                </c:pt>
                <c:pt idx="128">
                  <c:v>51.970714024285719</c:v>
                </c:pt>
                <c:pt idx="129">
                  <c:v>44.390714371428579</c:v>
                </c:pt>
                <c:pt idx="130">
                  <c:v>39.173571994285716</c:v>
                </c:pt>
                <c:pt idx="131">
                  <c:v>36.999285560000011</c:v>
                </c:pt>
                <c:pt idx="132">
                  <c:v>38.677142857142861</c:v>
                </c:pt>
                <c:pt idx="133">
                  <c:v>56.166428702857139</c:v>
                </c:pt>
                <c:pt idx="134">
                  <c:v>50.215000000000003</c:v>
                </c:pt>
                <c:pt idx="135">
                  <c:v>50.460713522857141</c:v>
                </c:pt>
                <c:pt idx="136">
                  <c:v>44.64</c:v>
                </c:pt>
                <c:pt idx="137">
                  <c:v>35.627857751428571</c:v>
                </c:pt>
                <c:pt idx="138">
                  <c:v>32.979999999999997</c:v>
                </c:pt>
                <c:pt idx="139">
                  <c:v>31.20428571428571</c:v>
                </c:pt>
                <c:pt idx="140">
                  <c:v>29.614285605714283</c:v>
                </c:pt>
                <c:pt idx="141">
                  <c:v>30.912857054285716</c:v>
                </c:pt>
                <c:pt idx="142">
                  <c:v>37.200000000000003</c:v>
                </c:pt>
                <c:pt idx="143">
                  <c:v>42.197143011428572</c:v>
                </c:pt>
                <c:pt idx="144">
                  <c:v>49.475714547293492</c:v>
                </c:pt>
                <c:pt idx="145">
                  <c:v>72.350713457379968</c:v>
                </c:pt>
                <c:pt idx="146">
                  <c:v>82.484284537179079</c:v>
                </c:pt>
                <c:pt idx="147">
                  <c:v>110.40928649571428</c:v>
                </c:pt>
                <c:pt idx="148">
                  <c:v>114.14357212285714</c:v>
                </c:pt>
                <c:pt idx="149">
                  <c:v>93.457142857142841</c:v>
                </c:pt>
                <c:pt idx="150">
                  <c:v>104.10500007571429</c:v>
                </c:pt>
                <c:pt idx="151">
                  <c:v>91.569999695714287</c:v>
                </c:pt>
                <c:pt idx="152">
                  <c:v>62.974285714285706</c:v>
                </c:pt>
                <c:pt idx="153">
                  <c:v>52.244286674285718</c:v>
                </c:pt>
                <c:pt idx="154">
                  <c:v>86.528571428571439</c:v>
                </c:pt>
                <c:pt idx="155">
                  <c:v>103.53357153142858</c:v>
                </c:pt>
                <c:pt idx="156">
                  <c:v>121.75642612857142</c:v>
                </c:pt>
                <c:pt idx="157">
                  <c:v>180.32999965714288</c:v>
                </c:pt>
                <c:pt idx="158">
                  <c:v>167.22</c:v>
                </c:pt>
                <c:pt idx="159">
                  <c:v>185.51500375714286</c:v>
                </c:pt>
                <c:pt idx="160">
                  <c:v>199.03571430000002</c:v>
                </c:pt>
                <c:pt idx="161">
                  <c:v>338.89857142857142</c:v>
                </c:pt>
                <c:pt idx="162">
                  <c:v>288.0957205571429</c:v>
                </c:pt>
                <c:pt idx="163">
                  <c:v>411.75142995714288</c:v>
                </c:pt>
                <c:pt idx="164">
                  <c:v>249.46285358571427</c:v>
                </c:pt>
                <c:pt idx="165">
                  <c:v>225.10000174285716</c:v>
                </c:pt>
                <c:pt idx="166">
                  <c:v>217.45642525809117</c:v>
                </c:pt>
                <c:pt idx="167">
                  <c:v>327.82142857142861</c:v>
                </c:pt>
                <c:pt idx="168">
                  <c:v>339.04356602857143</c:v>
                </c:pt>
                <c:pt idx="169">
                  <c:v>250.08571298571431</c:v>
                </c:pt>
                <c:pt idx="170">
                  <c:v>148.48785617142858</c:v>
                </c:pt>
                <c:pt idx="171">
                  <c:v>105.47928511571429</c:v>
                </c:pt>
                <c:pt idx="172">
                  <c:v>103.81928579571429</c:v>
                </c:pt>
                <c:pt idx="173">
                  <c:v>91.532855442857141</c:v>
                </c:pt>
                <c:pt idx="174">
                  <c:v>82.45500183</c:v>
                </c:pt>
                <c:pt idx="175">
                  <c:v>76.857142859999996</c:v>
                </c:pt>
                <c:pt idx="176">
                  <c:v>58.057856968571436</c:v>
                </c:pt>
                <c:pt idx="177">
                  <c:v>51.520714895714285</c:v>
                </c:pt>
                <c:pt idx="178">
                  <c:v>46.520714351428573</c:v>
                </c:pt>
                <c:pt idx="179">
                  <c:v>42.473571777142858</c:v>
                </c:pt>
                <c:pt idx="180">
                  <c:v>43.729285104285715</c:v>
                </c:pt>
                <c:pt idx="181">
                  <c:v>44.616428919999997</c:v>
                </c:pt>
                <c:pt idx="182">
                  <c:v>43.84</c:v>
                </c:pt>
                <c:pt idx="183">
                  <c:v>39.995714458571435</c:v>
                </c:pt>
                <c:pt idx="184">
                  <c:v>42.704285757882197</c:v>
                </c:pt>
                <c:pt idx="185">
                  <c:v>44.611428571428576</c:v>
                </c:pt>
                <c:pt idx="186">
                  <c:v>43.444999694285706</c:v>
                </c:pt>
                <c:pt idx="187">
                  <c:v>38.432857512857147</c:v>
                </c:pt>
                <c:pt idx="188">
                  <c:v>36.690713608571421</c:v>
                </c:pt>
                <c:pt idx="189">
                  <c:v>34.872856138571429</c:v>
                </c:pt>
                <c:pt idx="190">
                  <c:v>34.16142872428572</c:v>
                </c:pt>
                <c:pt idx="191">
                  <c:v>35.968571799999999</c:v>
                </c:pt>
                <c:pt idx="192">
                  <c:v>34.324999674285714</c:v>
                </c:pt>
                <c:pt idx="193">
                  <c:v>33.131428571428572</c:v>
                </c:pt>
                <c:pt idx="194">
                  <c:v>32.532142911638481</c:v>
                </c:pt>
                <c:pt idx="195">
                  <c:v>36.384999957142853</c:v>
                </c:pt>
                <c:pt idx="196">
                  <c:v>40.987143380000006</c:v>
                </c:pt>
                <c:pt idx="197">
                  <c:v>37.554285714285712</c:v>
                </c:pt>
                <c:pt idx="198">
                  <c:v>52.87071446142857</c:v>
                </c:pt>
                <c:pt idx="199">
                  <c:v>36.208572388571426</c:v>
                </c:pt>
              </c:numCache>
            </c:numRef>
          </c:val>
          <c:smooth val="0"/>
          <c:extLst>
            <c:ext xmlns:c16="http://schemas.microsoft.com/office/drawing/2014/chart" uri="{C3380CC4-5D6E-409C-BE32-E72D297353CC}">
              <c16:uniqueId val="{00000003-4386-4F80-BA11-24E7324C05B4}"/>
            </c:ext>
          </c:extLst>
        </c:ser>
        <c:dLbls>
          <c:showLegendKey val="0"/>
          <c:showVal val="0"/>
          <c:showCatName val="0"/>
          <c:showSerName val="0"/>
          <c:showPercent val="0"/>
          <c:showBubbleSize val="0"/>
        </c:dLbls>
        <c:marker val="1"/>
        <c:smooth val="0"/>
        <c:axId val="351627520"/>
        <c:axId val="351625600"/>
      </c:lineChart>
      <c:catAx>
        <c:axId val="351621120"/>
        <c:scaling>
          <c:orientation val="minMax"/>
        </c:scaling>
        <c:delete val="0"/>
        <c:axPos val="b"/>
        <c:title>
          <c:tx>
            <c:rich>
              <a:bodyPr/>
              <a:lstStyle/>
              <a:p>
                <a:pPr>
                  <a:defRPr/>
                </a:pPr>
                <a:r>
                  <a:rPr lang="en-US"/>
                  <a:t>Semanas</a:t>
                </a:r>
              </a:p>
            </c:rich>
          </c:tx>
          <c:layout>
            <c:manualLayout>
              <c:xMode val="edge"/>
              <c:yMode val="edge"/>
              <c:x val="0.8559717214603686"/>
              <c:y val="0.94483341230349494"/>
            </c:manualLayout>
          </c:layout>
          <c:overlay val="0"/>
        </c:title>
        <c:numFmt formatCode="General" sourceLinked="1"/>
        <c:majorTickMark val="out"/>
        <c:minorTickMark val="none"/>
        <c:tickLblPos val="nextTo"/>
        <c:txPr>
          <a:bodyPr/>
          <a:lstStyle/>
          <a:p>
            <a:pPr>
              <a:defRPr kern="2000" spc="-100" baseline="0"/>
            </a:pPr>
            <a:endParaRPr lang="es-PE"/>
          </a:p>
        </c:txPr>
        <c:crossAx val="351623424"/>
        <c:crosses val="autoZero"/>
        <c:auto val="1"/>
        <c:lblAlgn val="ctr"/>
        <c:lblOffset val="100"/>
        <c:tickLblSkip val="200"/>
        <c:noMultiLvlLbl val="0"/>
      </c:catAx>
      <c:valAx>
        <c:axId val="351623424"/>
        <c:scaling>
          <c:orientation val="minMax"/>
        </c:scaling>
        <c:delete val="0"/>
        <c:axPos val="l"/>
        <c:majorGridlines/>
        <c:title>
          <c:tx>
            <c:rich>
              <a:bodyPr rot="0" vert="horz"/>
              <a:lstStyle/>
              <a:p>
                <a:pPr>
                  <a:defRPr/>
                </a:pPr>
                <a:r>
                  <a:rPr lang="en-US"/>
                  <a:t>m3/s</a:t>
                </a:r>
              </a:p>
              <a:p>
                <a:pPr>
                  <a:defRPr/>
                </a:pPr>
                <a:r>
                  <a:rPr lang="en-US"/>
                  <a:t>(Charcani y Aricota)</a:t>
                </a:r>
              </a:p>
            </c:rich>
          </c:tx>
          <c:layout>
            <c:manualLayout>
              <c:xMode val="edge"/>
              <c:yMode val="edge"/>
              <c:x val="1.9106845974712372E-4"/>
              <c:y val="3.9039481334262265E-2"/>
            </c:manualLayout>
          </c:layout>
          <c:overlay val="0"/>
        </c:title>
        <c:numFmt formatCode="0" sourceLinked="0"/>
        <c:majorTickMark val="out"/>
        <c:minorTickMark val="none"/>
        <c:tickLblPos val="nextTo"/>
        <c:crossAx val="351621120"/>
        <c:crosses val="autoZero"/>
        <c:crossBetween val="between"/>
      </c:valAx>
      <c:valAx>
        <c:axId val="351625600"/>
        <c:scaling>
          <c:orientation val="minMax"/>
        </c:scaling>
        <c:delete val="0"/>
        <c:axPos val="r"/>
        <c:title>
          <c:tx>
            <c:rich>
              <a:bodyPr rot="0" vert="horz"/>
              <a:lstStyle/>
              <a:p>
                <a:pPr>
                  <a:defRPr/>
                </a:pPr>
                <a:r>
                  <a:rPr lang="en-US"/>
                  <a:t>m3/s </a:t>
                </a:r>
              </a:p>
              <a:p>
                <a:pPr>
                  <a:defRPr/>
                </a:pPr>
                <a:r>
                  <a:rPr lang="en-US"/>
                  <a:t>(San Gabán y Vilcanota)</a:t>
                </a:r>
              </a:p>
            </c:rich>
          </c:tx>
          <c:layout>
            <c:manualLayout>
              <c:xMode val="edge"/>
              <c:yMode val="edge"/>
              <c:x val="0.87629063464413948"/>
              <c:y val="9.1618573711402893E-3"/>
            </c:manualLayout>
          </c:layout>
          <c:overlay val="0"/>
        </c:title>
        <c:numFmt formatCode="0" sourceLinked="0"/>
        <c:majorTickMark val="out"/>
        <c:minorTickMark val="none"/>
        <c:tickLblPos val="nextTo"/>
        <c:crossAx val="351627520"/>
        <c:crosses val="max"/>
        <c:crossBetween val="between"/>
      </c:valAx>
      <c:catAx>
        <c:axId val="351627520"/>
        <c:scaling>
          <c:orientation val="minMax"/>
        </c:scaling>
        <c:delete val="1"/>
        <c:axPos val="b"/>
        <c:numFmt formatCode="General" sourceLinked="1"/>
        <c:majorTickMark val="out"/>
        <c:minorTickMark val="none"/>
        <c:tickLblPos val="nextTo"/>
        <c:crossAx val="351625600"/>
        <c:crosses val="autoZero"/>
        <c:auto val="1"/>
        <c:lblAlgn val="ctr"/>
        <c:lblOffset val="100"/>
        <c:noMultiLvlLbl val="0"/>
      </c:catAx>
    </c:plotArea>
    <c:legend>
      <c:legendPos val="t"/>
      <c:layout>
        <c:manualLayout>
          <c:xMode val="edge"/>
          <c:yMode val="edge"/>
          <c:x val="0.24739327172104933"/>
          <c:y val="0.16369553377365523"/>
          <c:w val="0.6785949544844444"/>
          <c:h val="0.16299980945989467"/>
        </c:manualLayout>
      </c:layout>
      <c:overlay val="0"/>
    </c:legend>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oddHeader>&amp;R&amp;7Informe de la Operación Mensual - Mayo 2019
INFSGI-MES-05-2019
12/06/2019
Versión: 01</c:oddHeader>
    </c:headerFooter>
    <c:pageMargins b="0.75" l="0.7" r="0.7" t="0.75" header="0.3" footer="0.3"/>
    <c:pageSetup paperSize="9" orientation="landscape"/>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s-PE" sz="800" b="1">
                <a:latin typeface="Arial" panose="020B0604020202020204" pitchFamily="34" charset="0"/>
                <a:cs typeface="Arial" panose="020B0604020202020204" pitchFamily="34" charset="0"/>
              </a:rPr>
              <a:t>COSTOS MARGINALES ÁREA NORTE</a:t>
            </a:r>
          </a:p>
        </c:rich>
      </c:tx>
      <c:layout>
        <c:manualLayout>
          <c:xMode val="edge"/>
          <c:yMode val="edge"/>
          <c:x val="0.32876309023748146"/>
          <c:y val="3.2778495357395271E-2"/>
        </c:manualLayout>
      </c:layout>
      <c:overlay val="0"/>
      <c:spPr>
        <a:noFill/>
        <a:ln>
          <a:noFill/>
        </a:ln>
        <a:effectLst/>
      </c:spPr>
    </c:title>
    <c:autoTitleDeleted val="0"/>
    <c:plotArea>
      <c:layout>
        <c:manualLayout>
          <c:layoutTarget val="inner"/>
          <c:xMode val="edge"/>
          <c:yMode val="edge"/>
          <c:x val="7.4563430523746435E-2"/>
          <c:y val="0.24675058286419874"/>
          <c:w val="0.92032086415822489"/>
          <c:h val="0.58085700669109142"/>
        </c:manualLayout>
      </c:layout>
      <c:barChart>
        <c:barDir val="col"/>
        <c:grouping val="clustered"/>
        <c:varyColors val="0"/>
        <c:ser>
          <c:idx val="1"/>
          <c:order val="0"/>
          <c:tx>
            <c:strRef>
              <c:f>'14. CMg'!$B$9</c:f>
              <c:strCache>
                <c:ptCount val="1"/>
                <c:pt idx="0">
                  <c:v>Cmg (USD/MWh)</c:v>
                </c:pt>
              </c:strCache>
            </c:strRef>
          </c:tx>
          <c:invertIfNegative val="0"/>
          <c:cat>
            <c:strRef>
              <c:f>'14. CMg'!$C$8:$G$8</c:f>
              <c:strCache>
                <c:ptCount val="5"/>
                <c:pt idx="0">
                  <c:v>PIURA OESTE 220</c:v>
                </c:pt>
                <c:pt idx="1">
                  <c:v>CHICLAYO 220</c:v>
                </c:pt>
                <c:pt idx="2">
                  <c:v>CAJAMARCA 220</c:v>
                </c:pt>
                <c:pt idx="3">
                  <c:v>TRUJILLO 220</c:v>
                </c:pt>
                <c:pt idx="4">
                  <c:v>CHIMBOTE1 138</c:v>
                </c:pt>
              </c:strCache>
            </c:strRef>
          </c:cat>
          <c:val>
            <c:numRef>
              <c:f>'14. CMg'!$C$9:$G$9</c:f>
              <c:numCache>
                <c:formatCode>0.00</c:formatCode>
                <c:ptCount val="5"/>
                <c:pt idx="0">
                  <c:v>14.88623809486538</c:v>
                </c:pt>
                <c:pt idx="1">
                  <c:v>14.759848142359939</c:v>
                </c:pt>
                <c:pt idx="2">
                  <c:v>14.60939067351193</c:v>
                </c:pt>
                <c:pt idx="3">
                  <c:v>14.533518283824067</c:v>
                </c:pt>
                <c:pt idx="4">
                  <c:v>14.43356135377436</c:v>
                </c:pt>
              </c:numCache>
            </c:numRef>
          </c:val>
          <c:extLst>
            <c:ext xmlns:c16="http://schemas.microsoft.com/office/drawing/2014/chart" uri="{C3380CC4-5D6E-409C-BE32-E72D297353CC}">
              <c16:uniqueId val="{00000000-7764-4954-A9AA-A06EEB099BDA}"/>
            </c:ext>
          </c:extLst>
        </c:ser>
        <c:dLbls>
          <c:showLegendKey val="0"/>
          <c:showVal val="0"/>
          <c:showCatName val="0"/>
          <c:showSerName val="0"/>
          <c:showPercent val="0"/>
          <c:showBubbleSize val="0"/>
        </c:dLbls>
        <c:gapWidth val="150"/>
        <c:axId val="351686016"/>
        <c:axId val="351691904"/>
      </c:barChart>
      <c:catAx>
        <c:axId val="3516860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7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691904"/>
        <c:crosses val="autoZero"/>
        <c:auto val="1"/>
        <c:lblAlgn val="ctr"/>
        <c:lblOffset val="100"/>
        <c:noMultiLvlLbl val="0"/>
      </c:catAx>
      <c:valAx>
        <c:axId val="3516919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0" spcFirstLastPara="1" vertOverflow="ellipsis" wrap="square" anchor="ctr" anchorCtr="1"/>
              <a:lstStyle/>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Cmg</a:t>
                </a:r>
              </a:p>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(USD/MWh)</a:t>
                </a:r>
              </a:p>
            </c:rich>
          </c:tx>
          <c:layout>
            <c:manualLayout>
              <c:xMode val="edge"/>
              <c:yMode val="edge"/>
              <c:x val="9.5432901735082896E-4"/>
              <c:y val="4.9153982404284452E-4"/>
            </c:manualLayout>
          </c:layout>
          <c:overlay val="0"/>
          <c:spPr>
            <a:noFill/>
            <a:ln>
              <a:noFill/>
            </a:ln>
            <a:effectLst/>
          </c:spPr>
        </c:title>
        <c:numFmt formatCode="0.00" sourceLinked="0"/>
        <c:majorTickMark val="none"/>
        <c:minorTickMark val="none"/>
        <c:tickLblPos val="nextTo"/>
        <c:spPr>
          <a:noFill/>
          <a:ln>
            <a:noFill/>
          </a:ln>
          <a:effectLst/>
        </c:spPr>
        <c:txPr>
          <a:bodyPr rot="0" spcFirstLastPara="1" vertOverflow="ellipsis" wrap="square" anchor="ctr" anchorCtr="1"/>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68601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PE"/>
    </a:p>
  </c:txPr>
  <c:printSettings>
    <c:headerFooter alignWithMargins="0"/>
    <c:pageMargins b="1" l="0.75000000000000955" r="0.75000000000000955" t="1" header="0.5" footer="0.5"/>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s-PE" sz="800" b="1">
                <a:latin typeface="Arial" panose="020B0604020202020204" pitchFamily="34" charset="0"/>
                <a:cs typeface="Arial" panose="020B0604020202020204" pitchFamily="34" charset="0"/>
              </a:rPr>
              <a:t>COSTOS MARGINALES ÁREA CENTRO</a:t>
            </a:r>
          </a:p>
        </c:rich>
      </c:tx>
      <c:layout>
        <c:manualLayout>
          <c:xMode val="edge"/>
          <c:yMode val="edge"/>
          <c:x val="0.31707992692798376"/>
          <c:y val="2.6382744673500515E-2"/>
        </c:manualLayout>
      </c:layout>
      <c:overlay val="0"/>
      <c:spPr>
        <a:noFill/>
        <a:ln>
          <a:noFill/>
        </a:ln>
        <a:effectLst/>
      </c:spPr>
      <c:txPr>
        <a:bodyPr rot="0" spcFirstLastPara="1" vertOverflow="ellipsis" vert="horz" wrap="square" anchor="ctr" anchorCtr="1"/>
        <a:lstStyle/>
        <a:p>
          <a:pPr>
            <a:defRPr sz="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PE"/>
        </a:p>
      </c:txPr>
    </c:title>
    <c:autoTitleDeleted val="0"/>
    <c:plotArea>
      <c:layout>
        <c:manualLayout>
          <c:layoutTarget val="inner"/>
          <c:xMode val="edge"/>
          <c:yMode val="edge"/>
          <c:x val="7.038455143173182E-2"/>
          <c:y val="0.24403992052811641"/>
          <c:w val="0.89177286719082238"/>
          <c:h val="0.58691831931683114"/>
        </c:manualLayout>
      </c:layout>
      <c:barChart>
        <c:barDir val="col"/>
        <c:grouping val="clustered"/>
        <c:varyColors val="0"/>
        <c:ser>
          <c:idx val="1"/>
          <c:order val="0"/>
          <c:tx>
            <c:strRef>
              <c:f>'14. CMg'!$B$27</c:f>
              <c:strCache>
                <c:ptCount val="1"/>
                <c:pt idx="0">
                  <c:v>Cmg (USD/MWh)</c:v>
                </c:pt>
              </c:strCache>
            </c:strRef>
          </c:tx>
          <c:spPr>
            <a:solidFill>
              <a:schemeClr val="accent5"/>
            </a:solidFill>
            <a:ln>
              <a:noFill/>
            </a:ln>
            <a:effectLst/>
          </c:spPr>
          <c:invertIfNegative val="0"/>
          <c:cat>
            <c:strRef>
              <c:f>'14. CMg'!$C$26:$I$26</c:f>
              <c:strCache>
                <c:ptCount val="7"/>
                <c:pt idx="0">
                  <c:v>INDEPENDENCIA 220</c:v>
                </c:pt>
                <c:pt idx="1">
                  <c:v>CHAVARRIA 220</c:v>
                </c:pt>
                <c:pt idx="2">
                  <c:v>CARABAYLLO 220</c:v>
                </c:pt>
                <c:pt idx="3">
                  <c:v>SANTA ROSA 220</c:v>
                </c:pt>
                <c:pt idx="4">
                  <c:v>SAN JUAN 220</c:v>
                </c:pt>
                <c:pt idx="5">
                  <c:v>POMACOCHA 220</c:v>
                </c:pt>
                <c:pt idx="6">
                  <c:v>OROYA NUEVA 50</c:v>
                </c:pt>
              </c:strCache>
            </c:strRef>
          </c:cat>
          <c:val>
            <c:numRef>
              <c:f>'14. CMg'!$C$27:$I$27</c:f>
              <c:numCache>
                <c:formatCode>0.00</c:formatCode>
                <c:ptCount val="7"/>
                <c:pt idx="0">
                  <c:v>14.049397749528863</c:v>
                </c:pt>
                <c:pt idx="1">
                  <c:v>14.000900318503033</c:v>
                </c:pt>
                <c:pt idx="2">
                  <c:v>13.990982526681028</c:v>
                </c:pt>
                <c:pt idx="3">
                  <c:v>13.980669452364253</c:v>
                </c:pt>
                <c:pt idx="4">
                  <c:v>13.888253240816574</c:v>
                </c:pt>
                <c:pt idx="5">
                  <c:v>13.748896514807832</c:v>
                </c:pt>
                <c:pt idx="6">
                  <c:v>13.671687706890506</c:v>
                </c:pt>
              </c:numCache>
            </c:numRef>
          </c:val>
          <c:extLst>
            <c:ext xmlns:c16="http://schemas.microsoft.com/office/drawing/2014/chart" uri="{C3380CC4-5D6E-409C-BE32-E72D297353CC}">
              <c16:uniqueId val="{00000000-B158-4020-B878-39F7014F9E19}"/>
            </c:ext>
          </c:extLst>
        </c:ser>
        <c:dLbls>
          <c:showLegendKey val="0"/>
          <c:showVal val="0"/>
          <c:showCatName val="0"/>
          <c:showSerName val="0"/>
          <c:showPercent val="0"/>
          <c:showBubbleSize val="0"/>
        </c:dLbls>
        <c:gapWidth val="150"/>
        <c:axId val="351715712"/>
        <c:axId val="351717248"/>
      </c:barChart>
      <c:catAx>
        <c:axId val="351715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6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717248"/>
        <c:crosses val="autoZero"/>
        <c:auto val="1"/>
        <c:lblAlgn val="ctr"/>
        <c:lblOffset val="100"/>
        <c:noMultiLvlLbl val="0"/>
      </c:catAx>
      <c:valAx>
        <c:axId val="3517172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0" spcFirstLastPara="1" vertOverflow="ellipsis" wrap="square" anchor="ctr" anchorCtr="1"/>
              <a:lstStyle/>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Cmg</a:t>
                </a:r>
              </a:p>
              <a:p>
                <a:pPr algn="l">
                  <a:defRPr sz="800" b="1">
                    <a:solidFill>
                      <a:schemeClr val="tx1"/>
                    </a:solidFill>
                    <a:latin typeface="Arial" panose="020B0604020202020204" pitchFamily="34" charset="0"/>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(USD/MWh)</a:t>
                </a:r>
              </a:p>
            </c:rich>
          </c:tx>
          <c:layout>
            <c:manualLayout>
              <c:xMode val="edge"/>
              <c:yMode val="edge"/>
              <c:x val="9.5432901735082896E-4"/>
              <c:y val="4.9153982404284452E-4"/>
            </c:manualLayout>
          </c:layout>
          <c:overlay val="0"/>
          <c:spPr>
            <a:noFill/>
            <a:ln>
              <a:noFill/>
            </a:ln>
            <a:effectLst/>
          </c:spPr>
          <c:txPr>
            <a:bodyPr rot="0" spcFirstLastPara="1" vertOverflow="ellipsis" wrap="square" anchor="ctr" anchorCtr="1"/>
            <a:lstStyle/>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title>
        <c:numFmt formatCode="0.00" sourceLinked="0"/>
        <c:majorTickMark val="none"/>
        <c:minorTickMark val="none"/>
        <c:tickLblPos val="nextTo"/>
        <c:spPr>
          <a:noFill/>
          <a:ln>
            <a:noFill/>
          </a:ln>
          <a:effectLst/>
        </c:spPr>
        <c:txPr>
          <a:bodyPr rot="0" spcFirstLastPara="1" vertOverflow="ellipsis" wrap="square" anchor="ctr" anchorCtr="1"/>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71571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PE"/>
    </a:p>
  </c:txPr>
  <c:printSettings>
    <c:headerFooter alignWithMargins="0"/>
    <c:pageMargins b="1" l="0.75000000000000955" r="0.75000000000000955" t="1" header="0.5" footer="0.5"/>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s-PE" sz="800" b="1">
                <a:latin typeface="Arial" panose="020B0604020202020204" pitchFamily="34" charset="0"/>
                <a:cs typeface="Arial" panose="020B0604020202020204" pitchFamily="34" charset="0"/>
              </a:rPr>
              <a:t>COSTOS MARGINALES ÁREA SUR</a:t>
            </a:r>
          </a:p>
        </c:rich>
      </c:tx>
      <c:layout>
        <c:manualLayout>
          <c:xMode val="edge"/>
          <c:yMode val="edge"/>
          <c:x val="0.34195774299504433"/>
          <c:y val="1.8737614404973742E-2"/>
        </c:manualLayout>
      </c:layout>
      <c:overlay val="0"/>
      <c:spPr>
        <a:noFill/>
        <a:ln>
          <a:noFill/>
        </a:ln>
        <a:effectLst/>
      </c:spPr>
      <c:txPr>
        <a:bodyPr rot="0" spcFirstLastPara="1" vertOverflow="ellipsis" vert="horz" wrap="square" anchor="ctr" anchorCtr="1"/>
        <a:lstStyle/>
        <a:p>
          <a:pPr>
            <a:defRPr sz="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PE"/>
        </a:p>
      </c:txPr>
    </c:title>
    <c:autoTitleDeleted val="0"/>
    <c:plotArea>
      <c:layout>
        <c:manualLayout>
          <c:layoutTarget val="inner"/>
          <c:xMode val="edge"/>
          <c:yMode val="edge"/>
          <c:x val="6.0869264332312156E-2"/>
          <c:y val="0.2123608164194446"/>
          <c:w val="0.92484897587158521"/>
          <c:h val="0.61859757007520855"/>
        </c:manualLayout>
      </c:layout>
      <c:barChart>
        <c:barDir val="col"/>
        <c:grouping val="clustered"/>
        <c:varyColors val="0"/>
        <c:ser>
          <c:idx val="1"/>
          <c:order val="0"/>
          <c:tx>
            <c:strRef>
              <c:f>'14. CMg'!$B$46</c:f>
              <c:strCache>
                <c:ptCount val="1"/>
                <c:pt idx="0">
                  <c:v>Cmg (USD/MWh)</c:v>
                </c:pt>
              </c:strCache>
            </c:strRef>
          </c:tx>
          <c:spPr>
            <a:solidFill>
              <a:schemeClr val="accent6"/>
            </a:solidFill>
            <a:ln>
              <a:noFill/>
            </a:ln>
            <a:effectLst/>
          </c:spPr>
          <c:invertIfNegative val="0"/>
          <c:cat>
            <c:strRef>
              <c:f>'14. CMg'!$C$45:$I$45</c:f>
              <c:strCache>
                <c:ptCount val="7"/>
                <c:pt idx="0">
                  <c:v>TINTAYA NUEVA 220</c:v>
                </c:pt>
                <c:pt idx="1">
                  <c:v>PUNO 138</c:v>
                </c:pt>
                <c:pt idx="2">
                  <c:v>SOCABAYA 220</c:v>
                </c:pt>
                <c:pt idx="3">
                  <c:v>MOQUEGUA 138</c:v>
                </c:pt>
                <c:pt idx="4">
                  <c:v>DOLORESPATA 138</c:v>
                </c:pt>
                <c:pt idx="5">
                  <c:v>COTARUSE 220</c:v>
                </c:pt>
                <c:pt idx="6">
                  <c:v>SAN GABAN 138</c:v>
                </c:pt>
              </c:strCache>
            </c:strRef>
          </c:cat>
          <c:val>
            <c:numRef>
              <c:f>'14. CMg'!$C$46:$I$46</c:f>
              <c:numCache>
                <c:formatCode>0.00</c:formatCode>
                <c:ptCount val="7"/>
                <c:pt idx="0">
                  <c:v>15.374052217280427</c:v>
                </c:pt>
                <c:pt idx="1">
                  <c:v>14.971215681257803</c:v>
                </c:pt>
                <c:pt idx="2">
                  <c:v>14.824149589269163</c:v>
                </c:pt>
                <c:pt idx="3">
                  <c:v>14.790788485850371</c:v>
                </c:pt>
                <c:pt idx="4">
                  <c:v>14.609456221484795</c:v>
                </c:pt>
                <c:pt idx="5">
                  <c:v>14.313759890610934</c:v>
                </c:pt>
                <c:pt idx="6">
                  <c:v>14.12483929302441</c:v>
                </c:pt>
              </c:numCache>
            </c:numRef>
          </c:val>
          <c:extLst>
            <c:ext xmlns:c16="http://schemas.microsoft.com/office/drawing/2014/chart" uri="{C3380CC4-5D6E-409C-BE32-E72D297353CC}">
              <c16:uniqueId val="{00000000-8E4B-459D-9878-4E375F3E26EF}"/>
            </c:ext>
          </c:extLst>
        </c:ser>
        <c:dLbls>
          <c:showLegendKey val="0"/>
          <c:showVal val="0"/>
          <c:showCatName val="0"/>
          <c:showSerName val="0"/>
          <c:showPercent val="0"/>
          <c:showBubbleSize val="0"/>
        </c:dLbls>
        <c:gapWidth val="150"/>
        <c:axId val="351831168"/>
        <c:axId val="351832704"/>
      </c:barChart>
      <c:catAx>
        <c:axId val="3518311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6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832704"/>
        <c:crosses val="autoZero"/>
        <c:auto val="1"/>
        <c:lblAlgn val="ctr"/>
        <c:lblOffset val="100"/>
        <c:noMultiLvlLbl val="0"/>
      </c:catAx>
      <c:valAx>
        <c:axId val="3518327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0" spcFirstLastPara="1" vertOverflow="ellipsis" wrap="square" anchor="ctr" anchorCtr="1"/>
              <a:lstStyle/>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Cmg</a:t>
                </a:r>
              </a:p>
              <a:p>
                <a:pPr algn="l">
                  <a:defRPr sz="800" b="1">
                    <a:solidFill>
                      <a:schemeClr val="tx1"/>
                    </a:solidFill>
                    <a:latin typeface="Arial" panose="020B0604020202020204" pitchFamily="34" charset="0"/>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(USD/MWh)</a:t>
                </a:r>
              </a:p>
            </c:rich>
          </c:tx>
          <c:layout>
            <c:manualLayout>
              <c:xMode val="edge"/>
              <c:yMode val="edge"/>
              <c:x val="9.5431272405705066E-4"/>
              <c:y val="4.9181196288956689E-4"/>
            </c:manualLayout>
          </c:layout>
          <c:overlay val="0"/>
          <c:spPr>
            <a:noFill/>
            <a:ln>
              <a:noFill/>
            </a:ln>
            <a:effectLst/>
          </c:spPr>
          <c:txPr>
            <a:bodyPr rot="0" spcFirstLastPara="1" vertOverflow="ellipsis" wrap="square" anchor="ctr" anchorCtr="1"/>
            <a:lstStyle/>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title>
        <c:numFmt formatCode="0.00" sourceLinked="0"/>
        <c:majorTickMark val="none"/>
        <c:minorTickMark val="none"/>
        <c:tickLblPos val="nextTo"/>
        <c:spPr>
          <a:noFill/>
          <a:ln>
            <a:noFill/>
          </a:ln>
          <a:effectLst/>
        </c:spPr>
        <c:txPr>
          <a:bodyPr rot="0" spcFirstLastPara="1" vertOverflow="ellipsis" wrap="square" anchor="ctr" anchorCtr="1"/>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83116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PE"/>
    </a:p>
  </c:txPr>
  <c:printSettings>
    <c:headerFooter alignWithMargins="0"/>
    <c:pageMargins b="1" l="0.75000000000000955" r="0.75000000000000955" t="1" header="0.5" footer="0.5"/>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4.724593084619317E-2"/>
          <c:y val="0.11999420629358019"/>
          <c:w val="0.93112961596945032"/>
          <c:h val="0.79909868940686513"/>
        </c:manualLayout>
      </c:layout>
      <c:barChart>
        <c:barDir val="col"/>
        <c:grouping val="clustered"/>
        <c:varyColors val="0"/>
        <c:ser>
          <c:idx val="2"/>
          <c:order val="0"/>
          <c:tx>
            <c:strRef>
              <c:f>'16. Congestiones'!$F$6</c:f>
              <c:strCache>
                <c:ptCount val="1"/>
                <c:pt idx="0">
                  <c:v>OCTUBRE
 2017</c:v>
                </c:pt>
              </c:strCache>
            </c:strRef>
          </c:tx>
          <c:spPr>
            <a:solidFill>
              <a:schemeClr val="accent6"/>
            </a:solidFill>
          </c:spPr>
          <c:invertIfNegative val="0"/>
          <c:cat>
            <c:strRef>
              <c:f>'16. Congestiones'!$C$7:$C$10</c:f>
              <c:strCache>
                <c:ptCount val="4"/>
                <c:pt idx="0">
                  <c:v>SAN JUAN - SANTA ROSA N.</c:v>
                </c:pt>
                <c:pt idx="1">
                  <c:v>INDEPENDENCIA</c:v>
                </c:pt>
                <c:pt idx="2">
                  <c:v>ENLACE CENTRO - SUR</c:v>
                </c:pt>
                <c:pt idx="3">
                  <c:v>COLCABAMBA - POROMA</c:v>
                </c:pt>
              </c:strCache>
            </c:strRef>
          </c:cat>
          <c:val>
            <c:numRef>
              <c:f>'16. Congestiones'!$F$7:$F$10</c:f>
              <c:numCache>
                <c:formatCode>#,##0.00</c:formatCode>
                <c:ptCount val="4"/>
                <c:pt idx="1">
                  <c:v>0.75</c:v>
                </c:pt>
                <c:pt idx="3">
                  <c:v>180.73333333333335</c:v>
                </c:pt>
              </c:numCache>
            </c:numRef>
          </c:val>
          <c:extLst>
            <c:ext xmlns:c16="http://schemas.microsoft.com/office/drawing/2014/chart" uri="{C3380CC4-5D6E-409C-BE32-E72D297353CC}">
              <c16:uniqueId val="{00000000-80E7-4E97-9CC8-4EC563B29B05}"/>
            </c:ext>
          </c:extLst>
        </c:ser>
        <c:ser>
          <c:idx val="1"/>
          <c:order val="1"/>
          <c:tx>
            <c:strRef>
              <c:f>'16. Congestiones'!$E$6</c:f>
              <c:strCache>
                <c:ptCount val="1"/>
                <c:pt idx="0">
                  <c:v>OCTUBRE
 2018</c:v>
                </c:pt>
              </c:strCache>
            </c:strRef>
          </c:tx>
          <c:invertIfNegative val="0"/>
          <c:cat>
            <c:strRef>
              <c:f>'16. Congestiones'!$C$7:$C$10</c:f>
              <c:strCache>
                <c:ptCount val="4"/>
                <c:pt idx="0">
                  <c:v>SAN JUAN - SANTA ROSA N.</c:v>
                </c:pt>
                <c:pt idx="1">
                  <c:v>INDEPENDENCIA</c:v>
                </c:pt>
                <c:pt idx="2">
                  <c:v>ENLACE CENTRO - SUR</c:v>
                </c:pt>
                <c:pt idx="3">
                  <c:v>COLCABAMBA - POROMA</c:v>
                </c:pt>
              </c:strCache>
            </c:strRef>
          </c:cat>
          <c:val>
            <c:numRef>
              <c:f>'16. Congestiones'!$E$7:$E$10</c:f>
              <c:numCache>
                <c:formatCode>#,##0.00</c:formatCode>
                <c:ptCount val="4"/>
                <c:pt idx="0">
                  <c:v>40.86666666666666</c:v>
                </c:pt>
              </c:numCache>
            </c:numRef>
          </c:val>
          <c:extLst>
            <c:ext xmlns:c16="http://schemas.microsoft.com/office/drawing/2014/chart" uri="{C3380CC4-5D6E-409C-BE32-E72D297353CC}">
              <c16:uniqueId val="{00000001-80E7-4E97-9CC8-4EC563B29B05}"/>
            </c:ext>
          </c:extLst>
        </c:ser>
        <c:ser>
          <c:idx val="0"/>
          <c:order val="2"/>
          <c:tx>
            <c:strRef>
              <c:f>'16. Congestiones'!$D$6</c:f>
              <c:strCache>
                <c:ptCount val="1"/>
                <c:pt idx="0">
                  <c:v>OCTUBRE
 2019</c:v>
                </c:pt>
              </c:strCache>
            </c:strRef>
          </c:tx>
          <c:invertIfNegative val="0"/>
          <c:cat>
            <c:strRef>
              <c:f>'16. Congestiones'!$C$7:$C$10</c:f>
              <c:strCache>
                <c:ptCount val="4"/>
                <c:pt idx="0">
                  <c:v>SAN JUAN - SANTA ROSA N.</c:v>
                </c:pt>
                <c:pt idx="1">
                  <c:v>INDEPENDENCIA</c:v>
                </c:pt>
                <c:pt idx="2">
                  <c:v>ENLACE CENTRO - SUR</c:v>
                </c:pt>
                <c:pt idx="3">
                  <c:v>COLCABAMBA - POROMA</c:v>
                </c:pt>
              </c:strCache>
            </c:strRef>
          </c:cat>
          <c:val>
            <c:numRef>
              <c:f>'16. Congestiones'!$D$7:$D$10</c:f>
              <c:numCache>
                <c:formatCode>#,##0.00</c:formatCode>
                <c:ptCount val="4"/>
                <c:pt idx="2">
                  <c:v>134.46666666666667</c:v>
                </c:pt>
              </c:numCache>
            </c:numRef>
          </c:val>
          <c:extLst>
            <c:ext xmlns:c16="http://schemas.microsoft.com/office/drawing/2014/chart" uri="{C3380CC4-5D6E-409C-BE32-E72D297353CC}">
              <c16:uniqueId val="{00000002-80E7-4E97-9CC8-4EC563B29B05}"/>
            </c:ext>
          </c:extLst>
        </c:ser>
        <c:dLbls>
          <c:showLegendKey val="0"/>
          <c:showVal val="0"/>
          <c:showCatName val="0"/>
          <c:showSerName val="0"/>
          <c:showPercent val="0"/>
          <c:showBubbleSize val="0"/>
        </c:dLbls>
        <c:gapWidth val="150"/>
        <c:axId val="353038720"/>
        <c:axId val="353040256"/>
      </c:barChart>
      <c:catAx>
        <c:axId val="353038720"/>
        <c:scaling>
          <c:orientation val="minMax"/>
        </c:scaling>
        <c:delete val="0"/>
        <c:axPos val="b"/>
        <c:numFmt formatCode="General" sourceLinked="0"/>
        <c:majorTickMark val="out"/>
        <c:minorTickMark val="none"/>
        <c:tickLblPos val="nextTo"/>
        <c:txPr>
          <a:bodyPr/>
          <a:lstStyle/>
          <a:p>
            <a:pPr>
              <a:defRPr sz="700"/>
            </a:pPr>
            <a:endParaRPr lang="es-PE"/>
          </a:p>
        </c:txPr>
        <c:crossAx val="353040256"/>
        <c:crosses val="autoZero"/>
        <c:auto val="1"/>
        <c:lblAlgn val="ctr"/>
        <c:lblOffset val="100"/>
        <c:noMultiLvlLbl val="0"/>
      </c:catAx>
      <c:valAx>
        <c:axId val="353040256"/>
        <c:scaling>
          <c:orientation val="minMax"/>
          <c:min val="0"/>
        </c:scaling>
        <c:delete val="0"/>
        <c:axPos val="l"/>
        <c:majorGridlines/>
        <c:title>
          <c:tx>
            <c:rich>
              <a:bodyPr rot="0" vert="horz"/>
              <a:lstStyle/>
              <a:p>
                <a:pPr>
                  <a:defRPr sz="900"/>
                </a:pPr>
                <a:r>
                  <a:rPr lang="en-US" sz="900"/>
                  <a:t>Horas</a:t>
                </a:r>
              </a:p>
            </c:rich>
          </c:tx>
          <c:layout>
            <c:manualLayout>
              <c:xMode val="edge"/>
              <c:yMode val="edge"/>
              <c:x val="0.10167545064570142"/>
              <c:y val="6.0123254018037961E-2"/>
            </c:manualLayout>
          </c:layout>
          <c:overlay val="0"/>
        </c:title>
        <c:numFmt formatCode="#,##0;[Red]#,##0" sourceLinked="0"/>
        <c:majorTickMark val="out"/>
        <c:minorTickMark val="none"/>
        <c:tickLblPos val="nextTo"/>
        <c:crossAx val="353038720"/>
        <c:crosses val="autoZero"/>
        <c:crossBetween val="between"/>
      </c:valAx>
    </c:plotArea>
    <c:legend>
      <c:legendPos val="r"/>
      <c:layout>
        <c:manualLayout>
          <c:xMode val="edge"/>
          <c:yMode val="edge"/>
          <c:x val="0.21310888375246739"/>
          <c:y val="1.7496948728826747E-2"/>
          <c:w val="0.66527155608805588"/>
          <c:h val="8.3464919141946467E-2"/>
        </c:manualLayout>
      </c:layout>
      <c:overlay val="0"/>
      <c:txPr>
        <a:bodyPr/>
        <a:lstStyle/>
        <a:p>
          <a:pPr>
            <a:defRPr sz="900"/>
          </a:pPr>
          <a:endParaRPr lang="es-PE"/>
        </a:p>
      </c:txPr>
    </c:legend>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oddHeader>&amp;R&amp;7Informe de la Operación Mensual - Agosto 2018
INFSGI-MES-08-2018
07/08/2018
Versión: 01</c:oddHeader>
    </c:headerFooter>
    <c:pageMargins b="0.75" l="0.7" r="0.7" t="0.75" header="0.3" footer="0.3"/>
    <c:pageSetup orientation="portrait"/>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6010532127234892"/>
          <c:y val="0.13543598832398554"/>
          <c:w val="0.57525123234360975"/>
          <c:h val="0.80570103107869762"/>
        </c:manualLayout>
      </c:layout>
      <c:pieChart>
        <c:varyColors val="1"/>
        <c:ser>
          <c:idx val="0"/>
          <c:order val="0"/>
          <c:explosion val="6"/>
          <c:dPt>
            <c:idx val="0"/>
            <c:bubble3D val="0"/>
            <c:spPr>
              <a:solidFill>
                <a:srgbClr val="6DA6D9"/>
              </a:solidFill>
            </c:spPr>
            <c:extLst>
              <c:ext xmlns:c16="http://schemas.microsoft.com/office/drawing/2014/chart" uri="{C3380CC4-5D6E-409C-BE32-E72D297353CC}">
                <c16:uniqueId val="{00000001-E0CC-4AD3-904F-2124A98CD904}"/>
              </c:ext>
            </c:extLst>
          </c:dPt>
          <c:dPt>
            <c:idx val="1"/>
            <c:bubble3D val="0"/>
            <c:extLst>
              <c:ext xmlns:c16="http://schemas.microsoft.com/office/drawing/2014/chart" uri="{C3380CC4-5D6E-409C-BE32-E72D297353CC}">
                <c16:uniqueId val="{00000003-E0CC-4AD3-904F-2124A98CD904}"/>
              </c:ext>
            </c:extLst>
          </c:dPt>
          <c:dPt>
            <c:idx val="2"/>
            <c:bubble3D val="0"/>
            <c:spPr>
              <a:solidFill>
                <a:srgbClr val="FF0000"/>
              </a:solidFill>
            </c:spPr>
            <c:extLst>
              <c:ext xmlns:c16="http://schemas.microsoft.com/office/drawing/2014/chart" uri="{C3380CC4-5D6E-409C-BE32-E72D297353CC}">
                <c16:uniqueId val="{00000004-E0CC-4AD3-904F-2124A98CD904}"/>
              </c:ext>
            </c:extLst>
          </c:dPt>
          <c:dLbls>
            <c:dLbl>
              <c:idx val="0"/>
              <c:layout>
                <c:manualLayout>
                  <c:x val="0.16900878591976129"/>
                  <c:y val="0.11805497552182828"/>
                </c:manualLayout>
              </c:layout>
              <c:numFmt formatCode="General" sourceLinked="0"/>
              <c:spPr/>
              <c:txPr>
                <a:bodyPr/>
                <a:lstStyle/>
                <a:p>
                  <a:pPr>
                    <a:defRPr sz="700" b="1">
                      <a:solidFill>
                        <a:schemeClr val="tx1"/>
                      </a:solidFill>
                    </a:defRPr>
                  </a:pPr>
                  <a:endParaRPr lang="es-PE"/>
                </a:p>
              </c:txPr>
              <c:showLegendKey val="0"/>
              <c:showVal val="0"/>
              <c:showCatName val="1"/>
              <c:showSerName val="0"/>
              <c:showPercent val="1"/>
              <c:showBubbleSize val="0"/>
              <c:extLst>
                <c:ext xmlns:c15="http://schemas.microsoft.com/office/drawing/2012/chart" uri="{CE6537A1-D6FC-4f65-9D91-7224C49458BB}">
                  <c15:layout>
                    <c:manualLayout>
                      <c:w val="0.13284693861543531"/>
                      <c:h val="0.13577546691592818"/>
                    </c:manualLayout>
                  </c15:layout>
                </c:ext>
                <c:ext xmlns:c16="http://schemas.microsoft.com/office/drawing/2014/chart" uri="{C3380CC4-5D6E-409C-BE32-E72D297353CC}">
                  <c16:uniqueId val="{00000001-E0CC-4AD3-904F-2124A98CD904}"/>
                </c:ext>
              </c:extLst>
            </c:dLbl>
            <c:dLbl>
              <c:idx val="1"/>
              <c:layout>
                <c:manualLayout>
                  <c:x val="0.15735829064213958"/>
                  <c:y val="9.5158387377508105E-2"/>
                </c:manualLayout>
              </c:layout>
              <c:numFmt formatCode="General" sourceLinked="0"/>
              <c:spPr/>
              <c:txPr>
                <a:bodyPr/>
                <a:lstStyle/>
                <a:p>
                  <a:pPr>
                    <a:defRPr sz="600" b="1">
                      <a:solidFill>
                        <a:schemeClr val="tx1"/>
                      </a:solidFill>
                    </a:defRPr>
                  </a:pPr>
                  <a:endParaRPr lang="es-PE"/>
                </a:p>
              </c:txPr>
              <c:showLegendKey val="0"/>
              <c:showVal val="0"/>
              <c:showCatName val="1"/>
              <c:showSerName val="0"/>
              <c:showPercent val="1"/>
              <c:showBubbleSize val="0"/>
              <c:extLst>
                <c:ext xmlns:c15="http://schemas.microsoft.com/office/drawing/2012/chart" uri="{CE6537A1-D6FC-4f65-9D91-7224C49458BB}">
                  <c15:layout>
                    <c:manualLayout>
                      <c:w val="0.1162170500478464"/>
                      <c:h val="0.13577546691592818"/>
                    </c:manualLayout>
                  </c15:layout>
                </c:ext>
                <c:ext xmlns:c16="http://schemas.microsoft.com/office/drawing/2014/chart" uri="{C3380CC4-5D6E-409C-BE32-E72D297353CC}">
                  <c16:uniqueId val="{00000003-E0CC-4AD3-904F-2124A98CD904}"/>
                </c:ext>
              </c:extLst>
            </c:dLbl>
            <c:dLbl>
              <c:idx val="2"/>
              <c:layout>
                <c:manualLayout>
                  <c:x val="8.8265220396495078E-2"/>
                  <c:y val="0.18186370000745436"/>
                </c:manualLayout>
              </c:layout>
              <c:numFmt formatCode="General" sourceLinked="0"/>
              <c:spPr>
                <a:solidFill>
                  <a:schemeClr val="bg1"/>
                </a:solidFill>
              </c:spPr>
              <c:txPr>
                <a:bodyPr/>
                <a:lstStyle/>
                <a:p>
                  <a:pPr>
                    <a:defRPr sz="600" b="1">
                      <a:solidFill>
                        <a:sysClr val="windowText" lastClr="000000"/>
                      </a:solidFill>
                    </a:defRPr>
                  </a:pPr>
                  <a:endParaRPr lang="es-PE"/>
                </a:p>
              </c:txPr>
              <c:showLegendKey val="0"/>
              <c:showVal val="0"/>
              <c:showCatName val="1"/>
              <c:showSerName val="0"/>
              <c:showPercent val="1"/>
              <c:showBubbleSize val="0"/>
              <c:extLst>
                <c:ext xmlns:c15="http://schemas.microsoft.com/office/drawing/2012/chart" uri="{CE6537A1-D6FC-4f65-9D91-7224C49458BB}">
                  <c15:layout>
                    <c:manualLayout>
                      <c:w val="0.15310195934661289"/>
                      <c:h val="0.112946267216342"/>
                    </c:manualLayout>
                  </c15:layout>
                </c:ext>
                <c:ext xmlns:c16="http://schemas.microsoft.com/office/drawing/2014/chart" uri="{C3380CC4-5D6E-409C-BE32-E72D297353CC}">
                  <c16:uniqueId val="{00000004-E0CC-4AD3-904F-2124A98CD904}"/>
                </c:ext>
              </c:extLst>
            </c:dLbl>
            <c:dLbl>
              <c:idx val="3"/>
              <c:layout>
                <c:manualLayout>
                  <c:x val="-0.11329536510278049"/>
                  <c:y val="-2.2452908392582816E-7"/>
                </c:manualLayout>
              </c:layout>
              <c:numFmt formatCode="General" sourceLinked="0"/>
              <c:spPr>
                <a:noFill/>
                <a:ln>
                  <a:noFill/>
                </a:ln>
                <a:effectLst/>
              </c:spPr>
              <c:txPr>
                <a:bodyPr wrap="square" lIns="38100" tIns="19050" rIns="38100" bIns="19050" anchor="ctr">
                  <a:noAutofit/>
                </a:bodyPr>
                <a:lstStyle/>
                <a:p>
                  <a:pPr>
                    <a:defRPr sz="700" b="1">
                      <a:solidFill>
                        <a:schemeClr val="tx1"/>
                      </a:solidFill>
                    </a:defRPr>
                  </a:pPr>
                  <a:endParaRPr lang="es-PE"/>
                </a:p>
              </c:txPr>
              <c:showLegendKey val="0"/>
              <c:showVal val="0"/>
              <c:showCatName val="1"/>
              <c:showSerName val="0"/>
              <c:showPercent val="1"/>
              <c:showBubbleSize val="0"/>
              <c:extLst>
                <c:ext xmlns:c15="http://schemas.microsoft.com/office/drawing/2012/chart" uri="{CE6537A1-D6FC-4f65-9D91-7224C49458BB}">
                  <c15:layout>
                    <c:manualLayout>
                      <c:w val="0.14325113166733774"/>
                      <c:h val="0.15450648019988855"/>
                    </c:manualLayout>
                  </c15:layout>
                </c:ext>
                <c:ext xmlns:c16="http://schemas.microsoft.com/office/drawing/2014/chart" uri="{C3380CC4-5D6E-409C-BE32-E72D297353CC}">
                  <c16:uniqueId val="{00000005-E0CC-4AD3-904F-2124A98CD904}"/>
                </c:ext>
              </c:extLst>
            </c:dLbl>
            <c:dLbl>
              <c:idx val="4"/>
              <c:layout>
                <c:manualLayout>
                  <c:x val="6.2762974308874378E-3"/>
                  <c:y val="-0.11652498133040667"/>
                </c:manualLayout>
              </c:layout>
              <c:numFmt formatCode="General" sourceLinked="0"/>
              <c:spPr>
                <a:noFill/>
                <a:ln>
                  <a:noFill/>
                </a:ln>
                <a:effectLst/>
              </c:spPr>
              <c:txPr>
                <a:bodyPr wrap="square" lIns="38100" tIns="19050" rIns="38100" bIns="19050" anchor="ctr">
                  <a:noAutofit/>
                </a:bodyPr>
                <a:lstStyle/>
                <a:p>
                  <a:pPr>
                    <a:defRPr sz="700" b="1">
                      <a:solidFill>
                        <a:schemeClr val="tx1"/>
                      </a:solidFill>
                    </a:defRPr>
                  </a:pPr>
                  <a:endParaRPr lang="es-PE"/>
                </a:p>
              </c:txPr>
              <c:showLegendKey val="0"/>
              <c:showVal val="0"/>
              <c:showCatName val="1"/>
              <c:showSerName val="0"/>
              <c:showPercent val="1"/>
              <c:showBubbleSize val="0"/>
              <c:extLst>
                <c:ext xmlns:c15="http://schemas.microsoft.com/office/drawing/2012/chart" uri="{CE6537A1-D6FC-4f65-9D91-7224C49458BB}">
                  <c15:layout>
                    <c:manualLayout>
                      <c:w val="0.13825887088177094"/>
                      <c:h val="0.13624692458843149"/>
                    </c:manualLayout>
                  </c15:layout>
                </c:ext>
                <c:ext xmlns:c16="http://schemas.microsoft.com/office/drawing/2014/chart" uri="{C3380CC4-5D6E-409C-BE32-E72D297353CC}">
                  <c16:uniqueId val="{00000006-E0CC-4AD3-904F-2124A98CD904}"/>
                </c:ext>
              </c:extLst>
            </c:dLbl>
            <c:dLbl>
              <c:idx val="5"/>
              <c:layout>
                <c:manualLayout>
                  <c:x val="0.23927860102053428"/>
                  <c:y val="5.0153286005596147E-2"/>
                </c:manualLayout>
              </c:layout>
              <c:numFmt formatCode="General" sourceLinked="0"/>
              <c:spPr/>
              <c:txPr>
                <a:bodyPr/>
                <a:lstStyle/>
                <a:p>
                  <a:pPr>
                    <a:defRPr sz="600" b="1">
                      <a:solidFill>
                        <a:sysClr val="windowText" lastClr="000000"/>
                      </a:solidFill>
                    </a:defRPr>
                  </a:pPr>
                  <a:endParaRPr lang="es-PE"/>
                </a:p>
              </c:txPr>
              <c:showLegendKey val="0"/>
              <c:showVal val="0"/>
              <c:showCatName val="1"/>
              <c:showSerName val="0"/>
              <c:showPercent val="1"/>
              <c:showBubbleSize val="0"/>
              <c:extLst>
                <c:ext xmlns:c15="http://schemas.microsoft.com/office/drawing/2012/chart" uri="{CE6537A1-D6FC-4f65-9D91-7224C49458BB}">
                  <c15:layout>
                    <c:manualLayout>
                      <c:w val="0.14756776495482918"/>
                      <c:h val="0.14718996602613652"/>
                    </c:manualLayout>
                  </c15:layout>
                </c:ext>
                <c:ext xmlns:c16="http://schemas.microsoft.com/office/drawing/2014/chart" uri="{C3380CC4-5D6E-409C-BE32-E72D297353CC}">
                  <c16:uniqueId val="{00000007-E0CC-4AD3-904F-2124A98CD904}"/>
                </c:ext>
              </c:extLst>
            </c:dLbl>
            <c:dLbl>
              <c:idx val="6"/>
              <c:layout>
                <c:manualLayout>
                  <c:x val="-0.14290832383737725"/>
                  <c:y val="4.6288915942148734E-2"/>
                </c:manualLayout>
              </c:layout>
              <c:numFmt formatCode="General" sourceLinked="0"/>
              <c:spPr/>
              <c:txPr>
                <a:bodyPr/>
                <a:lstStyle/>
                <a:p>
                  <a:pPr>
                    <a:defRPr sz="600" b="1">
                      <a:solidFill>
                        <a:schemeClr val="tx1"/>
                      </a:solidFill>
                    </a:defRPr>
                  </a:pPr>
                  <a:endParaRPr lang="es-PE"/>
                </a:p>
              </c:txPr>
              <c:showLegendKey val="0"/>
              <c:showVal val="0"/>
              <c:showCatName val="1"/>
              <c:showSerName val="0"/>
              <c:showPercent val="1"/>
              <c:showBubbleSize val="0"/>
              <c:extLst>
                <c:ext xmlns:c15="http://schemas.microsoft.com/office/drawing/2012/chart" uri="{CE6537A1-D6FC-4f65-9D91-7224C49458BB}">
                  <c15:layout>
                    <c:manualLayout>
                      <c:w val="0.12913949706385269"/>
                      <c:h val="0.12436096780571983"/>
                    </c:manualLayout>
                  </c15:layout>
                </c:ext>
                <c:ext xmlns:c16="http://schemas.microsoft.com/office/drawing/2014/chart" uri="{C3380CC4-5D6E-409C-BE32-E72D297353CC}">
                  <c16:uniqueId val="{00000008-E0CC-4AD3-904F-2124A98CD904}"/>
                </c:ext>
              </c:extLst>
            </c:dLbl>
            <c:numFmt formatCode="General" sourceLinked="0"/>
            <c:spPr>
              <a:noFill/>
              <a:ln>
                <a:noFill/>
              </a:ln>
              <a:effectLst/>
            </c:spPr>
            <c:txPr>
              <a:bodyPr wrap="square" lIns="38100" tIns="19050" rIns="38100" bIns="19050" anchor="ctr">
                <a:spAutoFit/>
              </a:bodyPr>
              <a:lstStyle/>
              <a:p>
                <a:pPr>
                  <a:defRPr sz="600" b="1">
                    <a:solidFill>
                      <a:schemeClr val="tx1"/>
                    </a:solidFill>
                  </a:defRPr>
                </a:pPr>
                <a:endParaRPr lang="es-PE"/>
              </a:p>
            </c:txPr>
            <c:showLegendKey val="0"/>
            <c:showVal val="0"/>
            <c:showCatName val="1"/>
            <c:showSerName val="0"/>
            <c:showPercent val="1"/>
            <c:showBubbleSize val="0"/>
            <c:showLeaderLines val="1"/>
            <c:extLst>
              <c:ext xmlns:c15="http://schemas.microsoft.com/office/drawing/2012/chart" uri="{CE6537A1-D6FC-4f65-9D91-7224C49458BB}"/>
            </c:extLst>
          </c:dLbls>
          <c:cat>
            <c:strRef>
              <c:f>'17. Eventos'!$B$6:$H$6</c:f>
              <c:strCache>
                <c:ptCount val="7"/>
                <c:pt idx="0">
                  <c:v>FNA</c:v>
                </c:pt>
                <c:pt idx="1">
                  <c:v>FEC</c:v>
                </c:pt>
                <c:pt idx="2">
                  <c:v>EXT</c:v>
                </c:pt>
                <c:pt idx="3">
                  <c:v>OTR</c:v>
                </c:pt>
                <c:pt idx="4">
                  <c:v>FNI</c:v>
                </c:pt>
                <c:pt idx="5">
                  <c:v>FEP</c:v>
                </c:pt>
                <c:pt idx="6">
                  <c:v>FHU</c:v>
                </c:pt>
              </c:strCache>
            </c:strRef>
          </c:cat>
          <c:val>
            <c:numRef>
              <c:f>'17. Eventos'!$B$13:$H$13</c:f>
              <c:numCache>
                <c:formatCode>General</c:formatCode>
                <c:ptCount val="7"/>
                <c:pt idx="0">
                  <c:v>6</c:v>
                </c:pt>
                <c:pt idx="1">
                  <c:v>6</c:v>
                </c:pt>
                <c:pt idx="2">
                  <c:v>1</c:v>
                </c:pt>
                <c:pt idx="3">
                  <c:v>2</c:v>
                </c:pt>
                <c:pt idx="4">
                  <c:v>13</c:v>
                </c:pt>
                <c:pt idx="5">
                  <c:v>0</c:v>
                </c:pt>
                <c:pt idx="6">
                  <c:v>0</c:v>
                </c:pt>
              </c:numCache>
            </c:numRef>
          </c:val>
          <c:extLst>
            <c:ext xmlns:c16="http://schemas.microsoft.com/office/drawing/2014/chart" uri="{C3380CC4-5D6E-409C-BE32-E72D297353CC}">
              <c16:uniqueId val="{00000009-E0CC-4AD3-904F-2124A98CD904}"/>
            </c:ext>
          </c:extLst>
        </c:ser>
        <c:dLbls>
          <c:showLegendKey val="0"/>
          <c:showVal val="0"/>
          <c:showCatName val="1"/>
          <c:showSerName val="0"/>
          <c:showPercent val="1"/>
          <c:showBubbleSize val="0"/>
          <c:showLeaderLines val="1"/>
        </c:dLbls>
        <c:firstSliceAng val="0"/>
      </c:pieChart>
    </c:plotArea>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pageMargins b="0.75" l="0.7" r="0.7" t="0.75" header="0.3" footer="0.3"/>
    <c:pageSetup orientation="portrait"/>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3535812661439127E-2"/>
          <c:y val="0.12017345192914348"/>
          <c:w val="0.90334384619842112"/>
          <c:h val="0.66124715873920958"/>
        </c:manualLayout>
      </c:layout>
      <c:barChart>
        <c:barDir val="col"/>
        <c:grouping val="clustered"/>
        <c:varyColors val="0"/>
        <c:ser>
          <c:idx val="0"/>
          <c:order val="0"/>
          <c:invertIfNegative val="0"/>
          <c:cat>
            <c:strRef>
              <c:f>'17. Eventos'!$A$7:$A$12</c:f>
              <c:strCache>
                <c:ptCount val="6"/>
                <c:pt idx="0">
                  <c:v>LINEA DE TRANSMISION</c:v>
                </c:pt>
                <c:pt idx="1">
                  <c:v>CENTRAL TÉRMOELÉCTRICA</c:v>
                </c:pt>
                <c:pt idx="2">
                  <c:v>TRANSFORMADOR 2D</c:v>
                </c:pt>
                <c:pt idx="3">
                  <c:v>TRANSFORMADOR 3D</c:v>
                </c:pt>
                <c:pt idx="4">
                  <c:v>BARRA</c:v>
                </c:pt>
                <c:pt idx="5">
                  <c:v>REACTOR</c:v>
                </c:pt>
              </c:strCache>
            </c:strRef>
          </c:cat>
          <c:val>
            <c:numRef>
              <c:f>'17. Eventos'!$J$7:$J$12</c:f>
              <c:numCache>
                <c:formatCode>#,##0.00</c:formatCode>
                <c:ptCount val="6"/>
                <c:pt idx="0">
                  <c:v>92.839999999999989</c:v>
                </c:pt>
                <c:pt idx="1">
                  <c:v>0.35</c:v>
                </c:pt>
                <c:pt idx="2">
                  <c:v>0.13</c:v>
                </c:pt>
                <c:pt idx="3">
                  <c:v>74.64</c:v>
                </c:pt>
                <c:pt idx="4">
                  <c:v>24.5</c:v>
                </c:pt>
                <c:pt idx="5">
                  <c:v>9.1999999999999993</c:v>
                </c:pt>
              </c:numCache>
            </c:numRef>
          </c:val>
          <c:extLst>
            <c:ext xmlns:c16="http://schemas.microsoft.com/office/drawing/2014/chart" uri="{C3380CC4-5D6E-409C-BE32-E72D297353CC}">
              <c16:uniqueId val="{00000000-35B1-4A0F-9206-FBB407DC21EA}"/>
            </c:ext>
          </c:extLst>
        </c:ser>
        <c:dLbls>
          <c:showLegendKey val="0"/>
          <c:showVal val="0"/>
          <c:showCatName val="0"/>
          <c:showSerName val="0"/>
          <c:showPercent val="0"/>
          <c:showBubbleSize val="0"/>
        </c:dLbls>
        <c:gapWidth val="150"/>
        <c:axId val="352890240"/>
        <c:axId val="352892032"/>
      </c:barChart>
      <c:catAx>
        <c:axId val="352890240"/>
        <c:scaling>
          <c:orientation val="minMax"/>
        </c:scaling>
        <c:delete val="0"/>
        <c:axPos val="b"/>
        <c:numFmt formatCode="General" sourceLinked="0"/>
        <c:majorTickMark val="out"/>
        <c:minorTickMark val="none"/>
        <c:tickLblPos val="nextTo"/>
        <c:txPr>
          <a:bodyPr/>
          <a:lstStyle/>
          <a:p>
            <a:pPr>
              <a:defRPr sz="500"/>
            </a:pPr>
            <a:endParaRPr lang="es-PE"/>
          </a:p>
        </c:txPr>
        <c:crossAx val="352892032"/>
        <c:crosses val="autoZero"/>
        <c:auto val="1"/>
        <c:lblAlgn val="ctr"/>
        <c:lblOffset val="100"/>
        <c:noMultiLvlLbl val="0"/>
      </c:catAx>
      <c:valAx>
        <c:axId val="352892032"/>
        <c:scaling>
          <c:orientation val="minMax"/>
        </c:scaling>
        <c:delete val="0"/>
        <c:axPos val="l"/>
        <c:majorGridlines/>
        <c:title>
          <c:tx>
            <c:rich>
              <a:bodyPr rot="0" vert="horz"/>
              <a:lstStyle/>
              <a:p>
                <a:pPr>
                  <a:defRPr/>
                </a:pPr>
                <a:r>
                  <a:rPr lang="en-US"/>
                  <a:t>MWh</a:t>
                </a:r>
              </a:p>
            </c:rich>
          </c:tx>
          <c:layout>
            <c:manualLayout>
              <c:xMode val="edge"/>
              <c:yMode val="edge"/>
              <c:x val="2.6406466964265001E-2"/>
              <c:y val="4.7034117921252779E-3"/>
            </c:manualLayout>
          </c:layout>
          <c:overlay val="0"/>
        </c:title>
        <c:numFmt formatCode="#,##0" sourceLinked="0"/>
        <c:majorTickMark val="out"/>
        <c:minorTickMark val="none"/>
        <c:tickLblPos val="nextTo"/>
        <c:txPr>
          <a:bodyPr/>
          <a:lstStyle/>
          <a:p>
            <a:pPr>
              <a:defRPr sz="700"/>
            </a:pPr>
            <a:endParaRPr lang="es-PE"/>
          </a:p>
        </c:txPr>
        <c:crossAx val="352890240"/>
        <c:crosses val="autoZero"/>
        <c:crossBetween val="between"/>
      </c:valAx>
    </c:plotArea>
    <c:plotVisOnly val="1"/>
    <c:dispBlanksAs val="gap"/>
    <c:showDLblsOverMax val="0"/>
  </c:chart>
  <c:spPr>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pageMargins b="0.75" l="0.7" r="0.7" t="0.75" header="0.3" footer="0.3"/>
    <c:pageSetup orientation="portrait"/>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9.2815445997607549E-2"/>
          <c:y val="9.4498598583222973E-2"/>
          <c:w val="0.73838460292799712"/>
          <c:h val="0.75611868754961753"/>
        </c:manualLayout>
      </c:layout>
      <c:barChart>
        <c:barDir val="bar"/>
        <c:grouping val="stacked"/>
        <c:varyColors val="0"/>
        <c:ser>
          <c:idx val="0"/>
          <c:order val="0"/>
          <c:tx>
            <c:strRef>
              <c:f>'2. Oferta de generación'!$B$38:$C$38</c:f>
              <c:strCache>
                <c:ptCount val="2"/>
                <c:pt idx="0">
                  <c:v>HIDROELÉCTRICA</c:v>
                </c:pt>
              </c:strCache>
            </c:strRef>
          </c:tx>
          <c:invertIfNegative val="0"/>
          <c:dPt>
            <c:idx val="0"/>
            <c:invertIfNegative val="0"/>
            <c:bubble3D val="0"/>
            <c:spPr>
              <a:solidFill>
                <a:srgbClr val="0077A5"/>
              </a:solidFill>
            </c:spPr>
            <c:extLst>
              <c:ext xmlns:c16="http://schemas.microsoft.com/office/drawing/2014/chart" uri="{C3380CC4-5D6E-409C-BE32-E72D297353CC}">
                <c16:uniqueId val="{00000001-4B09-496C-99BD-D5E264903C76}"/>
              </c:ext>
            </c:extLst>
          </c:dPt>
          <c:dPt>
            <c:idx val="1"/>
            <c:invertIfNegative val="0"/>
            <c:bubble3D val="0"/>
            <c:spPr>
              <a:solidFill>
                <a:srgbClr val="0077A5"/>
              </a:solidFill>
            </c:spPr>
            <c:extLst>
              <c:ext xmlns:c16="http://schemas.microsoft.com/office/drawing/2014/chart" uri="{C3380CC4-5D6E-409C-BE32-E72D297353CC}">
                <c16:uniqueId val="{00000000-4B09-496C-99BD-D5E264903C76}"/>
              </c:ext>
            </c:extLst>
          </c:dPt>
          <c:cat>
            <c:strRef>
              <c:f>'2. Oferta de generación'!$D$37:$E$37</c:f>
              <c:strCache>
                <c:ptCount val="2"/>
                <c:pt idx="0">
                  <c:v>OCTUBRE 2019</c:v>
                </c:pt>
                <c:pt idx="1">
                  <c:v>OCTUBRE 2018</c:v>
                </c:pt>
              </c:strCache>
            </c:strRef>
          </c:cat>
          <c:val>
            <c:numRef>
              <c:f>'2. Oferta de generación'!$D$38:$E$38</c:f>
              <c:numCache>
                <c:formatCode>#,##0.0</c:formatCode>
                <c:ptCount val="2"/>
                <c:pt idx="0">
                  <c:v>5122.3492474999994</c:v>
                </c:pt>
                <c:pt idx="1">
                  <c:v>4967.6492474999995</c:v>
                </c:pt>
              </c:numCache>
            </c:numRef>
          </c:val>
          <c:extLst>
            <c:ext xmlns:c16="http://schemas.microsoft.com/office/drawing/2014/chart" uri="{C3380CC4-5D6E-409C-BE32-E72D297353CC}">
              <c16:uniqueId val="{00000004-54B0-402D-913D-0304413B844F}"/>
            </c:ext>
          </c:extLst>
        </c:ser>
        <c:ser>
          <c:idx val="1"/>
          <c:order val="1"/>
          <c:tx>
            <c:strRef>
              <c:f>'2. Oferta de generación'!$B$39:$C$39</c:f>
              <c:strCache>
                <c:ptCount val="2"/>
                <c:pt idx="0">
                  <c:v>TERMOELÉCTRICA</c:v>
                </c:pt>
              </c:strCache>
            </c:strRef>
          </c:tx>
          <c:spPr>
            <a:solidFill>
              <a:schemeClr val="accent2"/>
            </a:solidFill>
          </c:spPr>
          <c:invertIfNegative val="0"/>
          <c:cat>
            <c:strRef>
              <c:f>'2. Oferta de generación'!$D$37:$E$37</c:f>
              <c:strCache>
                <c:ptCount val="2"/>
                <c:pt idx="0">
                  <c:v>OCTUBRE 2019</c:v>
                </c:pt>
                <c:pt idx="1">
                  <c:v>OCTUBRE 2018</c:v>
                </c:pt>
              </c:strCache>
            </c:strRef>
          </c:cat>
          <c:val>
            <c:numRef>
              <c:f>'2. Oferta de generación'!$D$39:$E$39</c:f>
              <c:numCache>
                <c:formatCode>#,##0.0</c:formatCode>
                <c:ptCount val="2"/>
                <c:pt idx="0">
                  <c:v>7431.6745000000001</c:v>
                </c:pt>
                <c:pt idx="1">
                  <c:v>7395.9645</c:v>
                </c:pt>
              </c:numCache>
            </c:numRef>
          </c:val>
          <c:extLst>
            <c:ext xmlns:c16="http://schemas.microsoft.com/office/drawing/2014/chart" uri="{C3380CC4-5D6E-409C-BE32-E72D297353CC}">
              <c16:uniqueId val="{00000005-54B0-402D-913D-0304413B844F}"/>
            </c:ext>
          </c:extLst>
        </c:ser>
        <c:ser>
          <c:idx val="2"/>
          <c:order val="2"/>
          <c:tx>
            <c:strRef>
              <c:f>'2. Oferta de generación'!$B$40:$C$40</c:f>
              <c:strCache>
                <c:ptCount val="2"/>
                <c:pt idx="0">
                  <c:v>EÓLICA</c:v>
                </c:pt>
              </c:strCache>
            </c:strRef>
          </c:tx>
          <c:spPr>
            <a:solidFill>
              <a:srgbClr val="6DA6D9"/>
            </a:solidFill>
          </c:spPr>
          <c:invertIfNegative val="0"/>
          <c:cat>
            <c:strRef>
              <c:f>'2. Oferta de generación'!$D$37:$E$37</c:f>
              <c:strCache>
                <c:ptCount val="2"/>
                <c:pt idx="0">
                  <c:v>OCTUBRE 2019</c:v>
                </c:pt>
                <c:pt idx="1">
                  <c:v>OCTUBRE 2018</c:v>
                </c:pt>
              </c:strCache>
            </c:strRef>
          </c:cat>
          <c:val>
            <c:numRef>
              <c:f>'2. Oferta de generación'!$D$40:$E$40</c:f>
              <c:numCache>
                <c:formatCode>#,##0.0</c:formatCode>
                <c:ptCount val="2"/>
                <c:pt idx="0">
                  <c:v>375.46</c:v>
                </c:pt>
                <c:pt idx="1">
                  <c:v>375.46</c:v>
                </c:pt>
              </c:numCache>
            </c:numRef>
          </c:val>
          <c:extLst>
            <c:ext xmlns:c16="http://schemas.microsoft.com/office/drawing/2014/chart" uri="{C3380CC4-5D6E-409C-BE32-E72D297353CC}">
              <c16:uniqueId val="{00000006-54B0-402D-913D-0304413B844F}"/>
            </c:ext>
          </c:extLst>
        </c:ser>
        <c:ser>
          <c:idx val="3"/>
          <c:order val="3"/>
          <c:tx>
            <c:strRef>
              <c:f>'2. Oferta de generación'!$B$41:$C$41</c:f>
              <c:strCache>
                <c:ptCount val="2"/>
                <c:pt idx="0">
                  <c:v>SOLAR</c:v>
                </c:pt>
              </c:strCache>
            </c:strRef>
          </c:tx>
          <c:invertIfNegative val="0"/>
          <c:cat>
            <c:strRef>
              <c:f>'2. Oferta de generación'!$D$37:$E$37</c:f>
              <c:strCache>
                <c:ptCount val="2"/>
                <c:pt idx="0">
                  <c:v>OCTUBRE 2019</c:v>
                </c:pt>
                <c:pt idx="1">
                  <c:v>OCTUBRE 2018</c:v>
                </c:pt>
              </c:strCache>
            </c:strRef>
          </c:cat>
          <c:val>
            <c:numRef>
              <c:f>'2. Oferta de generación'!$D$41:$E$41</c:f>
              <c:numCache>
                <c:formatCode>#,##0.0</c:formatCode>
                <c:ptCount val="2"/>
                <c:pt idx="0">
                  <c:v>285.02</c:v>
                </c:pt>
                <c:pt idx="1">
                  <c:v>285.02</c:v>
                </c:pt>
              </c:numCache>
            </c:numRef>
          </c:val>
          <c:extLst>
            <c:ext xmlns:c16="http://schemas.microsoft.com/office/drawing/2014/chart" uri="{C3380CC4-5D6E-409C-BE32-E72D297353CC}">
              <c16:uniqueId val="{00000007-54B0-402D-913D-0304413B844F}"/>
            </c:ext>
          </c:extLst>
        </c:ser>
        <c:dLbls>
          <c:showLegendKey val="0"/>
          <c:showVal val="0"/>
          <c:showCatName val="0"/>
          <c:showSerName val="0"/>
          <c:showPercent val="0"/>
          <c:showBubbleSize val="0"/>
        </c:dLbls>
        <c:gapWidth val="150"/>
        <c:overlap val="100"/>
        <c:axId val="363950080"/>
        <c:axId val="363951616"/>
      </c:barChart>
      <c:catAx>
        <c:axId val="363950080"/>
        <c:scaling>
          <c:orientation val="minMax"/>
        </c:scaling>
        <c:delete val="0"/>
        <c:axPos val="l"/>
        <c:numFmt formatCode="General" sourceLinked="1"/>
        <c:majorTickMark val="out"/>
        <c:minorTickMark val="none"/>
        <c:tickLblPos val="nextTo"/>
        <c:txPr>
          <a:bodyPr/>
          <a:lstStyle/>
          <a:p>
            <a:pPr>
              <a:defRPr sz="600"/>
            </a:pPr>
            <a:endParaRPr lang="es-PE"/>
          </a:p>
        </c:txPr>
        <c:crossAx val="363951616"/>
        <c:crosses val="autoZero"/>
        <c:auto val="1"/>
        <c:lblAlgn val="ctr"/>
        <c:lblOffset val="100"/>
        <c:noMultiLvlLbl val="0"/>
      </c:catAx>
      <c:valAx>
        <c:axId val="363951616"/>
        <c:scaling>
          <c:orientation val="minMax"/>
        </c:scaling>
        <c:delete val="0"/>
        <c:axPos val="b"/>
        <c:majorGridlines/>
        <c:title>
          <c:tx>
            <c:rich>
              <a:bodyPr rot="0" vert="horz"/>
              <a:lstStyle/>
              <a:p>
                <a:pPr>
                  <a:defRPr/>
                </a:pPr>
                <a:r>
                  <a:rPr lang="en-US"/>
                  <a:t>MW</a:t>
                </a:r>
              </a:p>
            </c:rich>
          </c:tx>
          <c:layout>
            <c:manualLayout>
              <c:xMode val="edge"/>
              <c:yMode val="edge"/>
              <c:x val="2.9415401879185121E-2"/>
              <c:y val="4.8743874533575763E-3"/>
            </c:manualLayout>
          </c:layout>
          <c:overlay val="0"/>
        </c:title>
        <c:numFmt formatCode="#,##0" sourceLinked="0"/>
        <c:majorTickMark val="out"/>
        <c:minorTickMark val="none"/>
        <c:tickLblPos val="nextTo"/>
        <c:txPr>
          <a:bodyPr/>
          <a:lstStyle/>
          <a:p>
            <a:pPr>
              <a:defRPr sz="700"/>
            </a:pPr>
            <a:endParaRPr lang="es-PE"/>
          </a:p>
        </c:txPr>
        <c:crossAx val="363950080"/>
        <c:crosses val="autoZero"/>
        <c:crossBetween val="between"/>
      </c:valAx>
    </c:plotArea>
    <c:legend>
      <c:legendPos val="r"/>
      <c:layout>
        <c:manualLayout>
          <c:xMode val="edge"/>
          <c:yMode val="edge"/>
          <c:x val="0.828013054718298"/>
          <c:y val="0.32210451712205634"/>
          <c:w val="0.16378270309630008"/>
          <c:h val="0.39713434742169856"/>
        </c:manualLayout>
      </c:layout>
      <c:overlay val="0"/>
      <c:txPr>
        <a:bodyPr/>
        <a:lstStyle/>
        <a:p>
          <a:pPr>
            <a:defRPr sz="600"/>
          </a:pPr>
          <a:endParaRPr lang="es-PE"/>
        </a:p>
      </c:txPr>
    </c:legend>
    <c:plotVisOnly val="1"/>
    <c:dispBlanksAs val="gap"/>
    <c:showDLblsOverMax val="0"/>
  </c:chart>
  <c:spPr>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pageMargins b="0.75" l="0.7" r="0.7" t="0.75" header="0.3" footer="0.3"/>
    <c:pageSetup orientation="portrait"/>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6368322210389846"/>
          <c:y val="0.229665314339425"/>
          <c:w val="0.80213918641887383"/>
          <c:h val="0.44867650323581393"/>
        </c:manualLayout>
      </c:layout>
      <c:barChart>
        <c:barDir val="col"/>
        <c:grouping val="stacked"/>
        <c:varyColors val="0"/>
        <c:ser>
          <c:idx val="0"/>
          <c:order val="0"/>
          <c:tx>
            <c:strRef>
              <c:f>'17. Eventos'!$B$6</c:f>
              <c:strCache>
                <c:ptCount val="1"/>
                <c:pt idx="0">
                  <c:v>FNA</c:v>
                </c:pt>
              </c:strCache>
            </c:strRef>
          </c:tx>
          <c:spPr>
            <a:solidFill>
              <a:schemeClr val="accent1"/>
            </a:solidFill>
            <a:ln>
              <a:noFill/>
            </a:ln>
            <a:effectLst/>
          </c:spPr>
          <c:invertIfNegative val="0"/>
          <c:cat>
            <c:strRef>
              <c:f>'17. Eventos'!$A$7:$A$12</c:f>
              <c:strCache>
                <c:ptCount val="6"/>
                <c:pt idx="0">
                  <c:v>LINEA DE TRANSMISION</c:v>
                </c:pt>
                <c:pt idx="1">
                  <c:v>CENTRAL TÉRMOELÉCTRICA</c:v>
                </c:pt>
                <c:pt idx="2">
                  <c:v>TRANSFORMADOR 2D</c:v>
                </c:pt>
                <c:pt idx="3">
                  <c:v>TRANSFORMADOR 3D</c:v>
                </c:pt>
                <c:pt idx="4">
                  <c:v>BARRA</c:v>
                </c:pt>
                <c:pt idx="5">
                  <c:v>REACTOR</c:v>
                </c:pt>
              </c:strCache>
            </c:strRef>
          </c:cat>
          <c:val>
            <c:numRef>
              <c:f>'17. Eventos'!$B$7:$B$12</c:f>
              <c:numCache>
                <c:formatCode>General</c:formatCode>
                <c:ptCount val="6"/>
                <c:pt idx="0">
                  <c:v>6</c:v>
                </c:pt>
              </c:numCache>
            </c:numRef>
          </c:val>
          <c:extLst>
            <c:ext xmlns:c16="http://schemas.microsoft.com/office/drawing/2014/chart" uri="{C3380CC4-5D6E-409C-BE32-E72D297353CC}">
              <c16:uniqueId val="{00000000-9FF0-435C-8235-45018A9EC017}"/>
            </c:ext>
          </c:extLst>
        </c:ser>
        <c:ser>
          <c:idx val="1"/>
          <c:order val="1"/>
          <c:tx>
            <c:strRef>
              <c:f>'17. Eventos'!$C$6</c:f>
              <c:strCache>
                <c:ptCount val="1"/>
                <c:pt idx="0">
                  <c:v>FEC</c:v>
                </c:pt>
              </c:strCache>
            </c:strRef>
          </c:tx>
          <c:spPr>
            <a:solidFill>
              <a:schemeClr val="accent2"/>
            </a:solidFill>
            <a:ln>
              <a:noFill/>
            </a:ln>
            <a:effectLst/>
          </c:spPr>
          <c:invertIfNegative val="0"/>
          <c:cat>
            <c:strRef>
              <c:f>'17. Eventos'!$A$7:$A$12</c:f>
              <c:strCache>
                <c:ptCount val="6"/>
                <c:pt idx="0">
                  <c:v>LINEA DE TRANSMISION</c:v>
                </c:pt>
                <c:pt idx="1">
                  <c:v>CENTRAL TÉRMOELÉCTRICA</c:v>
                </c:pt>
                <c:pt idx="2">
                  <c:v>TRANSFORMADOR 2D</c:v>
                </c:pt>
                <c:pt idx="3">
                  <c:v>TRANSFORMADOR 3D</c:v>
                </c:pt>
                <c:pt idx="4">
                  <c:v>BARRA</c:v>
                </c:pt>
                <c:pt idx="5">
                  <c:v>REACTOR</c:v>
                </c:pt>
              </c:strCache>
            </c:strRef>
          </c:cat>
          <c:val>
            <c:numRef>
              <c:f>'17. Eventos'!$C$7:$C$12</c:f>
              <c:numCache>
                <c:formatCode>General</c:formatCode>
                <c:ptCount val="6"/>
                <c:pt idx="0">
                  <c:v>5</c:v>
                </c:pt>
                <c:pt idx="3">
                  <c:v>1</c:v>
                </c:pt>
              </c:numCache>
            </c:numRef>
          </c:val>
          <c:extLst>
            <c:ext xmlns:c16="http://schemas.microsoft.com/office/drawing/2014/chart" uri="{C3380CC4-5D6E-409C-BE32-E72D297353CC}">
              <c16:uniqueId val="{00000001-9FF0-435C-8235-45018A9EC017}"/>
            </c:ext>
          </c:extLst>
        </c:ser>
        <c:ser>
          <c:idx val="2"/>
          <c:order val="2"/>
          <c:tx>
            <c:strRef>
              <c:f>'17. Eventos'!$D$6</c:f>
              <c:strCache>
                <c:ptCount val="1"/>
                <c:pt idx="0">
                  <c:v>EXT</c:v>
                </c:pt>
              </c:strCache>
            </c:strRef>
          </c:tx>
          <c:spPr>
            <a:solidFill>
              <a:schemeClr val="accent3"/>
            </a:solidFill>
            <a:ln>
              <a:noFill/>
            </a:ln>
            <a:effectLst/>
          </c:spPr>
          <c:invertIfNegative val="0"/>
          <c:cat>
            <c:strRef>
              <c:f>'17. Eventos'!$A$7:$A$12</c:f>
              <c:strCache>
                <c:ptCount val="6"/>
                <c:pt idx="0">
                  <c:v>LINEA DE TRANSMISION</c:v>
                </c:pt>
                <c:pt idx="1">
                  <c:v>CENTRAL TÉRMOELÉCTRICA</c:v>
                </c:pt>
                <c:pt idx="2">
                  <c:v>TRANSFORMADOR 2D</c:v>
                </c:pt>
                <c:pt idx="3">
                  <c:v>TRANSFORMADOR 3D</c:v>
                </c:pt>
                <c:pt idx="4">
                  <c:v>BARRA</c:v>
                </c:pt>
                <c:pt idx="5">
                  <c:v>REACTOR</c:v>
                </c:pt>
              </c:strCache>
            </c:strRef>
          </c:cat>
          <c:val>
            <c:numRef>
              <c:f>'17. Eventos'!$D$7:$D$12</c:f>
              <c:numCache>
                <c:formatCode>General</c:formatCode>
                <c:ptCount val="6"/>
                <c:pt idx="2">
                  <c:v>1</c:v>
                </c:pt>
              </c:numCache>
            </c:numRef>
          </c:val>
          <c:extLst>
            <c:ext xmlns:c16="http://schemas.microsoft.com/office/drawing/2014/chart" uri="{C3380CC4-5D6E-409C-BE32-E72D297353CC}">
              <c16:uniqueId val="{00000002-9FF0-435C-8235-45018A9EC017}"/>
            </c:ext>
          </c:extLst>
        </c:ser>
        <c:ser>
          <c:idx val="3"/>
          <c:order val="3"/>
          <c:tx>
            <c:strRef>
              <c:f>'17. Eventos'!$E$6</c:f>
              <c:strCache>
                <c:ptCount val="1"/>
                <c:pt idx="0">
                  <c:v>OTR</c:v>
                </c:pt>
              </c:strCache>
            </c:strRef>
          </c:tx>
          <c:spPr>
            <a:solidFill>
              <a:schemeClr val="accent4"/>
            </a:solidFill>
            <a:ln>
              <a:noFill/>
            </a:ln>
            <a:effectLst/>
          </c:spPr>
          <c:invertIfNegative val="0"/>
          <c:cat>
            <c:strRef>
              <c:f>'17. Eventos'!$A$7:$A$12</c:f>
              <c:strCache>
                <c:ptCount val="6"/>
                <c:pt idx="0">
                  <c:v>LINEA DE TRANSMISION</c:v>
                </c:pt>
                <c:pt idx="1">
                  <c:v>CENTRAL TÉRMOELÉCTRICA</c:v>
                </c:pt>
                <c:pt idx="2">
                  <c:v>TRANSFORMADOR 2D</c:v>
                </c:pt>
                <c:pt idx="3">
                  <c:v>TRANSFORMADOR 3D</c:v>
                </c:pt>
                <c:pt idx="4">
                  <c:v>BARRA</c:v>
                </c:pt>
                <c:pt idx="5">
                  <c:v>REACTOR</c:v>
                </c:pt>
              </c:strCache>
            </c:strRef>
          </c:cat>
          <c:val>
            <c:numRef>
              <c:f>'17. Eventos'!$E$7:$E$12</c:f>
              <c:numCache>
                <c:formatCode>General</c:formatCode>
                <c:ptCount val="6"/>
                <c:pt idx="0">
                  <c:v>1</c:v>
                </c:pt>
                <c:pt idx="4">
                  <c:v>1</c:v>
                </c:pt>
              </c:numCache>
            </c:numRef>
          </c:val>
          <c:extLst>
            <c:ext xmlns:c16="http://schemas.microsoft.com/office/drawing/2014/chart" uri="{C3380CC4-5D6E-409C-BE32-E72D297353CC}">
              <c16:uniqueId val="{00000003-9FF0-435C-8235-45018A9EC017}"/>
            </c:ext>
          </c:extLst>
        </c:ser>
        <c:ser>
          <c:idx val="4"/>
          <c:order val="4"/>
          <c:tx>
            <c:strRef>
              <c:f>'17. Eventos'!$F$6</c:f>
              <c:strCache>
                <c:ptCount val="1"/>
                <c:pt idx="0">
                  <c:v>FNI</c:v>
                </c:pt>
              </c:strCache>
            </c:strRef>
          </c:tx>
          <c:spPr>
            <a:solidFill>
              <a:schemeClr val="accent5"/>
            </a:solidFill>
            <a:ln>
              <a:noFill/>
            </a:ln>
            <a:effectLst/>
          </c:spPr>
          <c:invertIfNegative val="0"/>
          <c:cat>
            <c:strRef>
              <c:f>'17. Eventos'!$A$7:$A$12</c:f>
              <c:strCache>
                <c:ptCount val="6"/>
                <c:pt idx="0">
                  <c:v>LINEA DE TRANSMISION</c:v>
                </c:pt>
                <c:pt idx="1">
                  <c:v>CENTRAL TÉRMOELÉCTRICA</c:v>
                </c:pt>
                <c:pt idx="2">
                  <c:v>TRANSFORMADOR 2D</c:v>
                </c:pt>
                <c:pt idx="3">
                  <c:v>TRANSFORMADOR 3D</c:v>
                </c:pt>
                <c:pt idx="4">
                  <c:v>BARRA</c:v>
                </c:pt>
                <c:pt idx="5">
                  <c:v>REACTOR</c:v>
                </c:pt>
              </c:strCache>
            </c:strRef>
          </c:cat>
          <c:val>
            <c:numRef>
              <c:f>'17. Eventos'!$F$7:$F$12</c:f>
              <c:numCache>
                <c:formatCode>General</c:formatCode>
                <c:ptCount val="6"/>
                <c:pt idx="0">
                  <c:v>10</c:v>
                </c:pt>
                <c:pt idx="1">
                  <c:v>1</c:v>
                </c:pt>
                <c:pt idx="4">
                  <c:v>1</c:v>
                </c:pt>
                <c:pt idx="5">
                  <c:v>1</c:v>
                </c:pt>
              </c:numCache>
            </c:numRef>
          </c:val>
          <c:extLst>
            <c:ext xmlns:c16="http://schemas.microsoft.com/office/drawing/2014/chart" uri="{C3380CC4-5D6E-409C-BE32-E72D297353CC}">
              <c16:uniqueId val="{00000004-9FF0-435C-8235-45018A9EC017}"/>
            </c:ext>
          </c:extLst>
        </c:ser>
        <c:ser>
          <c:idx val="5"/>
          <c:order val="5"/>
          <c:tx>
            <c:strRef>
              <c:f>'17. Eventos'!$G$6</c:f>
              <c:strCache>
                <c:ptCount val="1"/>
                <c:pt idx="0">
                  <c:v>FEP</c:v>
                </c:pt>
              </c:strCache>
            </c:strRef>
          </c:tx>
          <c:spPr>
            <a:solidFill>
              <a:schemeClr val="accent6"/>
            </a:solidFill>
            <a:ln>
              <a:noFill/>
            </a:ln>
            <a:effectLst/>
          </c:spPr>
          <c:invertIfNegative val="0"/>
          <c:cat>
            <c:strRef>
              <c:f>'17. Eventos'!$A$7:$A$12</c:f>
              <c:strCache>
                <c:ptCount val="6"/>
                <c:pt idx="0">
                  <c:v>LINEA DE TRANSMISION</c:v>
                </c:pt>
                <c:pt idx="1">
                  <c:v>CENTRAL TÉRMOELÉCTRICA</c:v>
                </c:pt>
                <c:pt idx="2">
                  <c:v>TRANSFORMADOR 2D</c:v>
                </c:pt>
                <c:pt idx="3">
                  <c:v>TRANSFORMADOR 3D</c:v>
                </c:pt>
                <c:pt idx="4">
                  <c:v>BARRA</c:v>
                </c:pt>
                <c:pt idx="5">
                  <c:v>REACTOR</c:v>
                </c:pt>
              </c:strCache>
            </c:strRef>
          </c:cat>
          <c:val>
            <c:numRef>
              <c:f>'17. Eventos'!$G$7:$G$12</c:f>
              <c:numCache>
                <c:formatCode>General</c:formatCode>
                <c:ptCount val="6"/>
              </c:numCache>
            </c:numRef>
          </c:val>
          <c:extLst>
            <c:ext xmlns:c16="http://schemas.microsoft.com/office/drawing/2014/chart" uri="{C3380CC4-5D6E-409C-BE32-E72D297353CC}">
              <c16:uniqueId val="{00000005-9FF0-435C-8235-45018A9EC017}"/>
            </c:ext>
          </c:extLst>
        </c:ser>
        <c:ser>
          <c:idx val="6"/>
          <c:order val="6"/>
          <c:tx>
            <c:strRef>
              <c:f>'17. Eventos'!$H$6</c:f>
              <c:strCache>
                <c:ptCount val="1"/>
                <c:pt idx="0">
                  <c:v>FHU</c:v>
                </c:pt>
              </c:strCache>
            </c:strRef>
          </c:tx>
          <c:spPr>
            <a:solidFill>
              <a:schemeClr val="accent1">
                <a:lumMod val="60000"/>
              </a:schemeClr>
            </a:solidFill>
            <a:ln>
              <a:noFill/>
            </a:ln>
            <a:effectLst/>
          </c:spPr>
          <c:invertIfNegative val="0"/>
          <c:cat>
            <c:strRef>
              <c:f>'17. Eventos'!$A$7:$A$12</c:f>
              <c:strCache>
                <c:ptCount val="6"/>
                <c:pt idx="0">
                  <c:v>LINEA DE TRANSMISION</c:v>
                </c:pt>
                <c:pt idx="1">
                  <c:v>CENTRAL TÉRMOELÉCTRICA</c:v>
                </c:pt>
                <c:pt idx="2">
                  <c:v>TRANSFORMADOR 2D</c:v>
                </c:pt>
                <c:pt idx="3">
                  <c:v>TRANSFORMADOR 3D</c:v>
                </c:pt>
                <c:pt idx="4">
                  <c:v>BARRA</c:v>
                </c:pt>
                <c:pt idx="5">
                  <c:v>REACTOR</c:v>
                </c:pt>
              </c:strCache>
            </c:strRef>
          </c:cat>
          <c:val>
            <c:numRef>
              <c:f>'17. Eventos'!$H$7:$H$12</c:f>
              <c:numCache>
                <c:formatCode>General</c:formatCode>
                <c:ptCount val="6"/>
              </c:numCache>
            </c:numRef>
          </c:val>
          <c:extLst>
            <c:ext xmlns:c16="http://schemas.microsoft.com/office/drawing/2014/chart" uri="{C3380CC4-5D6E-409C-BE32-E72D297353CC}">
              <c16:uniqueId val="{00000006-9FF0-435C-8235-45018A9EC017}"/>
            </c:ext>
          </c:extLst>
        </c:ser>
        <c:dLbls>
          <c:showLegendKey val="0"/>
          <c:showVal val="0"/>
          <c:showCatName val="0"/>
          <c:showSerName val="0"/>
          <c:showPercent val="0"/>
          <c:showBubbleSize val="0"/>
        </c:dLbls>
        <c:gapWidth val="150"/>
        <c:overlap val="100"/>
        <c:axId val="637047848"/>
        <c:axId val="637043256"/>
      </c:barChart>
      <c:catAx>
        <c:axId val="637047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500" b="0" i="0" u="none" strike="noStrike" kern="1200" baseline="0">
                <a:ln>
                  <a:noFill/>
                </a:ln>
                <a:solidFill>
                  <a:schemeClr val="tx1"/>
                </a:solidFill>
                <a:latin typeface="Arial" panose="020B0604020202020204" pitchFamily="34" charset="0"/>
                <a:ea typeface="+mn-ea"/>
                <a:cs typeface="Arial" panose="020B0604020202020204" pitchFamily="34" charset="0"/>
              </a:defRPr>
            </a:pPr>
            <a:endParaRPr lang="es-PE"/>
          </a:p>
        </c:txPr>
        <c:crossAx val="637043256"/>
        <c:crosses val="autoZero"/>
        <c:auto val="1"/>
        <c:lblAlgn val="ctr"/>
        <c:lblOffset val="100"/>
        <c:noMultiLvlLbl val="0"/>
      </c:catAx>
      <c:valAx>
        <c:axId val="6370432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s-PE"/>
          </a:p>
        </c:txPr>
        <c:crossAx val="637047848"/>
        <c:crosses val="autoZero"/>
        <c:crossBetween val="midCat"/>
      </c:valAx>
      <c:spPr>
        <a:noFill/>
        <a:ln>
          <a:noFill/>
        </a:ln>
        <a:effectLst/>
      </c:spPr>
    </c:plotArea>
    <c:legend>
      <c:legendPos val="b"/>
      <c:layout>
        <c:manualLayout>
          <c:xMode val="edge"/>
          <c:yMode val="edge"/>
          <c:x val="0.2195209734409331"/>
          <c:y val="0.10083219016986136"/>
          <c:w val="0.61956327087797214"/>
          <c:h val="0.10711447939052278"/>
        </c:manualLayout>
      </c:layout>
      <c:overlay val="0"/>
      <c:spPr>
        <a:noFill/>
        <a:ln>
          <a:noFill/>
        </a:ln>
        <a:effectLst/>
      </c:spPr>
      <c:txPr>
        <a:bodyPr rot="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es-P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solidFill>
            <a:schemeClr val="tx1"/>
          </a:solidFill>
        </a:defRPr>
      </a:pPr>
      <a:endParaRPr lang="es-PE"/>
    </a:p>
  </c:txPr>
  <c:printSettings>
    <c:headerFooter>
      <c:oddFooter>&amp;L&amp;"Calibri Light,Regular"&amp;10COES SINAC, 2017&amp;C&amp;"Calibri Light,Regular"&amp;10 1&amp;R&amp;"Calibri Light,Regular"&amp;10Dirección Ejecutiva
Sub Dirección de Gestión de Información</c:oddFooter>
    </c:headerFooter>
    <c:pageMargins b="0.75" l="0.7" r="0.7" t="0.75" header="0.3" footer="0.3"/>
    <c:pageSetup orientation="portrait"/>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00" b="0" i="0" u="none" strike="noStrike" kern="1200" spc="0" baseline="0">
                <a:solidFill>
                  <a:schemeClr val="tx1"/>
                </a:solidFill>
                <a:latin typeface="Arial" panose="020B0604020202020204" pitchFamily="34" charset="0"/>
                <a:ea typeface="+mn-ea"/>
                <a:cs typeface="Arial" panose="020B0604020202020204" pitchFamily="34" charset="0"/>
              </a:defRPr>
            </a:pPr>
            <a:r>
              <a:rPr lang="es-PE" sz="800">
                <a:latin typeface="Arial" panose="020B0604020202020204" pitchFamily="34" charset="0"/>
                <a:cs typeface="Arial" panose="020B0604020202020204" pitchFamily="34" charset="0"/>
              </a:rPr>
              <a:t>Ingreso de potencia efectiva en el SEIN</a:t>
            </a:r>
          </a:p>
        </c:rich>
      </c:tx>
      <c:layout>
        <c:manualLayout>
          <c:xMode val="edge"/>
          <c:yMode val="edge"/>
          <c:x val="0.35045055502834938"/>
          <c:y val="2.7864834184467373E-2"/>
        </c:manualLayout>
      </c:layout>
      <c:overlay val="0"/>
      <c:spPr>
        <a:noFill/>
        <a:ln>
          <a:noFill/>
        </a:ln>
        <a:effectLst/>
      </c:spPr>
      <c:txPr>
        <a:bodyPr rot="0" spcFirstLastPara="1" vertOverflow="ellipsis" vert="horz" wrap="square" anchor="ctr" anchorCtr="1"/>
        <a:lstStyle/>
        <a:p>
          <a:pPr>
            <a:defRPr sz="800" b="0" i="0" u="none" strike="noStrike" kern="1200" spc="0" baseline="0">
              <a:solidFill>
                <a:schemeClr val="tx1"/>
              </a:solidFill>
              <a:latin typeface="Arial" panose="020B0604020202020204" pitchFamily="34" charset="0"/>
              <a:ea typeface="+mn-ea"/>
              <a:cs typeface="Arial" panose="020B0604020202020204" pitchFamily="34" charset="0"/>
            </a:defRPr>
          </a:pPr>
          <a:endParaRPr lang="es-PE"/>
        </a:p>
      </c:txPr>
    </c:title>
    <c:autoTitleDeleted val="0"/>
    <c:plotArea>
      <c:layout>
        <c:manualLayout>
          <c:layoutTarget val="inner"/>
          <c:xMode val="edge"/>
          <c:yMode val="edge"/>
          <c:x val="8.224621700770593E-2"/>
          <c:y val="0.17877646799271954"/>
          <c:w val="0.88604204608575698"/>
          <c:h val="0.66960073004778409"/>
        </c:manualLayout>
      </c:layout>
      <c:barChart>
        <c:barDir val="col"/>
        <c:grouping val="clustered"/>
        <c:varyColors val="0"/>
        <c:ser>
          <c:idx val="0"/>
          <c:order val="0"/>
          <c:tx>
            <c:strRef>
              <c:f>'2. Oferta de generación'!$L$18:$L$22</c:f>
              <c:strCache>
                <c:ptCount val="5"/>
                <c:pt idx="0">
                  <c:v>Central Solar</c:v>
                </c:pt>
                <c:pt idx="1">
                  <c:v>Central Hidroeléctrica</c:v>
                </c:pt>
                <c:pt idx="2">
                  <c:v>Turbina de Vapor</c:v>
                </c:pt>
                <c:pt idx="3">
                  <c:v>Central Eólica</c:v>
                </c:pt>
                <c:pt idx="4">
                  <c:v>Central a Biogás</c:v>
                </c:pt>
              </c:strCache>
            </c:strRef>
          </c:tx>
          <c:spPr>
            <a:solidFill>
              <a:schemeClr val="accent1"/>
            </a:solidFill>
            <a:ln>
              <a:noFill/>
            </a:ln>
            <a:effectLst/>
          </c:spPr>
          <c:invertIfNegative val="0"/>
          <c:dLbls>
            <c:delete val="1"/>
          </c:dLbls>
          <c:cat>
            <c:strRef>
              <c:f>'2. Oferta de generación'!$L$18:$L$22</c:f>
              <c:strCache>
                <c:ptCount val="5"/>
                <c:pt idx="0">
                  <c:v>Central Solar</c:v>
                </c:pt>
                <c:pt idx="1">
                  <c:v>Central Hidroeléctrica</c:v>
                </c:pt>
                <c:pt idx="2">
                  <c:v>Turbina de Vapor</c:v>
                </c:pt>
                <c:pt idx="3">
                  <c:v>Central Eólica</c:v>
                </c:pt>
                <c:pt idx="4">
                  <c:v>Central a Biogás</c:v>
                </c:pt>
              </c:strCache>
            </c:strRef>
          </c:cat>
          <c:val>
            <c:numRef>
              <c:f>'2. Oferta de generación'!$M$18:$M$22</c:f>
              <c:numCache>
                <c:formatCode>#,##0.00</c:formatCode>
                <c:ptCount val="5"/>
                <c:pt idx="1">
                  <c:v>131.69999999999999</c:v>
                </c:pt>
                <c:pt idx="2">
                  <c:v>19.48</c:v>
                </c:pt>
                <c:pt idx="3" formatCode="General">
                  <c:v>0</c:v>
                </c:pt>
                <c:pt idx="4" formatCode="General">
                  <c:v>0</c:v>
                </c:pt>
              </c:numCache>
            </c:numRef>
          </c:val>
          <c:extLst>
            <c:ext xmlns:c16="http://schemas.microsoft.com/office/drawing/2014/chart" uri="{C3380CC4-5D6E-409C-BE32-E72D297353CC}">
              <c16:uniqueId val="{00000000-97B6-4FBD-B93B-1DCD19285F24}"/>
            </c:ext>
          </c:extLst>
        </c:ser>
        <c:dLbls>
          <c:dLblPos val="outEnd"/>
          <c:showLegendKey val="0"/>
          <c:showVal val="1"/>
          <c:showCatName val="0"/>
          <c:showSerName val="0"/>
          <c:showPercent val="0"/>
          <c:showBubbleSize val="0"/>
        </c:dLbls>
        <c:gapWidth val="219"/>
        <c:overlap val="27"/>
        <c:axId val="1007844968"/>
        <c:axId val="1007850544"/>
      </c:barChart>
      <c:catAx>
        <c:axId val="1007844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1007850544"/>
        <c:crosses val="autoZero"/>
        <c:auto val="1"/>
        <c:lblAlgn val="ctr"/>
        <c:lblOffset val="100"/>
        <c:noMultiLvlLbl val="0"/>
      </c:catAx>
      <c:valAx>
        <c:axId val="100785054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10078449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tx1"/>
          </a:solidFill>
        </a:defRPr>
      </a:pPr>
      <a:endParaRPr lang="es-PE"/>
    </a:p>
  </c:txPr>
  <c:printSettings>
    <c:headerFooter/>
    <c:pageMargins b="0.75" l="0.7" r="0.7" t="0.75" header="0.3" footer="0.3"/>
    <c:pageSetup orientation="portrait"/>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97495880356141E-2"/>
          <c:y val="8.9140691524104934E-2"/>
          <c:w val="0.89572618708198593"/>
          <c:h val="0.85015332874999883"/>
        </c:manualLayout>
      </c:layout>
      <c:barChart>
        <c:barDir val="col"/>
        <c:grouping val="clustered"/>
        <c:varyColors val="0"/>
        <c:ser>
          <c:idx val="2"/>
          <c:order val="0"/>
          <c:tx>
            <c:strRef>
              <c:f>'3. Tipo Generación'!$J$7</c:f>
              <c:strCache>
                <c:ptCount val="1"/>
                <c:pt idx="0">
                  <c:v>2017</c:v>
                </c:pt>
              </c:strCache>
            </c:strRef>
          </c:tx>
          <c:spPr>
            <a:solidFill>
              <a:schemeClr val="accent6">
                <a:lumMod val="75000"/>
              </a:schemeClr>
            </a:solidFill>
            <a:ln>
              <a:noFill/>
            </a:ln>
            <a:effectLst/>
          </c:spPr>
          <c:invertIfNegative val="0"/>
          <c:cat>
            <c:strRef>
              <c:f>'3. Tipo Generación'!$A$8:$A$11</c:f>
              <c:strCache>
                <c:ptCount val="4"/>
                <c:pt idx="0">
                  <c:v>Hidroeléctrica</c:v>
                </c:pt>
                <c:pt idx="1">
                  <c:v>Termoeléctrica</c:v>
                </c:pt>
                <c:pt idx="2">
                  <c:v>Eólica</c:v>
                </c:pt>
                <c:pt idx="3">
                  <c:v>Solar</c:v>
                </c:pt>
              </c:strCache>
            </c:strRef>
          </c:cat>
          <c:val>
            <c:numRef>
              <c:f>'3. Tipo Generación'!$J$8:$J$11</c:f>
              <c:numCache>
                <c:formatCode>_(* #,##0.00_);_(* \(#,##0.00\);_(* "-"??_);_(@_)</c:formatCode>
                <c:ptCount val="4"/>
                <c:pt idx="0">
                  <c:v>23050.792966868547</c:v>
                </c:pt>
                <c:pt idx="1">
                  <c:v>16610.108096436019</c:v>
                </c:pt>
                <c:pt idx="2">
                  <c:v>885.74689270594808</c:v>
                </c:pt>
                <c:pt idx="3">
                  <c:v>182.99948744017303</c:v>
                </c:pt>
              </c:numCache>
            </c:numRef>
          </c:val>
          <c:extLst>
            <c:ext xmlns:c16="http://schemas.microsoft.com/office/drawing/2014/chart" uri="{C3380CC4-5D6E-409C-BE32-E72D297353CC}">
              <c16:uniqueId val="{00000000-B28A-4809-9B11-B965E453D149}"/>
            </c:ext>
          </c:extLst>
        </c:ser>
        <c:ser>
          <c:idx val="1"/>
          <c:order val="1"/>
          <c:tx>
            <c:strRef>
              <c:f>'3. Tipo Generación'!$H$7</c:f>
              <c:strCache>
                <c:ptCount val="1"/>
                <c:pt idx="0">
                  <c:v>2018</c:v>
                </c:pt>
              </c:strCache>
            </c:strRef>
          </c:tx>
          <c:spPr>
            <a:solidFill>
              <a:srgbClr val="FF6600"/>
            </a:solidFill>
            <a:ln>
              <a:noFill/>
            </a:ln>
            <a:effectLst/>
          </c:spPr>
          <c:invertIfNegative val="0"/>
          <c:cat>
            <c:strRef>
              <c:f>'3. Tipo Generación'!$A$8:$A$11</c:f>
              <c:strCache>
                <c:ptCount val="4"/>
                <c:pt idx="0">
                  <c:v>Hidroeléctrica</c:v>
                </c:pt>
                <c:pt idx="1">
                  <c:v>Termoeléctrica</c:v>
                </c:pt>
                <c:pt idx="2">
                  <c:v>Eólica</c:v>
                </c:pt>
                <c:pt idx="3">
                  <c:v>Solar</c:v>
                </c:pt>
              </c:strCache>
            </c:strRef>
          </c:cat>
          <c:val>
            <c:numRef>
              <c:f>'3. Tipo Generación'!$H$8:$H$11</c:f>
              <c:numCache>
                <c:formatCode>_(* #,##0.00_);_(* \(#,##0.00\);_(* "-"??_);_(@_)</c:formatCode>
                <c:ptCount val="4"/>
                <c:pt idx="0">
                  <c:v>24328.458695435002</c:v>
                </c:pt>
                <c:pt idx="1">
                  <c:v>15906.4315954875</c:v>
                </c:pt>
                <c:pt idx="2">
                  <c:v>1214.5383555075</c:v>
                </c:pt>
                <c:pt idx="3">
                  <c:v>591.86199672000009</c:v>
                </c:pt>
              </c:numCache>
            </c:numRef>
          </c:val>
          <c:extLst>
            <c:ext xmlns:c16="http://schemas.microsoft.com/office/drawing/2014/chart" uri="{C3380CC4-5D6E-409C-BE32-E72D297353CC}">
              <c16:uniqueId val="{00000001-B28A-4809-9B11-B965E453D149}"/>
            </c:ext>
          </c:extLst>
        </c:ser>
        <c:ser>
          <c:idx val="0"/>
          <c:order val="2"/>
          <c:tx>
            <c:strRef>
              <c:f>'3. Tipo Generación'!$G$7</c:f>
              <c:strCache>
                <c:ptCount val="1"/>
                <c:pt idx="0">
                  <c:v>2019</c:v>
                </c:pt>
              </c:strCache>
            </c:strRef>
          </c:tx>
          <c:spPr>
            <a:solidFill>
              <a:schemeClr val="accent1"/>
            </a:solidFill>
            <a:ln>
              <a:noFill/>
            </a:ln>
            <a:effectLst/>
          </c:spPr>
          <c:invertIfNegative val="0"/>
          <c:dPt>
            <c:idx val="0"/>
            <c:invertIfNegative val="0"/>
            <c:bubble3D val="0"/>
            <c:spPr>
              <a:solidFill>
                <a:srgbClr val="0077A5"/>
              </a:solidFill>
              <a:ln>
                <a:noFill/>
              </a:ln>
              <a:effectLst/>
            </c:spPr>
            <c:extLst>
              <c:ext xmlns:c16="http://schemas.microsoft.com/office/drawing/2014/chart" uri="{C3380CC4-5D6E-409C-BE32-E72D297353CC}">
                <c16:uniqueId val="{00000000-A76A-4A83-99B3-CAA0183B085B}"/>
              </c:ext>
            </c:extLst>
          </c:dPt>
          <c:dPt>
            <c:idx val="1"/>
            <c:invertIfNegative val="0"/>
            <c:bubble3D val="0"/>
            <c:spPr>
              <a:solidFill>
                <a:srgbClr val="0077A5"/>
              </a:solidFill>
              <a:ln>
                <a:noFill/>
              </a:ln>
              <a:effectLst/>
            </c:spPr>
            <c:extLst>
              <c:ext xmlns:c16="http://schemas.microsoft.com/office/drawing/2014/chart" uri="{C3380CC4-5D6E-409C-BE32-E72D297353CC}">
                <c16:uniqueId val="{00000001-A76A-4A83-99B3-CAA0183B085B}"/>
              </c:ext>
            </c:extLst>
          </c:dPt>
          <c:dPt>
            <c:idx val="2"/>
            <c:invertIfNegative val="0"/>
            <c:bubble3D val="0"/>
            <c:spPr>
              <a:solidFill>
                <a:srgbClr val="0077A5"/>
              </a:solidFill>
              <a:ln>
                <a:noFill/>
              </a:ln>
              <a:effectLst/>
            </c:spPr>
            <c:extLst>
              <c:ext xmlns:c16="http://schemas.microsoft.com/office/drawing/2014/chart" uri="{C3380CC4-5D6E-409C-BE32-E72D297353CC}">
                <c16:uniqueId val="{00000002-A76A-4A83-99B3-CAA0183B085B}"/>
              </c:ext>
            </c:extLst>
          </c:dPt>
          <c:dPt>
            <c:idx val="3"/>
            <c:invertIfNegative val="0"/>
            <c:bubble3D val="0"/>
            <c:spPr>
              <a:solidFill>
                <a:srgbClr val="0077A5"/>
              </a:solidFill>
              <a:ln>
                <a:noFill/>
              </a:ln>
              <a:effectLst/>
            </c:spPr>
            <c:extLst>
              <c:ext xmlns:c16="http://schemas.microsoft.com/office/drawing/2014/chart" uri="{C3380CC4-5D6E-409C-BE32-E72D297353CC}">
                <c16:uniqueId val="{00000003-A76A-4A83-99B3-CAA0183B085B}"/>
              </c:ext>
            </c:extLst>
          </c:dPt>
          <c:cat>
            <c:strRef>
              <c:f>'3. Tipo Generación'!$A$8:$A$11</c:f>
              <c:strCache>
                <c:ptCount val="4"/>
                <c:pt idx="0">
                  <c:v>Hidroeléctrica</c:v>
                </c:pt>
                <c:pt idx="1">
                  <c:v>Termoeléctrica</c:v>
                </c:pt>
                <c:pt idx="2">
                  <c:v>Eólica</c:v>
                </c:pt>
                <c:pt idx="3">
                  <c:v>Solar</c:v>
                </c:pt>
              </c:strCache>
            </c:strRef>
          </c:cat>
          <c:val>
            <c:numRef>
              <c:f>'3. Tipo Generación'!$G$8:$G$11</c:f>
              <c:numCache>
                <c:formatCode>_(* #,##0.00_);_(* \(#,##0.00\);_(* "-"??_);_(@_)</c:formatCode>
                <c:ptCount val="4"/>
                <c:pt idx="0">
                  <c:v>24502.641660175006</c:v>
                </c:pt>
                <c:pt idx="1">
                  <c:v>17401.832639089997</c:v>
                </c:pt>
                <c:pt idx="2">
                  <c:v>1386.6491204849999</c:v>
                </c:pt>
                <c:pt idx="3">
                  <c:v>609.06993416249986</c:v>
                </c:pt>
              </c:numCache>
            </c:numRef>
          </c:val>
          <c:extLst>
            <c:ext xmlns:c16="http://schemas.microsoft.com/office/drawing/2014/chart" uri="{C3380CC4-5D6E-409C-BE32-E72D297353CC}">
              <c16:uniqueId val="{00000002-B28A-4809-9B11-B965E453D149}"/>
            </c:ext>
          </c:extLst>
        </c:ser>
        <c:dLbls>
          <c:showLegendKey val="0"/>
          <c:showVal val="0"/>
          <c:showCatName val="0"/>
          <c:showSerName val="0"/>
          <c:showPercent val="0"/>
          <c:showBubbleSize val="0"/>
        </c:dLbls>
        <c:gapWidth val="173"/>
        <c:overlap val="-13"/>
        <c:axId val="367905408"/>
        <c:axId val="367907200"/>
      </c:barChart>
      <c:catAx>
        <c:axId val="367905408"/>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67907200"/>
        <c:crosses val="autoZero"/>
        <c:auto val="1"/>
        <c:lblAlgn val="ctr"/>
        <c:lblOffset val="100"/>
        <c:noMultiLvlLbl val="0"/>
      </c:catAx>
      <c:valAx>
        <c:axId val="367907200"/>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0" spcFirstLastPara="1" vertOverflow="ellipsis" wrap="square" anchor="ctr" anchorCtr="1"/>
              <a:lstStyle/>
              <a:p>
                <a:pPr>
                  <a:defRPr sz="10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sz="1000" b="1"/>
                  <a:t>GWh</a:t>
                </a:r>
              </a:p>
            </c:rich>
          </c:tx>
          <c:layout>
            <c:manualLayout>
              <c:xMode val="edge"/>
              <c:yMode val="edge"/>
              <c:x val="2.3853742971314758E-2"/>
              <c:y val="1.1469669699920757E-2"/>
            </c:manualLayout>
          </c:layout>
          <c:overlay val="0"/>
          <c:spPr>
            <a:noFill/>
            <a:ln>
              <a:noFill/>
            </a:ln>
            <a:effectLst/>
          </c:spPr>
          <c:txPr>
            <a:bodyPr rot="0" spcFirstLastPara="1" vertOverflow="ellipsis" wrap="square" anchor="ctr" anchorCtr="1"/>
            <a:lstStyle/>
            <a:p>
              <a:pPr>
                <a:defRPr sz="10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PE"/>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67905408"/>
        <c:crosses val="autoZero"/>
        <c:crossBetween val="between"/>
      </c:valAx>
      <c:spPr>
        <a:noFill/>
        <a:ln>
          <a:noFill/>
        </a:ln>
        <a:effectLst/>
      </c:spPr>
    </c:plotArea>
    <c:legend>
      <c:legendPos val="b"/>
      <c:layout>
        <c:manualLayout>
          <c:xMode val="edge"/>
          <c:yMode val="edge"/>
          <c:x val="0.39023097326946354"/>
          <c:y val="2.7011847548981793E-3"/>
          <c:w val="0.25616409967075665"/>
          <c:h val="5.077248408615585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PE"/>
        </a:p>
      </c:txPr>
    </c:legend>
    <c:plotVisOnly val="1"/>
    <c:dispBlanksAs val="gap"/>
    <c:showDLblsOverMax val="0"/>
  </c:chart>
  <c:spPr>
    <a:solidFill>
      <a:schemeClr val="bg1"/>
    </a:solidFill>
    <a:ln w="9525" cap="flat" cmpd="sng" algn="ctr">
      <a:noFill/>
      <a:round/>
    </a:ln>
    <a:effectLst/>
  </c:spPr>
  <c:txPr>
    <a:bodyPr/>
    <a:lstStyle/>
    <a:p>
      <a:pPr>
        <a:defRPr sz="900">
          <a:latin typeface="Arial" panose="020B0604020202020204" pitchFamily="34" charset="0"/>
          <a:cs typeface="Arial" panose="020B0604020202020204" pitchFamily="34" charset="0"/>
        </a:defRPr>
      </a:pPr>
      <a:endParaRPr lang="es-PE"/>
    </a:p>
  </c:txPr>
  <c:printSettings>
    <c:headerFooter>
      <c:oddHeader>&amp;L&amp;"Calibri Light,Regular"&amp;10 &amp;C&amp;"Calibri Light,Regular"&amp;10 &amp;R&amp;"Tahoma,Negrita"&amp;10Informe de la Operación Mensual - Setiembre 2017
INFSGI-MES-09-2017
05/10/2017
Versión: 01</c:oddHeader>
    </c:headerFooter>
    <c:pageMargins b="0.75" l="0.7" r="0.7" t="0.75" header="0.3" footer="0.3"/>
    <c:pageSetup orientation="portrait"/>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0.1832804695818826"/>
          <c:y val="7.7621376306849579E-2"/>
          <c:w val="0.76401459895262769"/>
          <c:h val="0.83611760080114705"/>
        </c:manualLayout>
      </c:layout>
      <c:barChart>
        <c:barDir val="bar"/>
        <c:grouping val="clustered"/>
        <c:varyColors val="0"/>
        <c:ser>
          <c:idx val="0"/>
          <c:order val="0"/>
          <c:tx>
            <c:strRef>
              <c:f>'4. Tipo Recurso'!$G$5</c:f>
              <c:strCache>
                <c:ptCount val="1"/>
                <c:pt idx="0">
                  <c:v>2019</c:v>
                </c:pt>
              </c:strCache>
            </c:strRef>
          </c:tx>
          <c:spPr>
            <a:solidFill>
              <a:srgbClr val="0077A5"/>
            </a:solidFill>
          </c:spPr>
          <c:invertIfNegative val="0"/>
          <c:cat>
            <c:strRef>
              <c:f>'4. Tipo Recurso'!$A$6:$A$18</c:f>
              <c:strCache>
                <c:ptCount val="13"/>
                <c:pt idx="0">
                  <c:v>Agua</c:v>
                </c:pt>
                <c:pt idx="1">
                  <c:v>G.N. de Camisea</c:v>
                </c:pt>
                <c:pt idx="2">
                  <c:v>G.N. de Malacas</c:v>
                </c:pt>
                <c:pt idx="3">
                  <c:v>G.N. de Aguaytía</c:v>
                </c:pt>
                <c:pt idx="4">
                  <c:v>G.N. de La Isla</c:v>
                </c:pt>
                <c:pt idx="5">
                  <c:v>Carbón</c:v>
                </c:pt>
                <c:pt idx="6">
                  <c:v>Residual 500</c:v>
                </c:pt>
                <c:pt idx="7">
                  <c:v>Residual 6</c:v>
                </c:pt>
                <c:pt idx="8">
                  <c:v>Diesel 2</c:v>
                </c:pt>
                <c:pt idx="9">
                  <c:v>Bagazo</c:v>
                </c:pt>
                <c:pt idx="10">
                  <c:v>Biogás</c:v>
                </c:pt>
                <c:pt idx="11">
                  <c:v>Solar</c:v>
                </c:pt>
                <c:pt idx="12">
                  <c:v>Eólico</c:v>
                </c:pt>
              </c:strCache>
            </c:strRef>
          </c:cat>
          <c:val>
            <c:numRef>
              <c:f>'4. Tipo Recurso'!$G$6:$G$18</c:f>
              <c:numCache>
                <c:formatCode>_(* #,##0.00_);_(* \(#,##0.00\);_(* "-"??_);_(@_)</c:formatCode>
                <c:ptCount val="13"/>
                <c:pt idx="0">
                  <c:v>24502.641660175006</c:v>
                </c:pt>
                <c:pt idx="1">
                  <c:v>16201.574753174533</c:v>
                </c:pt>
                <c:pt idx="2">
                  <c:v>504.45053920499993</c:v>
                </c:pt>
                <c:pt idx="3">
                  <c:v>306.83560870750006</c:v>
                </c:pt>
                <c:pt idx="4">
                  <c:v>0</c:v>
                </c:pt>
                <c:pt idx="5">
                  <c:v>36.149195487499995</c:v>
                </c:pt>
                <c:pt idx="6">
                  <c:v>42.968439637499991</c:v>
                </c:pt>
                <c:pt idx="7">
                  <c:v>0.282469725</c:v>
                </c:pt>
                <c:pt idx="8">
                  <c:v>107.82988521546878</c:v>
                </c:pt>
                <c:pt idx="9">
                  <c:v>146.42427900750002</c:v>
                </c:pt>
                <c:pt idx="10">
                  <c:v>55.317468930000004</c:v>
                </c:pt>
                <c:pt idx="11">
                  <c:v>609.06993416249986</c:v>
                </c:pt>
                <c:pt idx="12">
                  <c:v>1386.6491204849999</c:v>
                </c:pt>
              </c:numCache>
            </c:numRef>
          </c:val>
          <c:extLst>
            <c:ext xmlns:c16="http://schemas.microsoft.com/office/drawing/2014/chart" uri="{C3380CC4-5D6E-409C-BE32-E72D297353CC}">
              <c16:uniqueId val="{00000000-8B13-4332-A726-2B109FF68BD4}"/>
            </c:ext>
          </c:extLst>
        </c:ser>
        <c:ser>
          <c:idx val="1"/>
          <c:order val="1"/>
          <c:tx>
            <c:strRef>
              <c:f>'4. Tipo Recurso'!$H$5</c:f>
              <c:strCache>
                <c:ptCount val="1"/>
                <c:pt idx="0">
                  <c:v>2018</c:v>
                </c:pt>
              </c:strCache>
            </c:strRef>
          </c:tx>
          <c:spPr>
            <a:solidFill>
              <a:srgbClr val="FF6600"/>
            </a:solidFill>
          </c:spPr>
          <c:invertIfNegative val="0"/>
          <c:cat>
            <c:strRef>
              <c:f>'4. Tipo Recurso'!$A$6:$A$18</c:f>
              <c:strCache>
                <c:ptCount val="13"/>
                <c:pt idx="0">
                  <c:v>Agua</c:v>
                </c:pt>
                <c:pt idx="1">
                  <c:v>G.N. de Camisea</c:v>
                </c:pt>
                <c:pt idx="2">
                  <c:v>G.N. de Malacas</c:v>
                </c:pt>
                <c:pt idx="3">
                  <c:v>G.N. de Aguaytía</c:v>
                </c:pt>
                <c:pt idx="4">
                  <c:v>G.N. de La Isla</c:v>
                </c:pt>
                <c:pt idx="5">
                  <c:v>Carbón</c:v>
                </c:pt>
                <c:pt idx="6">
                  <c:v>Residual 500</c:v>
                </c:pt>
                <c:pt idx="7">
                  <c:v>Residual 6</c:v>
                </c:pt>
                <c:pt idx="8">
                  <c:v>Diesel 2</c:v>
                </c:pt>
                <c:pt idx="9">
                  <c:v>Bagazo</c:v>
                </c:pt>
                <c:pt idx="10">
                  <c:v>Biogás</c:v>
                </c:pt>
                <c:pt idx="11">
                  <c:v>Solar</c:v>
                </c:pt>
                <c:pt idx="12">
                  <c:v>Eólico</c:v>
                </c:pt>
              </c:strCache>
            </c:strRef>
          </c:cat>
          <c:val>
            <c:numRef>
              <c:f>'4. Tipo Recurso'!$H$6:$H$18</c:f>
              <c:numCache>
                <c:formatCode>_(* #,##0.00_);_(* \(#,##0.00\);_(* "-"??_);_(@_)</c:formatCode>
                <c:ptCount val="13"/>
                <c:pt idx="0">
                  <c:v>24328.458695435002</c:v>
                </c:pt>
                <c:pt idx="1">
                  <c:v>14802.7579284525</c:v>
                </c:pt>
                <c:pt idx="2">
                  <c:v>485.12435876249998</c:v>
                </c:pt>
                <c:pt idx="3">
                  <c:v>348.28843219749996</c:v>
                </c:pt>
                <c:pt idx="4">
                  <c:v>0</c:v>
                </c:pt>
                <c:pt idx="5">
                  <c:v>43.120710160000002</c:v>
                </c:pt>
                <c:pt idx="6">
                  <c:v>5.0606056925000003</c:v>
                </c:pt>
                <c:pt idx="7">
                  <c:v>2.45941272</c:v>
                </c:pt>
                <c:pt idx="8">
                  <c:v>105.7426360475</c:v>
                </c:pt>
                <c:pt idx="9">
                  <c:v>74.671573012499991</c:v>
                </c:pt>
                <c:pt idx="10">
                  <c:v>39.205938442499992</c:v>
                </c:pt>
                <c:pt idx="11">
                  <c:v>591.86199672000009</c:v>
                </c:pt>
                <c:pt idx="12">
                  <c:v>1214.5383555075</c:v>
                </c:pt>
              </c:numCache>
            </c:numRef>
          </c:val>
          <c:extLst>
            <c:ext xmlns:c16="http://schemas.microsoft.com/office/drawing/2014/chart" uri="{C3380CC4-5D6E-409C-BE32-E72D297353CC}">
              <c16:uniqueId val="{00000001-8B13-4332-A726-2B109FF68BD4}"/>
            </c:ext>
          </c:extLst>
        </c:ser>
        <c:ser>
          <c:idx val="2"/>
          <c:order val="2"/>
          <c:tx>
            <c:strRef>
              <c:f>'4. Tipo Recurso'!$J$5</c:f>
              <c:strCache>
                <c:ptCount val="1"/>
                <c:pt idx="0">
                  <c:v>2017</c:v>
                </c:pt>
              </c:strCache>
            </c:strRef>
          </c:tx>
          <c:spPr>
            <a:solidFill>
              <a:schemeClr val="accent6">
                <a:lumMod val="75000"/>
              </a:schemeClr>
            </a:solidFill>
            <a:ln>
              <a:solidFill>
                <a:schemeClr val="accent3"/>
              </a:solidFill>
            </a:ln>
          </c:spPr>
          <c:invertIfNegative val="0"/>
          <c:cat>
            <c:strRef>
              <c:f>'4. Tipo Recurso'!$A$6:$A$18</c:f>
              <c:strCache>
                <c:ptCount val="13"/>
                <c:pt idx="0">
                  <c:v>Agua</c:v>
                </c:pt>
                <c:pt idx="1">
                  <c:v>G.N. de Camisea</c:v>
                </c:pt>
                <c:pt idx="2">
                  <c:v>G.N. de Malacas</c:v>
                </c:pt>
                <c:pt idx="3">
                  <c:v>G.N. de Aguaytía</c:v>
                </c:pt>
                <c:pt idx="4">
                  <c:v>G.N. de La Isla</c:v>
                </c:pt>
                <c:pt idx="5">
                  <c:v>Carbón</c:v>
                </c:pt>
                <c:pt idx="6">
                  <c:v>Residual 500</c:v>
                </c:pt>
                <c:pt idx="7">
                  <c:v>Residual 6</c:v>
                </c:pt>
                <c:pt idx="8">
                  <c:v>Diesel 2</c:v>
                </c:pt>
                <c:pt idx="9">
                  <c:v>Bagazo</c:v>
                </c:pt>
                <c:pt idx="10">
                  <c:v>Biogás</c:v>
                </c:pt>
                <c:pt idx="11">
                  <c:v>Solar</c:v>
                </c:pt>
                <c:pt idx="12">
                  <c:v>Eólico</c:v>
                </c:pt>
              </c:strCache>
            </c:strRef>
          </c:cat>
          <c:val>
            <c:numRef>
              <c:f>'4. Tipo Recurso'!$J$6:$J$18</c:f>
              <c:numCache>
                <c:formatCode>_(* #,##0.00_);_(* \(#,##0.00\);_(* "-"??_);_(@_)</c:formatCode>
                <c:ptCount val="13"/>
                <c:pt idx="0">
                  <c:v>23050.792966868547</c:v>
                </c:pt>
                <c:pt idx="1">
                  <c:v>14435.954664174287</c:v>
                </c:pt>
                <c:pt idx="2">
                  <c:v>423.14189271958685</c:v>
                </c:pt>
                <c:pt idx="3">
                  <c:v>96.807928109412416</c:v>
                </c:pt>
                <c:pt idx="4">
                  <c:v>9.7034091828799998</c:v>
                </c:pt>
                <c:pt idx="5">
                  <c:v>669.04830616469349</c:v>
                </c:pt>
                <c:pt idx="6">
                  <c:v>123.17871459257152</c:v>
                </c:pt>
                <c:pt idx="7">
                  <c:v>1.6588649329540002</c:v>
                </c:pt>
                <c:pt idx="8">
                  <c:v>747.91930813769704</c:v>
                </c:pt>
                <c:pt idx="9">
                  <c:v>68.493101141239251</c:v>
                </c:pt>
                <c:pt idx="10">
                  <c:v>34.201907280696624</c:v>
                </c:pt>
                <c:pt idx="11">
                  <c:v>182.99948744017303</c:v>
                </c:pt>
                <c:pt idx="12">
                  <c:v>885.74689270594808</c:v>
                </c:pt>
              </c:numCache>
            </c:numRef>
          </c:val>
          <c:extLst>
            <c:ext xmlns:c16="http://schemas.microsoft.com/office/drawing/2014/chart" uri="{C3380CC4-5D6E-409C-BE32-E72D297353CC}">
              <c16:uniqueId val="{00000002-8B13-4332-A726-2B109FF68BD4}"/>
            </c:ext>
          </c:extLst>
        </c:ser>
        <c:dLbls>
          <c:showLegendKey val="0"/>
          <c:showVal val="0"/>
          <c:showCatName val="0"/>
          <c:showSerName val="0"/>
          <c:showPercent val="0"/>
          <c:showBubbleSize val="0"/>
        </c:dLbls>
        <c:gapWidth val="150"/>
        <c:axId val="368025984"/>
        <c:axId val="368027520"/>
      </c:barChart>
      <c:catAx>
        <c:axId val="368025984"/>
        <c:scaling>
          <c:orientation val="minMax"/>
        </c:scaling>
        <c:delete val="0"/>
        <c:axPos val="l"/>
        <c:numFmt formatCode="General" sourceLinked="1"/>
        <c:majorTickMark val="out"/>
        <c:minorTickMark val="none"/>
        <c:tickLblPos val="nextTo"/>
        <c:txPr>
          <a:bodyPr/>
          <a:lstStyle/>
          <a:p>
            <a:pPr>
              <a:defRPr sz="900">
                <a:latin typeface="Arial" panose="020B0604020202020204" pitchFamily="34" charset="0"/>
                <a:cs typeface="Arial" panose="020B0604020202020204" pitchFamily="34" charset="0"/>
              </a:defRPr>
            </a:pPr>
            <a:endParaRPr lang="es-PE"/>
          </a:p>
        </c:txPr>
        <c:crossAx val="368027520"/>
        <c:crosses val="autoZero"/>
        <c:auto val="1"/>
        <c:lblAlgn val="ctr"/>
        <c:lblOffset val="100"/>
        <c:noMultiLvlLbl val="0"/>
      </c:catAx>
      <c:valAx>
        <c:axId val="368027520"/>
        <c:scaling>
          <c:orientation val="minMax"/>
          <c:min val="0"/>
        </c:scaling>
        <c:delete val="0"/>
        <c:axPos val="b"/>
        <c:majorGridlines/>
        <c:title>
          <c:tx>
            <c:rich>
              <a:bodyPr/>
              <a:lstStyle/>
              <a:p>
                <a:pPr>
                  <a:defRPr>
                    <a:latin typeface="Arial" panose="020B0604020202020204" pitchFamily="34" charset="0"/>
                    <a:cs typeface="Arial" panose="020B0604020202020204" pitchFamily="34" charset="0"/>
                  </a:defRPr>
                </a:pPr>
                <a:r>
                  <a:rPr lang="en-US">
                    <a:latin typeface="Arial" panose="020B0604020202020204" pitchFamily="34" charset="0"/>
                    <a:cs typeface="Arial" panose="020B0604020202020204" pitchFamily="34" charset="0"/>
                  </a:rPr>
                  <a:t>GWh</a:t>
                </a:r>
              </a:p>
            </c:rich>
          </c:tx>
          <c:layout>
            <c:manualLayout>
              <c:xMode val="edge"/>
              <c:yMode val="edge"/>
              <c:x val="0.9389790582044838"/>
              <c:y val="0.95564724134947265"/>
            </c:manualLayout>
          </c:layout>
          <c:overlay val="0"/>
        </c:title>
        <c:numFmt formatCode="#,##0" sourceLinked="0"/>
        <c:majorTickMark val="out"/>
        <c:minorTickMark val="none"/>
        <c:tickLblPos val="nextTo"/>
        <c:txPr>
          <a:bodyPr/>
          <a:lstStyle/>
          <a:p>
            <a:pPr>
              <a:defRPr sz="900" b="1">
                <a:latin typeface="Arial" panose="020B0604020202020204" pitchFamily="34" charset="0"/>
                <a:cs typeface="Arial" panose="020B0604020202020204" pitchFamily="34" charset="0"/>
              </a:defRPr>
            </a:pPr>
            <a:endParaRPr lang="es-PE"/>
          </a:p>
        </c:txPr>
        <c:crossAx val="368025984"/>
        <c:crosses val="autoZero"/>
        <c:crossBetween val="between"/>
      </c:valAx>
    </c:plotArea>
    <c:legend>
      <c:legendPos val="t"/>
      <c:layout>
        <c:manualLayout>
          <c:xMode val="edge"/>
          <c:yMode val="edge"/>
          <c:x val="0.39651786496190561"/>
          <c:y val="1.1901978764461594E-2"/>
          <c:w val="0.25905436707010593"/>
          <c:h val="5.2517370639502972E-2"/>
        </c:manualLayout>
      </c:layout>
      <c:overlay val="0"/>
      <c:txPr>
        <a:bodyPr/>
        <a:lstStyle/>
        <a:p>
          <a:pPr>
            <a:defRPr sz="1050">
              <a:latin typeface="Arial" panose="020B0604020202020204" pitchFamily="34" charset="0"/>
              <a:cs typeface="Arial" panose="020B0604020202020204" pitchFamily="34" charset="0"/>
            </a:defRPr>
          </a:pPr>
          <a:endParaRPr lang="es-PE"/>
        </a:p>
      </c:txPr>
    </c:legend>
    <c:plotVisOnly val="1"/>
    <c:dispBlanksAs val="gap"/>
    <c:showDLblsOverMax val="0"/>
  </c:chart>
  <c:spPr>
    <a:ln>
      <a:noFill/>
    </a:ln>
  </c:spPr>
  <c:printSettings>
    <c:headerFooter>
      <c:oddHeader>&amp;R&amp;7Informe de la Operación Mensual - Abril 2019
INFSGI-MES-04-2019
15/05/2019
Versión: 01</c:oddHeader>
    </c:headerFooter>
    <c:pageMargins b="0.75" l="0.7" r="0.7" t="0.75" header="0.3" footer="0.3"/>
    <c:pageSetup orientation="portrait"/>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0169822609424212E-2"/>
          <c:y val="0.15981770600585485"/>
          <c:w val="0.89896686973108009"/>
          <c:h val="0.71546629536770046"/>
        </c:manualLayout>
      </c:layout>
      <c:barChart>
        <c:barDir val="col"/>
        <c:grouping val="clustered"/>
        <c:varyColors val="0"/>
        <c:ser>
          <c:idx val="2"/>
          <c:order val="0"/>
          <c:tx>
            <c:strRef>
              <c:f>'5. RER'!$J$5</c:f>
              <c:strCache>
                <c:ptCount val="1"/>
                <c:pt idx="0">
                  <c:v>2017</c:v>
                </c:pt>
              </c:strCache>
            </c:strRef>
          </c:tx>
          <c:spPr>
            <a:solidFill>
              <a:schemeClr val="accent6"/>
            </a:solidFill>
          </c:spPr>
          <c:invertIfNegative val="0"/>
          <c:cat>
            <c:strRef>
              <c:f>'5. RER'!$A$6:$A$10</c:f>
              <c:strCache>
                <c:ptCount val="5"/>
                <c:pt idx="0">
                  <c:v>Agua</c:v>
                </c:pt>
                <c:pt idx="1">
                  <c:v>Eólica</c:v>
                </c:pt>
                <c:pt idx="2">
                  <c:v>Solar</c:v>
                </c:pt>
                <c:pt idx="3">
                  <c:v>Bagazo</c:v>
                </c:pt>
                <c:pt idx="4">
                  <c:v>Biogás</c:v>
                </c:pt>
              </c:strCache>
            </c:strRef>
          </c:cat>
          <c:val>
            <c:numRef>
              <c:f>'5. RER'!$J$6:$J$10</c:f>
              <c:numCache>
                <c:formatCode>_(* #,##0.00_);_(* \(#,##0.00\);_(* "-"??_);_(@_)</c:formatCode>
                <c:ptCount val="5"/>
                <c:pt idx="0">
                  <c:v>837.63080848956031</c:v>
                </c:pt>
                <c:pt idx="1">
                  <c:v>885.74689270594808</c:v>
                </c:pt>
                <c:pt idx="2">
                  <c:v>182.99948744017303</c:v>
                </c:pt>
                <c:pt idx="3">
                  <c:v>68.493101141239251</c:v>
                </c:pt>
                <c:pt idx="4">
                  <c:v>34.201907280696624</c:v>
                </c:pt>
              </c:numCache>
            </c:numRef>
          </c:val>
          <c:extLst>
            <c:ext xmlns:c16="http://schemas.microsoft.com/office/drawing/2014/chart" uri="{C3380CC4-5D6E-409C-BE32-E72D297353CC}">
              <c16:uniqueId val="{00000000-A79F-4293-996B-D2B1954F3C70}"/>
            </c:ext>
          </c:extLst>
        </c:ser>
        <c:ser>
          <c:idx val="1"/>
          <c:order val="1"/>
          <c:tx>
            <c:strRef>
              <c:f>'5. RER'!$H$5</c:f>
              <c:strCache>
                <c:ptCount val="1"/>
                <c:pt idx="0">
                  <c:v>2018</c:v>
                </c:pt>
              </c:strCache>
            </c:strRef>
          </c:tx>
          <c:spPr>
            <a:solidFill>
              <a:srgbClr val="FF6600"/>
            </a:solidFill>
          </c:spPr>
          <c:invertIfNegative val="0"/>
          <c:cat>
            <c:strRef>
              <c:f>'5. RER'!$A$6:$A$10</c:f>
              <c:strCache>
                <c:ptCount val="5"/>
                <c:pt idx="0">
                  <c:v>Agua</c:v>
                </c:pt>
                <c:pt idx="1">
                  <c:v>Eólica</c:v>
                </c:pt>
                <c:pt idx="2">
                  <c:v>Solar</c:v>
                </c:pt>
                <c:pt idx="3">
                  <c:v>Bagazo</c:v>
                </c:pt>
                <c:pt idx="4">
                  <c:v>Biogás</c:v>
                </c:pt>
              </c:strCache>
            </c:strRef>
          </c:cat>
          <c:val>
            <c:numRef>
              <c:f>'5. RER'!$H$6:$H$10</c:f>
              <c:numCache>
                <c:formatCode>_(* #,##0.00_);_(* \(#,##0.00\);_(* "-"??_);_(@_)</c:formatCode>
                <c:ptCount val="5"/>
                <c:pt idx="0">
                  <c:v>1009.3157406700001</c:v>
                </c:pt>
                <c:pt idx="1">
                  <c:v>1214.5383555075</c:v>
                </c:pt>
                <c:pt idx="2">
                  <c:v>591.86199672000009</c:v>
                </c:pt>
                <c:pt idx="3">
                  <c:v>74.671573012499991</c:v>
                </c:pt>
                <c:pt idx="4">
                  <c:v>39.205938442499992</c:v>
                </c:pt>
              </c:numCache>
            </c:numRef>
          </c:val>
          <c:extLst>
            <c:ext xmlns:c16="http://schemas.microsoft.com/office/drawing/2014/chart" uri="{C3380CC4-5D6E-409C-BE32-E72D297353CC}">
              <c16:uniqueId val="{00000001-A79F-4293-996B-D2B1954F3C70}"/>
            </c:ext>
          </c:extLst>
        </c:ser>
        <c:ser>
          <c:idx val="0"/>
          <c:order val="2"/>
          <c:tx>
            <c:strRef>
              <c:f>'5. RER'!$G$5</c:f>
              <c:strCache>
                <c:ptCount val="1"/>
                <c:pt idx="0">
                  <c:v>2019</c:v>
                </c:pt>
              </c:strCache>
            </c:strRef>
          </c:tx>
          <c:spPr>
            <a:solidFill>
              <a:srgbClr val="0077A5"/>
            </a:solidFill>
          </c:spPr>
          <c:invertIfNegative val="0"/>
          <c:cat>
            <c:strRef>
              <c:f>'5. RER'!$A$6:$A$10</c:f>
              <c:strCache>
                <c:ptCount val="5"/>
                <c:pt idx="0">
                  <c:v>Agua</c:v>
                </c:pt>
                <c:pt idx="1">
                  <c:v>Eólica</c:v>
                </c:pt>
                <c:pt idx="2">
                  <c:v>Solar</c:v>
                </c:pt>
                <c:pt idx="3">
                  <c:v>Bagazo</c:v>
                </c:pt>
                <c:pt idx="4">
                  <c:v>Biogás</c:v>
                </c:pt>
              </c:strCache>
            </c:strRef>
          </c:cat>
          <c:val>
            <c:numRef>
              <c:f>'5. RER'!$G$6:$G$10</c:f>
              <c:numCache>
                <c:formatCode>_(* #,##0.00_);_(* \(#,##0.00\);_(* "-"??_);_(@_)</c:formatCode>
                <c:ptCount val="5"/>
                <c:pt idx="0">
                  <c:v>1423.4923259350003</c:v>
                </c:pt>
                <c:pt idx="1">
                  <c:v>1386.6491204849999</c:v>
                </c:pt>
                <c:pt idx="2">
                  <c:v>609.06993416249986</c:v>
                </c:pt>
                <c:pt idx="3">
                  <c:v>146.42427900750002</c:v>
                </c:pt>
                <c:pt idx="4">
                  <c:v>55.317468930000004</c:v>
                </c:pt>
              </c:numCache>
            </c:numRef>
          </c:val>
          <c:extLst>
            <c:ext xmlns:c16="http://schemas.microsoft.com/office/drawing/2014/chart" uri="{C3380CC4-5D6E-409C-BE32-E72D297353CC}">
              <c16:uniqueId val="{00000002-A79F-4293-996B-D2B1954F3C70}"/>
            </c:ext>
          </c:extLst>
        </c:ser>
        <c:dLbls>
          <c:showLegendKey val="0"/>
          <c:showVal val="0"/>
          <c:showCatName val="0"/>
          <c:showSerName val="0"/>
          <c:showPercent val="0"/>
          <c:showBubbleSize val="0"/>
        </c:dLbls>
        <c:gapWidth val="196"/>
        <c:overlap val="20"/>
        <c:axId val="368167168"/>
        <c:axId val="368168960"/>
      </c:barChart>
      <c:catAx>
        <c:axId val="368167168"/>
        <c:scaling>
          <c:orientation val="minMax"/>
        </c:scaling>
        <c:delete val="0"/>
        <c:axPos val="b"/>
        <c:numFmt formatCode="General" sourceLinked="1"/>
        <c:majorTickMark val="out"/>
        <c:minorTickMark val="none"/>
        <c:tickLblPos val="nextTo"/>
        <c:crossAx val="368168960"/>
        <c:crosses val="autoZero"/>
        <c:auto val="1"/>
        <c:lblAlgn val="ctr"/>
        <c:lblOffset val="100"/>
        <c:noMultiLvlLbl val="0"/>
      </c:catAx>
      <c:valAx>
        <c:axId val="368168960"/>
        <c:scaling>
          <c:orientation val="minMax"/>
        </c:scaling>
        <c:delete val="0"/>
        <c:axPos val="l"/>
        <c:majorGridlines/>
        <c:title>
          <c:tx>
            <c:rich>
              <a:bodyPr rot="0" vert="horz"/>
              <a:lstStyle/>
              <a:p>
                <a:pPr>
                  <a:defRPr/>
                </a:pPr>
                <a:r>
                  <a:rPr lang="en-US"/>
                  <a:t>GWh</a:t>
                </a:r>
              </a:p>
            </c:rich>
          </c:tx>
          <c:layout>
            <c:manualLayout>
              <c:xMode val="edge"/>
              <c:yMode val="edge"/>
              <c:x val="1.0560866413705003E-2"/>
              <c:y val="2.1702075970000703E-2"/>
            </c:manualLayout>
          </c:layout>
          <c:overlay val="0"/>
        </c:title>
        <c:numFmt formatCode="0" sourceLinked="0"/>
        <c:majorTickMark val="out"/>
        <c:minorTickMark val="none"/>
        <c:tickLblPos val="nextTo"/>
        <c:crossAx val="368167168"/>
        <c:crosses val="autoZero"/>
        <c:crossBetween val="between"/>
      </c:valAx>
    </c:plotArea>
    <c:legend>
      <c:legendPos val="r"/>
      <c:layout>
        <c:manualLayout>
          <c:xMode val="edge"/>
          <c:yMode val="edge"/>
          <c:x val="0.37288911017826071"/>
          <c:y val="2.1675243701162555E-2"/>
          <c:w val="0.31285035118154897"/>
          <c:h val="0.12612239487768262"/>
        </c:manualLayout>
      </c:layout>
      <c:overlay val="0"/>
    </c:legend>
    <c:plotVisOnly val="1"/>
    <c:dispBlanksAs val="gap"/>
    <c:showDLblsOverMax val="0"/>
  </c:chart>
  <c:spPr>
    <a:ln>
      <a:noFill/>
    </a:ln>
  </c:spPr>
  <c:txPr>
    <a:bodyPr/>
    <a:lstStyle/>
    <a:p>
      <a:pPr>
        <a:defRPr>
          <a:solidFill>
            <a:schemeClr val="tx1"/>
          </a:solidFill>
        </a:defRPr>
      </a:pPr>
      <a:endParaRPr lang="es-PE"/>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1"/>
    <c:plotArea>
      <c:layout>
        <c:manualLayout>
          <c:layoutTarget val="inner"/>
          <c:xMode val="edge"/>
          <c:yMode val="edge"/>
          <c:x val="5.8003517946640056E-2"/>
          <c:y val="0.16211650676735231"/>
          <c:w val="0.8136715116269877"/>
          <c:h val="0.77936843901915587"/>
        </c:manualLayout>
      </c:layout>
      <c:ofPieChart>
        <c:ofPieType val="pie"/>
        <c:varyColors val="1"/>
        <c:ser>
          <c:idx val="0"/>
          <c:order val="0"/>
          <c:explosion val="19"/>
          <c:dPt>
            <c:idx val="1"/>
            <c:bubble3D val="0"/>
            <c:spPr>
              <a:solidFill>
                <a:schemeClr val="accent5">
                  <a:lumMod val="75000"/>
                </a:schemeClr>
              </a:solidFill>
            </c:spPr>
            <c:extLst>
              <c:ext xmlns:c16="http://schemas.microsoft.com/office/drawing/2014/chart" uri="{C3380CC4-5D6E-409C-BE32-E72D297353CC}">
                <c16:uniqueId val="{00000001-2F1D-4EB5-A827-BDF01424F97A}"/>
              </c:ext>
            </c:extLst>
          </c:dPt>
          <c:dPt>
            <c:idx val="2"/>
            <c:bubble3D val="0"/>
            <c:spPr>
              <a:solidFill>
                <a:srgbClr val="6DA6D9"/>
              </a:solidFill>
              <a:effectLst>
                <a:outerShdw blurRad="50800" dist="50800" dir="5400000" algn="ctr" rotWithShape="0">
                  <a:srgbClr val="6DA6D9"/>
                </a:outerShdw>
              </a:effectLst>
            </c:spPr>
            <c:extLst>
              <c:ext xmlns:c16="http://schemas.microsoft.com/office/drawing/2014/chart" uri="{C3380CC4-5D6E-409C-BE32-E72D297353CC}">
                <c16:uniqueId val="{00000002-2F1D-4EB5-A827-BDF01424F97A}"/>
              </c:ext>
            </c:extLst>
          </c:dPt>
          <c:dPt>
            <c:idx val="4"/>
            <c:bubble3D val="0"/>
            <c:spPr>
              <a:solidFill>
                <a:schemeClr val="accent2"/>
              </a:solidFill>
            </c:spPr>
            <c:extLst>
              <c:ext xmlns:c16="http://schemas.microsoft.com/office/drawing/2014/chart" uri="{C3380CC4-5D6E-409C-BE32-E72D297353CC}">
                <c16:uniqueId val="{00000004-2F1D-4EB5-A827-BDF01424F97A}"/>
              </c:ext>
            </c:extLst>
          </c:dPt>
          <c:dLbls>
            <c:dLbl>
              <c:idx val="0"/>
              <c:layout>
                <c:manualLayout>
                  <c:x val="7.3503247505281019E-2"/>
                  <c:y val="-8.7357171498368164E-2"/>
                </c:manualLayout>
              </c:layout>
              <c:numFmt formatCode="0.000%" sourceLinked="0"/>
              <c:spPr>
                <a:noFill/>
                <a:ln>
                  <a:noFill/>
                </a:ln>
                <a:effectLst/>
              </c:spPr>
              <c:txPr>
                <a:bodyPr wrap="square" lIns="38100" tIns="19050" rIns="38100" bIns="19050" anchor="ctr">
                  <a:spAutoFit/>
                </a:bodyPr>
                <a:lstStyle/>
                <a:p>
                  <a:pPr>
                    <a:defRPr>
                      <a:solidFill>
                        <a:schemeClr val="bg1"/>
                      </a:solidFill>
                    </a:defRPr>
                  </a:pPr>
                  <a:endParaRPr lang="es-PE"/>
                </a:p>
              </c:txPr>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0-2F1D-4EB5-A827-BDF01424F97A}"/>
                </c:ext>
              </c:extLst>
            </c:dLbl>
            <c:dLbl>
              <c:idx val="1"/>
              <c:layout>
                <c:manualLayout>
                  <c:x val="7.7590956256493697E-3"/>
                  <c:y val="4.604846814123912E-2"/>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1-2F1D-4EB5-A827-BDF01424F97A}"/>
                </c:ext>
              </c:extLst>
            </c:dLbl>
            <c:dLbl>
              <c:idx val="2"/>
              <c:layout>
                <c:manualLayout>
                  <c:x val="-1.9874441997744324E-2"/>
                  <c:y val="5.9564873899273715E-2"/>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2-2F1D-4EB5-A827-BDF01424F97A}"/>
                </c:ext>
              </c:extLst>
            </c:dLbl>
            <c:dLbl>
              <c:idx val="3"/>
              <c:layout>
                <c:manualLayout>
                  <c:x val="3.6476848347670635E-2"/>
                  <c:y val="-8.0468710290554732E-2"/>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3-2F1D-4EB5-A827-BDF01424F97A}"/>
                </c:ext>
              </c:extLst>
            </c:dLbl>
            <c:dLbl>
              <c:idx val="4"/>
              <c:layout>
                <c:manualLayout>
                  <c:x val="3.2344229687901509E-2"/>
                  <c:y val="-9.1242759521285188E-2"/>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4-2F1D-4EB5-A827-BDF01424F97A}"/>
                </c:ext>
              </c:extLst>
            </c:dLbl>
            <c:dLbl>
              <c:idx val="5"/>
              <c:layout>
                <c:manualLayout>
                  <c:x val="2.4699144443246022E-2"/>
                  <c:y val="9.2404526335539444E-2"/>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5-2F1D-4EB5-A827-BDF01424F97A}"/>
                </c:ext>
              </c:extLst>
            </c:dLbl>
            <c:dLbl>
              <c:idx val="6"/>
              <c:layout>
                <c:manualLayout>
                  <c:x val="6.2722198975415436E-3"/>
                  <c:y val="-2.6207833484720149E-3"/>
                </c:manualLayout>
              </c:layout>
              <c:tx>
                <c:rich>
                  <a:bodyPr wrap="square" lIns="38100" tIns="19050" rIns="38100" bIns="19050" anchor="ctr">
                    <a:noAutofit/>
                  </a:bodyPr>
                  <a:lstStyle/>
                  <a:p>
                    <a:pPr>
                      <a:defRPr sz="800">
                        <a:latin typeface="Arial" panose="020B0604020202020204" pitchFamily="34" charset="0"/>
                        <a:cs typeface="Arial" panose="020B0604020202020204" pitchFamily="34" charset="0"/>
                      </a:defRPr>
                    </a:pPr>
                    <a:r>
                      <a:rPr lang="en-US" sz="800">
                        <a:latin typeface="Arial" panose="020B0604020202020204" pitchFamily="34" charset="0"/>
                        <a:cs typeface="Arial" panose="020B0604020202020204" pitchFamily="34" charset="0"/>
                      </a:rPr>
                      <a:t>RER
7,950%</a:t>
                    </a:r>
                  </a:p>
                </c:rich>
              </c:tx>
              <c:numFmt formatCode="0.000%" sourceLinked="0"/>
              <c:spPr>
                <a:noFill/>
                <a:ln>
                  <a:noFill/>
                </a:ln>
                <a:effectLst/>
              </c:spPr>
              <c:dLblPos val="bestFit"/>
              <c:showLegendKey val="0"/>
              <c:showVal val="0"/>
              <c:showCatName val="1"/>
              <c:showSerName val="0"/>
              <c:showPercent val="1"/>
              <c:showBubbleSize val="0"/>
              <c:separator>
</c:separator>
              <c:extLst>
                <c:ext xmlns:c15="http://schemas.microsoft.com/office/drawing/2012/chart" uri="{CE6537A1-D6FC-4f65-9D91-7224C49458BB}">
                  <c15:layout>
                    <c:manualLayout>
                      <c:w val="0.1422590973380618"/>
                      <c:h val="0.11875069614067454"/>
                    </c:manualLayout>
                  </c15:layout>
                </c:ext>
                <c:ext xmlns:c16="http://schemas.microsoft.com/office/drawing/2014/chart" uri="{C3380CC4-5D6E-409C-BE32-E72D297353CC}">
                  <c16:uniqueId val="{00000006-2F1D-4EB5-A827-BDF01424F97A}"/>
                </c:ext>
              </c:extLst>
            </c:dLbl>
            <c:numFmt formatCode="0.000%" sourceLinked="0"/>
            <c:spPr>
              <a:noFill/>
              <a:ln>
                <a:noFill/>
              </a:ln>
              <a:effectLst/>
            </c:spPr>
            <c:dLblPos val="bestFit"/>
            <c:showLegendKey val="0"/>
            <c:showVal val="0"/>
            <c:showCatName val="1"/>
            <c:showSerName val="0"/>
            <c:showPercent val="1"/>
            <c:showBubbleSize val="0"/>
            <c:separator>
</c:separator>
            <c:showLeaderLines val="1"/>
            <c:extLst>
              <c:ext xmlns:c15="http://schemas.microsoft.com/office/drawing/2012/chart" uri="{CE6537A1-D6FC-4f65-9D91-7224C49458BB}"/>
            </c:extLst>
          </c:dLbls>
          <c:cat>
            <c:strRef>
              <c:f>('5. RER'!$C$39,'5. RER'!$A$6:$A$10)</c:f>
              <c:strCache>
                <c:ptCount val="6"/>
                <c:pt idx="0">
                  <c:v>  PRODUCCIÓN TOTAL  SEIN :</c:v>
                </c:pt>
                <c:pt idx="1">
                  <c:v>Agua</c:v>
                </c:pt>
                <c:pt idx="2">
                  <c:v>Eólica</c:v>
                </c:pt>
                <c:pt idx="3">
                  <c:v>Solar</c:v>
                </c:pt>
                <c:pt idx="4">
                  <c:v>Bagazo</c:v>
                </c:pt>
                <c:pt idx="5">
                  <c:v>Biogás</c:v>
                </c:pt>
              </c:strCache>
            </c:strRef>
          </c:cat>
          <c:val>
            <c:numRef>
              <c:f>('5. RER'!$M$39,'5. RER'!$D$6:$D$10)</c:f>
              <c:numCache>
                <c:formatCode>_(* #,##0.00_);_(* \(#,##0.00\);_(* "-"??_);_(@_)</c:formatCode>
                <c:ptCount val="6"/>
                <c:pt idx="0" formatCode="0.00">
                  <c:v>4082.2106027575005</c:v>
                </c:pt>
                <c:pt idx="1">
                  <c:v>135.06042953500003</c:v>
                </c:pt>
                <c:pt idx="2">
                  <c:v>162.04094952</c:v>
                </c:pt>
                <c:pt idx="3">
                  <c:v>77.070130602500001</c:v>
                </c:pt>
                <c:pt idx="4">
                  <c:v>20.09909639</c:v>
                </c:pt>
                <c:pt idx="5">
                  <c:v>6.0872632750000006</c:v>
                </c:pt>
              </c:numCache>
            </c:numRef>
          </c:val>
          <c:extLst>
            <c:ext xmlns:c16="http://schemas.microsoft.com/office/drawing/2014/chart" uri="{C3380CC4-5D6E-409C-BE32-E72D297353CC}">
              <c16:uniqueId val="{00000007-2F1D-4EB5-A827-BDF01424F97A}"/>
            </c:ext>
          </c:extLst>
        </c:ser>
        <c:dLbls>
          <c:dLblPos val="bestFit"/>
          <c:showLegendKey val="0"/>
          <c:showVal val="0"/>
          <c:showCatName val="1"/>
          <c:showSerName val="0"/>
          <c:showPercent val="1"/>
          <c:showBubbleSize val="0"/>
          <c:showLeaderLines val="1"/>
        </c:dLbls>
        <c:gapWidth val="150"/>
        <c:splitType val="pos"/>
        <c:splitPos val="5"/>
        <c:secondPieSize val="75"/>
        <c:serLines/>
      </c:ofPieChart>
    </c:plotArea>
    <c:plotVisOnly val="1"/>
    <c:dispBlanksAs val="gap"/>
    <c:showDLblsOverMax val="0"/>
  </c:chart>
  <c:spPr>
    <a:noFill/>
    <a:ln>
      <a:noFill/>
    </a:ln>
  </c:sp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8.0337761820090295E-2"/>
          <c:y val="0.15413722949669401"/>
          <c:w val="0.87180267690761371"/>
          <c:h val="0.31539921760078976"/>
        </c:manualLayout>
      </c:layout>
      <c:barChart>
        <c:barDir val="col"/>
        <c:grouping val="clustered"/>
        <c:varyColors val="0"/>
        <c:ser>
          <c:idx val="0"/>
          <c:order val="0"/>
          <c:tx>
            <c:strRef>
              <c:f>'6. FP RER'!$O$5</c:f>
              <c:strCache>
                <c:ptCount val="1"/>
                <c:pt idx="0">
                  <c:v>Producción (GWh)</c:v>
                </c:pt>
              </c:strCache>
            </c:strRef>
          </c:tx>
          <c:spPr>
            <a:solidFill>
              <a:srgbClr val="0077A5"/>
            </a:solidFill>
          </c:spPr>
          <c:invertIfNegative val="0"/>
          <c:cat>
            <c:strRef>
              <c:f>'6. FP RER'!$L$6:$L$30</c:f>
              <c:strCache>
                <c:ptCount val="25"/>
                <c:pt idx="0">
                  <c:v>C.H. RENOVANDES H1</c:v>
                </c:pt>
                <c:pt idx="1">
                  <c:v>C.H. YARUCAYA</c:v>
                </c:pt>
                <c:pt idx="2">
                  <c:v>C.H. POTRERO</c:v>
                </c:pt>
                <c:pt idx="3">
                  <c:v>C.H. CARHUAC</c:v>
                </c:pt>
                <c:pt idx="4">
                  <c:v>C.H. RUNATULLO III</c:v>
                </c:pt>
                <c:pt idx="5">
                  <c:v>C.H. ÁNGEL II</c:v>
                </c:pt>
                <c:pt idx="6">
                  <c:v>C.H. ÁNGEL III</c:v>
                </c:pt>
                <c:pt idx="7">
                  <c:v>C.H. LA JOYA</c:v>
                </c:pt>
                <c:pt idx="8">
                  <c:v>C.H. ÁNGEL I</c:v>
                </c:pt>
                <c:pt idx="9">
                  <c:v>C.H. CARHUAQUERO IV</c:v>
                </c:pt>
                <c:pt idx="10">
                  <c:v>C.H. LAS PIZARRAS</c:v>
                </c:pt>
                <c:pt idx="11">
                  <c:v>C.H. RUNATULLO II</c:v>
                </c:pt>
                <c:pt idx="12">
                  <c:v>C.H. POECHOS II</c:v>
                </c:pt>
                <c:pt idx="13">
                  <c:v>C.H. HUASAHUASI II</c:v>
                </c:pt>
                <c:pt idx="14">
                  <c:v>C.H. ZAÑA</c:v>
                </c:pt>
                <c:pt idx="15">
                  <c:v>C.H. HUASAHUASI I</c:v>
                </c:pt>
                <c:pt idx="16">
                  <c:v>C.H. IMPERIAL</c:v>
                </c:pt>
                <c:pt idx="17">
                  <c:v>C.H. CAÑA BRAVA</c:v>
                </c:pt>
                <c:pt idx="18">
                  <c:v>C.H. YANAPAMPA</c:v>
                </c:pt>
                <c:pt idx="19">
                  <c:v>C.H. SANTA CRUZ II</c:v>
                </c:pt>
                <c:pt idx="20">
                  <c:v>C.H. SANTA CRUZ I</c:v>
                </c:pt>
                <c:pt idx="21">
                  <c:v>C.H. CANCHAYLLO</c:v>
                </c:pt>
                <c:pt idx="22">
                  <c:v>C.H. RONCADOR</c:v>
                </c:pt>
                <c:pt idx="23">
                  <c:v>C.H. HER 1</c:v>
                </c:pt>
                <c:pt idx="24">
                  <c:v>C.H. PURMACANA</c:v>
                </c:pt>
              </c:strCache>
            </c:strRef>
          </c:cat>
          <c:val>
            <c:numRef>
              <c:f>'6. FP RER'!$O$6:$O$30</c:f>
              <c:numCache>
                <c:formatCode>0.00</c:formatCode>
                <c:ptCount val="25"/>
                <c:pt idx="0">
                  <c:v>14.561900835000001</c:v>
                </c:pt>
                <c:pt idx="1">
                  <c:v>12.249863585</c:v>
                </c:pt>
                <c:pt idx="2">
                  <c:v>9.2458196400000006</c:v>
                </c:pt>
                <c:pt idx="3">
                  <c:v>8.9568569525000008</c:v>
                </c:pt>
                <c:pt idx="4">
                  <c:v>6.5979722525</c:v>
                </c:pt>
                <c:pt idx="5">
                  <c:v>6.2114726250000007</c:v>
                </c:pt>
                <c:pt idx="6">
                  <c:v>5.6433170725000004</c:v>
                </c:pt>
                <c:pt idx="7">
                  <c:v>5.3302760975000005</c:v>
                </c:pt>
                <c:pt idx="8">
                  <c:v>5.1013568325000005</c:v>
                </c:pt>
                <c:pt idx="9">
                  <c:v>4.9299513350000002</c:v>
                </c:pt>
                <c:pt idx="10">
                  <c:v>4.7817676999999996</c:v>
                </c:pt>
                <c:pt idx="11">
                  <c:v>4.6156257949999997</c:v>
                </c:pt>
                <c:pt idx="12">
                  <c:v>4.1339973125</c:v>
                </c:pt>
                <c:pt idx="13">
                  <c:v>3.2914324599999998</c:v>
                </c:pt>
                <c:pt idx="14">
                  <c:v>3.2163367274999999</c:v>
                </c:pt>
                <c:pt idx="15">
                  <c:v>3.2024353775000001</c:v>
                </c:pt>
                <c:pt idx="16">
                  <c:v>2.4540999999999999</c:v>
                </c:pt>
                <c:pt idx="17">
                  <c:v>2.2023130950000001</c:v>
                </c:pt>
                <c:pt idx="18">
                  <c:v>1.703283125</c:v>
                </c:pt>
                <c:pt idx="19">
                  <c:v>1.5336893574999999</c:v>
                </c:pt>
                <c:pt idx="20">
                  <c:v>1.3047591975000001</c:v>
                </c:pt>
                <c:pt idx="21">
                  <c:v>1.2097734025000002</c:v>
                </c:pt>
                <c:pt idx="22">
                  <c:v>0.90890776249999994</c:v>
                </c:pt>
                <c:pt idx="23">
                  <c:v>0.43065744</c:v>
                </c:pt>
                <c:pt idx="24">
                  <c:v>0.2409587225</c:v>
                </c:pt>
              </c:numCache>
            </c:numRef>
          </c:val>
          <c:extLst>
            <c:ext xmlns:c16="http://schemas.microsoft.com/office/drawing/2014/chart" uri="{C3380CC4-5D6E-409C-BE32-E72D297353CC}">
              <c16:uniqueId val="{00000000-8B01-40D4-963F-3A8E24E06936}"/>
            </c:ext>
          </c:extLst>
        </c:ser>
        <c:dLbls>
          <c:showLegendKey val="0"/>
          <c:showVal val="0"/>
          <c:showCatName val="0"/>
          <c:showSerName val="0"/>
          <c:showPercent val="0"/>
          <c:showBubbleSize val="0"/>
        </c:dLbls>
        <c:gapWidth val="170"/>
        <c:axId val="370133632"/>
        <c:axId val="370144000"/>
      </c:barChart>
      <c:lineChart>
        <c:grouping val="standard"/>
        <c:varyColors val="0"/>
        <c:ser>
          <c:idx val="1"/>
          <c:order val="1"/>
          <c:tx>
            <c:strRef>
              <c:f>'6. FP RER'!$P$5</c:f>
              <c:strCache>
                <c:ptCount val="1"/>
                <c:pt idx="0">
                  <c:v>Factor de planta</c:v>
                </c:pt>
              </c:strCache>
            </c:strRef>
          </c:tx>
          <c:spPr>
            <a:ln w="15875">
              <a:solidFill>
                <a:schemeClr val="accent5">
                  <a:lumMod val="75000"/>
                </a:schemeClr>
              </a:solidFill>
            </a:ln>
          </c:spPr>
          <c:marker>
            <c:symbol val="circle"/>
            <c:size val="5"/>
            <c:spPr>
              <a:solidFill>
                <a:srgbClr val="3399FF"/>
              </a:solidFill>
              <a:ln>
                <a:solidFill>
                  <a:schemeClr val="bg1"/>
                </a:solidFill>
              </a:ln>
            </c:spPr>
          </c:marker>
          <c:cat>
            <c:strRef>
              <c:f>'6. FP RER'!$L$6:$L$30</c:f>
              <c:strCache>
                <c:ptCount val="25"/>
                <c:pt idx="0">
                  <c:v>C.H. RENOVANDES H1</c:v>
                </c:pt>
                <c:pt idx="1">
                  <c:v>C.H. YARUCAYA</c:v>
                </c:pt>
                <c:pt idx="2">
                  <c:v>C.H. POTRERO</c:v>
                </c:pt>
                <c:pt idx="3">
                  <c:v>C.H. CARHUAC</c:v>
                </c:pt>
                <c:pt idx="4">
                  <c:v>C.H. RUNATULLO III</c:v>
                </c:pt>
                <c:pt idx="5">
                  <c:v>C.H. ÁNGEL II</c:v>
                </c:pt>
                <c:pt idx="6">
                  <c:v>C.H. ÁNGEL III</c:v>
                </c:pt>
                <c:pt idx="7">
                  <c:v>C.H. LA JOYA</c:v>
                </c:pt>
                <c:pt idx="8">
                  <c:v>C.H. ÁNGEL I</c:v>
                </c:pt>
                <c:pt idx="9">
                  <c:v>C.H. CARHUAQUERO IV</c:v>
                </c:pt>
                <c:pt idx="10">
                  <c:v>C.H. LAS PIZARRAS</c:v>
                </c:pt>
                <c:pt idx="11">
                  <c:v>C.H. RUNATULLO II</c:v>
                </c:pt>
                <c:pt idx="12">
                  <c:v>C.H. POECHOS II</c:v>
                </c:pt>
                <c:pt idx="13">
                  <c:v>C.H. HUASAHUASI II</c:v>
                </c:pt>
                <c:pt idx="14">
                  <c:v>C.H. ZAÑA</c:v>
                </c:pt>
                <c:pt idx="15">
                  <c:v>C.H. HUASAHUASI I</c:v>
                </c:pt>
                <c:pt idx="16">
                  <c:v>C.H. IMPERIAL</c:v>
                </c:pt>
                <c:pt idx="17">
                  <c:v>C.H. CAÑA BRAVA</c:v>
                </c:pt>
                <c:pt idx="18">
                  <c:v>C.H. YANAPAMPA</c:v>
                </c:pt>
                <c:pt idx="19">
                  <c:v>C.H. SANTA CRUZ II</c:v>
                </c:pt>
                <c:pt idx="20">
                  <c:v>C.H. SANTA CRUZ I</c:v>
                </c:pt>
                <c:pt idx="21">
                  <c:v>C.H. CANCHAYLLO</c:v>
                </c:pt>
                <c:pt idx="22">
                  <c:v>C.H. RONCADOR</c:v>
                </c:pt>
                <c:pt idx="23">
                  <c:v>C.H. HER 1</c:v>
                </c:pt>
                <c:pt idx="24">
                  <c:v>C.H. PURMACANA</c:v>
                </c:pt>
              </c:strCache>
            </c:strRef>
          </c:cat>
          <c:val>
            <c:numRef>
              <c:f>'6. FP RER'!$P$6:$P$30</c:f>
              <c:numCache>
                <c:formatCode>0.00</c:formatCode>
                <c:ptCount val="25"/>
                <c:pt idx="0">
                  <c:v>0.99833957454072786</c:v>
                </c:pt>
                <c:pt idx="1">
                  <c:v>1</c:v>
                </c:pt>
                <c:pt idx="2">
                  <c:v>0.6244812530393905</c:v>
                </c:pt>
                <c:pt idx="3">
                  <c:v>0.60193931132392475</c:v>
                </c:pt>
                <c:pt idx="4">
                  <c:v>0.44416719797984522</c:v>
                </c:pt>
                <c:pt idx="5">
                  <c:v>0.41412467897945471</c:v>
                </c:pt>
                <c:pt idx="6">
                  <c:v>0.37624521786060972</c:v>
                </c:pt>
                <c:pt idx="7">
                  <c:v>0.92502899850406439</c:v>
                </c:pt>
                <c:pt idx="8">
                  <c:v>0.34011222268225166</c:v>
                </c:pt>
                <c:pt idx="9">
                  <c:v>0.66375625323803145</c:v>
                </c:pt>
                <c:pt idx="10">
                  <c:v>0.33475388023937669</c:v>
                </c:pt>
                <c:pt idx="11">
                  <c:v>0.31070256480989333</c:v>
                </c:pt>
                <c:pt idx="12">
                  <c:v>0.58085385748191953</c:v>
                </c:pt>
                <c:pt idx="13">
                  <c:v>0.43278892195412383</c:v>
                </c:pt>
                <c:pt idx="14">
                  <c:v>0.32750251787023466</c:v>
                </c:pt>
                <c:pt idx="15">
                  <c:v>0.43698970819005517</c:v>
                </c:pt>
                <c:pt idx="16">
                  <c:v>0.8321194514067467</c:v>
                </c:pt>
                <c:pt idx="17">
                  <c:v>0.52206318271036023</c:v>
                </c:pt>
                <c:pt idx="18">
                  <c:v>0.58458536160688379</c:v>
                </c:pt>
                <c:pt idx="19">
                  <c:v>0.27766843032695471</c:v>
                </c:pt>
                <c:pt idx="20">
                  <c:v>0.25204205214002912</c:v>
                </c:pt>
                <c:pt idx="21">
                  <c:v>0.3133627904199745</c:v>
                </c:pt>
                <c:pt idx="22">
                  <c:v>0.35104891333735017</c:v>
                </c:pt>
                <c:pt idx="23">
                  <c:v>0.82691520737327195</c:v>
                </c:pt>
                <c:pt idx="24">
                  <c:v>0.18895522209570773</c:v>
                </c:pt>
              </c:numCache>
            </c:numRef>
          </c:val>
          <c:smooth val="0"/>
          <c:extLst>
            <c:ext xmlns:c16="http://schemas.microsoft.com/office/drawing/2014/chart" uri="{C3380CC4-5D6E-409C-BE32-E72D297353CC}">
              <c16:uniqueId val="{00000001-8B01-40D4-963F-3A8E24E06936}"/>
            </c:ext>
          </c:extLst>
        </c:ser>
        <c:dLbls>
          <c:showLegendKey val="0"/>
          <c:showVal val="0"/>
          <c:showCatName val="0"/>
          <c:showSerName val="0"/>
          <c:showPercent val="0"/>
          <c:showBubbleSize val="0"/>
        </c:dLbls>
        <c:marker val="1"/>
        <c:smooth val="0"/>
        <c:axId val="869532416"/>
        <c:axId val="370145920"/>
      </c:lineChart>
      <c:catAx>
        <c:axId val="370133632"/>
        <c:scaling>
          <c:orientation val="minMax"/>
        </c:scaling>
        <c:delete val="0"/>
        <c:axPos val="b"/>
        <c:numFmt formatCode="General" sourceLinked="1"/>
        <c:majorTickMark val="out"/>
        <c:minorTickMark val="none"/>
        <c:tickLblPos val="nextTo"/>
        <c:txPr>
          <a:bodyPr/>
          <a:lstStyle/>
          <a:p>
            <a:pPr>
              <a:defRPr sz="500">
                <a:latin typeface="Arial" panose="020B0604020202020204" pitchFamily="34" charset="0"/>
                <a:cs typeface="Arial" panose="020B0604020202020204" pitchFamily="34" charset="0"/>
              </a:defRPr>
            </a:pPr>
            <a:endParaRPr lang="es-PE"/>
          </a:p>
        </c:txPr>
        <c:crossAx val="370144000"/>
        <c:crosses val="autoZero"/>
        <c:auto val="1"/>
        <c:lblAlgn val="ctr"/>
        <c:lblOffset val="100"/>
        <c:noMultiLvlLbl val="0"/>
      </c:catAx>
      <c:valAx>
        <c:axId val="370144000"/>
        <c:scaling>
          <c:orientation val="minMax"/>
        </c:scaling>
        <c:delete val="0"/>
        <c:axPos val="l"/>
        <c:majorGridlines>
          <c:spPr>
            <a:ln cap="flat" cmpd="sng">
              <a:solidFill>
                <a:schemeClr val="accent1">
                  <a:lumMod val="60000"/>
                  <a:lumOff val="40000"/>
                </a:schemeClr>
              </a:solidFill>
              <a:prstDash val="dash"/>
            </a:ln>
          </c:spPr>
        </c:majorGridlines>
        <c:title>
          <c:tx>
            <c:rich>
              <a:bodyPr rot="0" vert="horz"/>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GWh</a:t>
                </a:r>
              </a:p>
            </c:rich>
          </c:tx>
          <c:layout>
            <c:manualLayout>
              <c:xMode val="edge"/>
              <c:yMode val="edge"/>
              <c:x val="2.9859745285053755E-2"/>
              <c:y val="4.6627181001233073E-2"/>
            </c:manualLayout>
          </c:layout>
          <c:overlay val="0"/>
        </c:title>
        <c:numFmt formatCode="0.0" sourceLinked="0"/>
        <c:majorTickMark val="out"/>
        <c:minorTickMark val="none"/>
        <c:tickLblPos val="nextTo"/>
        <c:txPr>
          <a:bodyPr/>
          <a:lstStyle/>
          <a:p>
            <a:pPr>
              <a:defRPr sz="800" b="1">
                <a:latin typeface="Arial" panose="020B0604020202020204" pitchFamily="34" charset="0"/>
                <a:cs typeface="Arial" panose="020B0604020202020204" pitchFamily="34" charset="0"/>
              </a:defRPr>
            </a:pPr>
            <a:endParaRPr lang="es-PE"/>
          </a:p>
        </c:txPr>
        <c:crossAx val="370133632"/>
        <c:crosses val="autoZero"/>
        <c:crossBetween val="between"/>
        <c:majorUnit val="20"/>
        <c:minorUnit val="5"/>
      </c:valAx>
      <c:valAx>
        <c:axId val="370145920"/>
        <c:scaling>
          <c:orientation val="minMax"/>
          <c:max val="1.1000000000000001"/>
          <c:min val="0"/>
        </c:scaling>
        <c:delete val="0"/>
        <c:axPos val="r"/>
        <c:title>
          <c:tx>
            <c:rich>
              <a:bodyPr rot="0" vert="horz"/>
              <a:lstStyle/>
              <a:p>
                <a:pPr>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Factor</a:t>
                </a:r>
                <a:r>
                  <a:rPr lang="es-PA" sz="700" baseline="0">
                    <a:latin typeface="Arial" panose="020B0604020202020204" pitchFamily="34" charset="0"/>
                    <a:cs typeface="Arial" panose="020B0604020202020204" pitchFamily="34" charset="0"/>
                  </a:rPr>
                  <a:t> de Planta</a:t>
                </a:r>
                <a:endParaRPr lang="es-PA" sz="700">
                  <a:latin typeface="Arial" panose="020B0604020202020204" pitchFamily="34" charset="0"/>
                  <a:cs typeface="Arial" panose="020B0604020202020204" pitchFamily="34" charset="0"/>
                </a:endParaRPr>
              </a:p>
            </c:rich>
          </c:tx>
          <c:layout>
            <c:manualLayout>
              <c:xMode val="edge"/>
              <c:yMode val="edge"/>
              <c:x val="0.87248792094806138"/>
              <c:y val="3.8413287598408064E-2"/>
            </c:manualLayout>
          </c:layout>
          <c:overlay val="0"/>
        </c:title>
        <c:numFmt formatCode="0.0" sourceLinked="0"/>
        <c:majorTickMark val="out"/>
        <c:minorTickMark val="none"/>
        <c:tickLblPos val="nextTo"/>
        <c:txPr>
          <a:bodyPr/>
          <a:lstStyle/>
          <a:p>
            <a:pPr>
              <a:defRPr sz="800" b="1">
                <a:solidFill>
                  <a:schemeClr val="accent1"/>
                </a:solidFill>
                <a:latin typeface="Arial" panose="020B0604020202020204" pitchFamily="34" charset="0"/>
                <a:cs typeface="Arial" panose="020B0604020202020204" pitchFamily="34" charset="0"/>
              </a:defRPr>
            </a:pPr>
            <a:endParaRPr lang="es-PE"/>
          </a:p>
        </c:txPr>
        <c:crossAx val="869532416"/>
        <c:crosses val="max"/>
        <c:crossBetween val="between"/>
      </c:valAx>
      <c:catAx>
        <c:axId val="869532416"/>
        <c:scaling>
          <c:orientation val="minMax"/>
        </c:scaling>
        <c:delete val="1"/>
        <c:axPos val="b"/>
        <c:title>
          <c:tx>
            <c:rich>
              <a:bodyPr/>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CENTRALES HIDROELÉCTRICAS</a:t>
                </a:r>
              </a:p>
            </c:rich>
          </c:tx>
          <c:layout>
            <c:manualLayout>
              <c:xMode val="edge"/>
              <c:yMode val="edge"/>
              <c:x val="0.39416759945853497"/>
              <c:y val="5.6277315714210099E-3"/>
            </c:manualLayout>
          </c:layout>
          <c:overlay val="0"/>
        </c:title>
        <c:numFmt formatCode="General" sourceLinked="1"/>
        <c:majorTickMark val="out"/>
        <c:minorTickMark val="none"/>
        <c:tickLblPos val="nextTo"/>
        <c:crossAx val="370145920"/>
        <c:crosses val="autoZero"/>
        <c:auto val="1"/>
        <c:lblAlgn val="ctr"/>
        <c:lblOffset val="100"/>
        <c:noMultiLvlLbl val="0"/>
      </c:catAx>
    </c:plotArea>
    <c:legend>
      <c:legendPos val="r"/>
      <c:layout>
        <c:manualLayout>
          <c:xMode val="edge"/>
          <c:yMode val="edge"/>
          <c:x val="0.20275069950399024"/>
          <c:y val="7.9777015214302111E-2"/>
          <c:w val="0.63910137634191533"/>
          <c:h val="8.1723030889469792E-2"/>
        </c:manualLayout>
      </c:layout>
      <c:overlay val="0"/>
      <c:spPr>
        <a:noFill/>
      </c:spPr>
      <c:txPr>
        <a:bodyPr/>
        <a:lstStyle/>
        <a:p>
          <a:pPr>
            <a:defRPr sz="800">
              <a:latin typeface="Arial" panose="020B0604020202020204" pitchFamily="34" charset="0"/>
              <a:cs typeface="Arial" panose="020B0604020202020204" pitchFamily="34" charset="0"/>
            </a:defRPr>
          </a:pPr>
          <a:endParaRPr lang="es-PE"/>
        </a:p>
      </c:txPr>
    </c:legend>
    <c:plotVisOnly val="1"/>
    <c:dispBlanksAs val="gap"/>
    <c:showDLblsOverMax val="0"/>
  </c:chart>
  <c:spPr>
    <a:ln>
      <a:noFill/>
    </a:ln>
  </c:spPr>
  <c:printSettings>
    <c:headerFooter>
      <c:oddHeader>&amp;R&amp;7Informe de la Operación Mensual - Febrero 2018
INFSGI-MES-02-2018
08/03/2018
Versión: 01</c:oddHeader>
    </c:headerFooter>
    <c:pageMargins b="0.75" l="0.7" r="0.7" t="0.75" header="0.3" footer="0.3"/>
    <c:pageSetup orientation="portrait"/>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12.xml.rels><?xml version="1.0" encoding="UTF-8" standalone="yes"?>
<Relationships xmlns="http://schemas.openxmlformats.org/package/2006/relationships"><Relationship Id="rId2" Type="http://schemas.openxmlformats.org/officeDocument/2006/relationships/chart" Target="../charts/chart19.xml"/><Relationship Id="rId1" Type="http://schemas.openxmlformats.org/officeDocument/2006/relationships/chart" Target="../charts/chart18.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20.xml"/></Relationships>
</file>

<file path=xl/drawings/_rels/drawing14.xml.rels><?xml version="1.0" encoding="UTF-8" standalone="yes"?>
<Relationships xmlns="http://schemas.openxmlformats.org/package/2006/relationships"><Relationship Id="rId3" Type="http://schemas.openxmlformats.org/officeDocument/2006/relationships/chart" Target="../charts/chart23.xml"/><Relationship Id="rId2" Type="http://schemas.openxmlformats.org/officeDocument/2006/relationships/chart" Target="../charts/chart22.xml"/><Relationship Id="rId1" Type="http://schemas.openxmlformats.org/officeDocument/2006/relationships/chart" Target="../charts/chart21.xml"/></Relationships>
</file>

<file path=xl/drawings/_rels/drawing15.xml.rels><?xml version="1.0" encoding="UTF-8" standalone="yes"?>
<Relationships xmlns="http://schemas.openxmlformats.org/package/2006/relationships"><Relationship Id="rId3" Type="http://schemas.openxmlformats.org/officeDocument/2006/relationships/chart" Target="../charts/chart26.xml"/><Relationship Id="rId2" Type="http://schemas.openxmlformats.org/officeDocument/2006/relationships/chart" Target="../charts/chart25.xml"/><Relationship Id="rId1" Type="http://schemas.openxmlformats.org/officeDocument/2006/relationships/chart" Target="../charts/chart24.xml"/></Relationships>
</file>

<file path=xl/drawings/_rels/drawing16.xml.rels><?xml version="1.0" encoding="UTF-8" standalone="yes"?>
<Relationships xmlns="http://schemas.openxmlformats.org/package/2006/relationships"><Relationship Id="rId1" Type="http://schemas.openxmlformats.org/officeDocument/2006/relationships/image" Target="../media/image3.png"/></Relationships>
</file>

<file path=xl/drawings/_rels/drawing17.xml.rels><?xml version="1.0" encoding="UTF-8" standalone="yes"?>
<Relationships xmlns="http://schemas.openxmlformats.org/package/2006/relationships"><Relationship Id="rId1" Type="http://schemas.openxmlformats.org/officeDocument/2006/relationships/chart" Target="../charts/chart27.xml"/></Relationships>
</file>

<file path=xl/drawings/_rels/drawing18.xml.rels><?xml version="1.0" encoding="UTF-8" standalone="yes"?>
<Relationships xmlns="http://schemas.openxmlformats.org/package/2006/relationships"><Relationship Id="rId3" Type="http://schemas.openxmlformats.org/officeDocument/2006/relationships/chart" Target="../charts/chart30.xml"/><Relationship Id="rId2" Type="http://schemas.openxmlformats.org/officeDocument/2006/relationships/chart" Target="../charts/chart29.xml"/><Relationship Id="rId1" Type="http://schemas.openxmlformats.org/officeDocument/2006/relationships/chart" Target="../charts/chart28.xml"/></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0.xml.rels><?xml version="1.0" encoding="UTF-8" standalone="yes"?>
<Relationships xmlns="http://schemas.openxmlformats.org/package/2006/relationships"><Relationship Id="rId1" Type="http://schemas.openxmlformats.org/officeDocument/2006/relationships/image" Target="../media/image4.png"/></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1" Type="http://schemas.openxmlformats.org/officeDocument/2006/relationships/chart" Target="../charts/chart6.xml"/></Relationships>
</file>

<file path=xl/drawings/_rels/drawing6.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7.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chart" Target="../charts/chart9.xml"/><Relationship Id="rId5" Type="http://schemas.openxmlformats.org/officeDocument/2006/relationships/chart" Target="../charts/chart13.xml"/><Relationship Id="rId4" Type="http://schemas.openxmlformats.org/officeDocument/2006/relationships/chart" Target="../charts/chart12.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5.xml"/></Relationships>
</file>

<file path=xl/drawings/drawing1.xml><?xml version="1.0" encoding="utf-8"?>
<xdr:wsDr xmlns:xdr="http://schemas.openxmlformats.org/drawingml/2006/spreadsheetDrawing" xmlns:a="http://schemas.openxmlformats.org/drawingml/2006/main">
  <xdr:twoCellAnchor editAs="oneCell">
    <xdr:from>
      <xdr:col>0</xdr:col>
      <xdr:colOff>95251</xdr:colOff>
      <xdr:row>0</xdr:row>
      <xdr:rowOff>119062</xdr:rowOff>
    </xdr:from>
    <xdr:to>
      <xdr:col>11</xdr:col>
      <xdr:colOff>825915</xdr:colOff>
      <xdr:row>8</xdr:row>
      <xdr:rowOff>63182</xdr:rowOff>
    </xdr:to>
    <xdr:pic>
      <xdr:nvPicPr>
        <xdr:cNvPr id="7" name="Imagen 1">
          <a:extLst>
            <a:ext uri="{FF2B5EF4-FFF2-40B4-BE49-F238E27FC236}">
              <a16:creationId xmlns:a16="http://schemas.microsoft.com/office/drawing/2014/main" id="{EAF91BBF-A8A8-40E7-91E6-59A345370F78}"/>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5251" y="119062"/>
          <a:ext cx="7124838" cy="1070555"/>
        </a:xfrm>
        <a:prstGeom prst="rect">
          <a:avLst/>
        </a:prstGeom>
      </xdr:spPr>
    </xdr:pic>
    <xdr:clientData/>
  </xdr:twoCellAnchor>
  <xdr:twoCellAnchor editAs="oneCell">
    <xdr:from>
      <xdr:col>0</xdr:col>
      <xdr:colOff>199056</xdr:colOff>
      <xdr:row>56</xdr:row>
      <xdr:rowOff>93085</xdr:rowOff>
    </xdr:from>
    <xdr:to>
      <xdr:col>4</xdr:col>
      <xdr:colOff>221888</xdr:colOff>
      <xdr:row>64</xdr:row>
      <xdr:rowOff>76237</xdr:rowOff>
    </xdr:to>
    <xdr:pic>
      <xdr:nvPicPr>
        <xdr:cNvPr id="8" name="Imagen 2">
          <a:extLst>
            <a:ext uri="{FF2B5EF4-FFF2-40B4-BE49-F238E27FC236}">
              <a16:creationId xmlns:a16="http://schemas.microsoft.com/office/drawing/2014/main" id="{9F70DBBB-B250-4103-8680-77028133B234}"/>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99056" y="8197994"/>
          <a:ext cx="2170287" cy="1091516"/>
        </a:xfrm>
        <a:prstGeom prst="rect">
          <a:avLst/>
        </a:prstGeom>
      </xdr:spPr>
    </xdr:pic>
    <xdr:clientData/>
  </xdr:twoCellAnchor>
  <xdr:twoCellAnchor>
    <xdr:from>
      <xdr:col>0</xdr:col>
      <xdr:colOff>229466</xdr:colOff>
      <xdr:row>63</xdr:row>
      <xdr:rowOff>11907</xdr:rowOff>
    </xdr:from>
    <xdr:to>
      <xdr:col>11</xdr:col>
      <xdr:colOff>1073727</xdr:colOff>
      <xdr:row>69</xdr:row>
      <xdr:rowOff>71596</xdr:rowOff>
    </xdr:to>
    <xdr:sp macro="" textlink="">
      <xdr:nvSpPr>
        <xdr:cNvPr id="9" name="Cuadro de texto 152">
          <a:extLst>
            <a:ext uri="{FF2B5EF4-FFF2-40B4-BE49-F238E27FC236}">
              <a16:creationId xmlns:a16="http://schemas.microsoft.com/office/drawing/2014/main" id="{1967E96E-BB07-4374-B745-587D35821563}"/>
            </a:ext>
          </a:extLst>
        </xdr:cNvPr>
        <xdr:cNvSpPr txBox="1"/>
      </xdr:nvSpPr>
      <xdr:spPr>
        <a:xfrm>
          <a:off x="229466" y="9086634"/>
          <a:ext cx="7044170" cy="890962"/>
        </a:xfrm>
        <a:prstGeom prst="rect">
          <a:avLst/>
        </a:prstGeom>
        <a:noFill/>
        <a:ln w="6350">
          <a:noFill/>
        </a:ln>
        <a:effectLst/>
      </xdr:spPr>
      <xdr:style>
        <a:lnRef idx="0">
          <a:schemeClr val="accent1"/>
        </a:lnRef>
        <a:fillRef idx="0">
          <a:schemeClr val="accent1"/>
        </a:fillRef>
        <a:effectRef idx="0">
          <a:schemeClr val="accent1"/>
        </a:effectRef>
        <a:fontRef idx="minor">
          <a:schemeClr val="dk1"/>
        </a:fontRef>
      </xdr:style>
      <xdr:txBody>
        <a:bodyPr rot="0" spcFirstLastPara="0" vert="horz" wrap="square" lIns="1600200" tIns="0" rIns="685800" bIns="0" numCol="1" spcCol="0" rtlCol="0" fromWordArt="0" anchor="b" anchorCtr="0" forceAA="0" compatLnSpc="1">
          <a:prstTxWarp prst="textNoShape">
            <a:avLst/>
          </a:prstTxWarp>
          <a:noAutofit/>
        </a:bodyPr>
        <a:lstStyle/>
        <a:p>
          <a:pPr algn="r">
            <a:spcAft>
              <a:spcPts val="0"/>
            </a:spcAft>
          </a:pPr>
          <a:r>
            <a:rPr lang="es-PE" sz="1400">
              <a:solidFill>
                <a:srgbClr val="1F2532"/>
              </a:solidFill>
              <a:effectLst/>
              <a:ea typeface="Times New Roman" panose="02020603050405020304" pitchFamily="18" charset="0"/>
              <a:cs typeface="Times New Roman" panose="02020603050405020304" pitchFamily="18" charset="0"/>
            </a:rPr>
            <a:t>Lima, 18 de noviembre  de 2019</a:t>
          </a:r>
          <a:endParaRPr lang="es-PE" sz="1100">
            <a:effectLst/>
            <a:ea typeface="Times New Roman" panose="02020603050405020304" pitchFamily="18" charset="0"/>
            <a:cs typeface="Times New Roman" panose="02020603050405020304" pitchFamily="18" charset="0"/>
          </a:endParaRPr>
        </a:p>
        <a:p>
          <a:pPr algn="r">
            <a:spcAft>
              <a:spcPts val="0"/>
            </a:spcAft>
          </a:pPr>
          <a:r>
            <a:rPr lang="es-PE" sz="900">
              <a:solidFill>
                <a:srgbClr val="595959"/>
              </a:solidFill>
              <a:effectLst/>
              <a:ea typeface="Times New Roman" panose="02020603050405020304" pitchFamily="18" charset="0"/>
              <a:cs typeface="Times New Roman" panose="02020603050405020304" pitchFamily="18" charset="0"/>
            </a:rPr>
            <a:t> </a:t>
          </a:r>
          <a:endParaRPr lang="es-PE" sz="1100">
            <a:effectLst/>
            <a:ea typeface="Times New Roman" panose="02020603050405020304" pitchFamily="18" charset="0"/>
            <a:cs typeface="Times New Roman" panose="02020603050405020304" pitchFamily="18" charset="0"/>
          </a:endParaRPr>
        </a:p>
      </xdr:txBody>
    </xdr:sp>
    <xdr:clientData/>
  </xdr:twoCellAnchor>
  <xdr:twoCellAnchor>
    <xdr:from>
      <xdr:col>0</xdr:col>
      <xdr:colOff>0</xdr:colOff>
      <xdr:row>19</xdr:row>
      <xdr:rowOff>107156</xdr:rowOff>
    </xdr:from>
    <xdr:to>
      <xdr:col>11</xdr:col>
      <xdr:colOff>923925</xdr:colOff>
      <xdr:row>45</xdr:row>
      <xdr:rowOff>37306</xdr:rowOff>
    </xdr:to>
    <xdr:sp macro="" textlink="">
      <xdr:nvSpPr>
        <xdr:cNvPr id="10" name="Cuadro de texto 154">
          <a:extLst>
            <a:ext uri="{FF2B5EF4-FFF2-40B4-BE49-F238E27FC236}">
              <a16:creationId xmlns:a16="http://schemas.microsoft.com/office/drawing/2014/main" id="{F1CDB2F2-0DEF-4FE0-B8FB-31E831862350}"/>
            </a:ext>
          </a:extLst>
        </xdr:cNvPr>
        <xdr:cNvSpPr txBox="1"/>
      </xdr:nvSpPr>
      <xdr:spPr>
        <a:xfrm>
          <a:off x="0" y="2821781"/>
          <a:ext cx="7115175" cy="3644900"/>
        </a:xfrm>
        <a:prstGeom prst="rect">
          <a:avLst/>
        </a:prstGeom>
        <a:noFill/>
        <a:ln w="6350">
          <a:noFill/>
        </a:ln>
        <a:effectLst/>
      </xdr:spPr>
      <xdr:style>
        <a:lnRef idx="0">
          <a:schemeClr val="accent1"/>
        </a:lnRef>
        <a:fillRef idx="0">
          <a:schemeClr val="accent1"/>
        </a:fillRef>
        <a:effectRef idx="0">
          <a:schemeClr val="accent1"/>
        </a:effectRef>
        <a:fontRef idx="minor">
          <a:schemeClr val="dk1"/>
        </a:fontRef>
      </xdr:style>
      <xdr:txBody>
        <a:bodyPr rot="0" spcFirstLastPara="0" vert="horz" wrap="square" lIns="1600200" tIns="0" rIns="685800" bIns="0" numCol="1" spcCol="0" rtlCol="0" fromWordArt="0" anchor="b" anchorCtr="0" forceAA="0" compatLnSpc="1">
          <a:prstTxWarp prst="textNoShape">
            <a:avLst/>
          </a:prstTxWarp>
          <a:noAutofit/>
        </a:bodyPr>
        <a:lstStyle/>
        <a:p>
          <a:pPr algn="r">
            <a:lnSpc>
              <a:spcPct val="115000"/>
            </a:lnSpc>
            <a:spcAft>
              <a:spcPts val="1000"/>
            </a:spcAft>
          </a:pPr>
          <a:r>
            <a:rPr lang="es-PE" sz="4000">
              <a:solidFill>
                <a:srgbClr val="0077A5"/>
              </a:solidFill>
              <a:effectLst/>
              <a:ea typeface="Calibri" panose="020F0502020204030204" pitchFamily="34" charset="0"/>
              <a:cs typeface="Arial" panose="020B0604020202020204" pitchFamily="34" charset="0"/>
            </a:rPr>
            <a:t>INFORME MENSUAL DE OPERACIÓN   </a:t>
          </a:r>
          <a:endParaRPr lang="es-PE" sz="1400">
            <a:effectLst/>
            <a:ea typeface="Calibri" panose="020F0502020204030204" pitchFamily="34" charset="0"/>
            <a:cs typeface="Times New Roman" panose="02020603050405020304" pitchFamily="18" charset="0"/>
          </a:endParaRPr>
        </a:p>
        <a:p>
          <a:pPr algn="r">
            <a:lnSpc>
              <a:spcPct val="115000"/>
            </a:lnSpc>
            <a:spcAft>
              <a:spcPts val="1000"/>
            </a:spcAft>
          </a:pPr>
          <a:r>
            <a:rPr lang="es-PE" sz="2800" b="1" baseline="0">
              <a:solidFill>
                <a:srgbClr val="1F2532"/>
              </a:solidFill>
              <a:effectLst/>
              <a:ea typeface="Calibri" panose="020F0502020204030204" pitchFamily="34" charset="0"/>
              <a:cs typeface="Arial" panose="020B0604020202020204" pitchFamily="34" charset="0"/>
            </a:rPr>
            <a:t>Octubre </a:t>
          </a:r>
          <a:r>
            <a:rPr lang="es-PE" sz="2800" b="1">
              <a:solidFill>
                <a:srgbClr val="1F2532"/>
              </a:solidFill>
              <a:effectLst/>
              <a:ea typeface="Calibri" panose="020F0502020204030204" pitchFamily="34" charset="0"/>
              <a:cs typeface="Arial" panose="020B0604020202020204" pitchFamily="34" charset="0"/>
            </a:rPr>
            <a:t>2019</a:t>
          </a:r>
          <a:endParaRPr lang="es-PE" sz="1600" b="1">
            <a:effectLst/>
            <a:ea typeface="Calibri" panose="020F0502020204030204" pitchFamily="34" charset="0"/>
            <a:cs typeface="Times New Roman" panose="02020603050405020304" pitchFamily="18" charset="0"/>
          </a:endParaRPr>
        </a:p>
        <a:p>
          <a:pPr algn="r">
            <a:lnSpc>
              <a:spcPct val="115000"/>
            </a:lnSpc>
            <a:spcAft>
              <a:spcPts val="1000"/>
            </a:spcAft>
          </a:pPr>
          <a:r>
            <a:rPr lang="es-PE" sz="3200">
              <a:solidFill>
                <a:srgbClr val="4F81BD"/>
              </a:solidFill>
              <a:effectLst/>
              <a:ea typeface="Calibri" panose="020F0502020204030204" pitchFamily="34" charset="0"/>
              <a:cs typeface="Times New Roman" panose="02020603050405020304" pitchFamily="18" charset="0"/>
            </a:rPr>
            <a:t> </a:t>
          </a:r>
          <a:endParaRPr lang="es-PE" sz="1100">
            <a:effectLst/>
            <a:ea typeface="Calibri" panose="020F0502020204030204" pitchFamily="34" charset="0"/>
            <a:cs typeface="Times New Roman" panose="02020603050405020304" pitchFamily="18" charset="0"/>
          </a:endParaRPr>
        </a:p>
        <a:p>
          <a:pPr algn="r">
            <a:lnSpc>
              <a:spcPct val="115000"/>
            </a:lnSpc>
            <a:spcAft>
              <a:spcPts val="1000"/>
            </a:spcAft>
          </a:pPr>
          <a:r>
            <a:rPr lang="es-PE" sz="1800" cap="small">
              <a:solidFill>
                <a:srgbClr val="404040"/>
              </a:solidFill>
              <a:effectLst/>
              <a:ea typeface="Calibri" panose="020F0502020204030204" pitchFamily="34" charset="0"/>
              <a:cs typeface="Times New Roman" panose="02020603050405020304" pitchFamily="18" charset="0"/>
            </a:rPr>
            <a:t> </a:t>
          </a:r>
          <a:endParaRPr lang="es-PE" sz="1100">
            <a:effectLst/>
            <a:ea typeface="Calibri" panose="020F0502020204030204" pitchFamily="34" charset="0"/>
            <a:cs typeface="Times New Roman" panose="02020603050405020304" pitchFamily="18" charset="0"/>
          </a:endParaRPr>
        </a:p>
      </xdr:txBody>
    </xdr:sp>
    <xdr:clientData/>
  </xdr:twoCellAnchor>
  <xdr:twoCellAnchor>
    <xdr:from>
      <xdr:col>3</xdr:col>
      <xdr:colOff>51954</xdr:colOff>
      <xdr:row>10</xdr:row>
      <xdr:rowOff>103908</xdr:rowOff>
    </xdr:from>
    <xdr:to>
      <xdr:col>11</xdr:col>
      <xdr:colOff>865909</xdr:colOff>
      <xdr:row>14</xdr:row>
      <xdr:rowOff>163598</xdr:rowOff>
    </xdr:to>
    <xdr:sp macro="" textlink="">
      <xdr:nvSpPr>
        <xdr:cNvPr id="11" name="Cuadro de texto 152">
          <a:extLst>
            <a:ext uri="{FF2B5EF4-FFF2-40B4-BE49-F238E27FC236}">
              <a16:creationId xmlns:a16="http://schemas.microsoft.com/office/drawing/2014/main" id="{FBC17519-0973-4EFC-8796-EF206022A705}"/>
            </a:ext>
          </a:extLst>
        </xdr:cNvPr>
        <xdr:cNvSpPr txBox="1"/>
      </xdr:nvSpPr>
      <xdr:spPr>
        <a:xfrm>
          <a:off x="1662545" y="1489363"/>
          <a:ext cx="5403273" cy="890962"/>
        </a:xfrm>
        <a:prstGeom prst="rect">
          <a:avLst/>
        </a:prstGeom>
        <a:noFill/>
        <a:ln w="6350">
          <a:noFill/>
        </a:ln>
        <a:effectLst/>
      </xdr:spPr>
      <xdr:style>
        <a:lnRef idx="0">
          <a:schemeClr val="accent1"/>
        </a:lnRef>
        <a:fillRef idx="0">
          <a:schemeClr val="accent1"/>
        </a:fillRef>
        <a:effectRef idx="0">
          <a:schemeClr val="accent1"/>
        </a:effectRef>
        <a:fontRef idx="minor">
          <a:schemeClr val="dk1"/>
        </a:fontRef>
      </xdr:style>
      <xdr:txBody>
        <a:bodyPr rot="0" spcFirstLastPara="0" vert="horz" wrap="square" lIns="1600200" tIns="0" rIns="685800" bIns="0" numCol="1" spcCol="0" rtlCol="0" fromWordArt="0" anchor="b" anchorCtr="0" forceAA="0" compatLnSpc="1">
          <a:prstTxWarp prst="textNoShape">
            <a:avLst/>
          </a:prstTxWarp>
          <a:noAutofit/>
        </a:bodyPr>
        <a:lstStyle/>
        <a:p>
          <a:pPr algn="r"/>
          <a:r>
            <a:rPr lang="es-PE" sz="1100" b="1" cap="all">
              <a:solidFill>
                <a:schemeClr val="dk1"/>
              </a:solidFill>
              <a:effectLst/>
              <a:latin typeface="+mn-lt"/>
              <a:ea typeface="+mn-ea"/>
              <a:cs typeface="+mn-cs"/>
            </a:rPr>
            <a:t>dirección EJECUTIVA</a:t>
          </a:r>
          <a:endParaRPr lang="es-PE" sz="1100">
            <a:solidFill>
              <a:schemeClr val="dk1"/>
            </a:solidFill>
            <a:effectLst/>
            <a:latin typeface="+mn-lt"/>
            <a:ea typeface="+mn-ea"/>
            <a:cs typeface="+mn-cs"/>
          </a:endParaRPr>
        </a:p>
        <a:p>
          <a:pPr algn="r"/>
          <a:r>
            <a:rPr lang="es-PE" sz="1100" b="1" cap="all">
              <a:solidFill>
                <a:schemeClr val="dk1"/>
              </a:solidFill>
              <a:effectLst/>
              <a:latin typeface="+mn-lt"/>
              <a:ea typeface="+mn-ea"/>
              <a:cs typeface="+mn-cs"/>
            </a:rPr>
            <a:t>SUB DIRECCIÓN DE GESTIÓN DE INFORMACIÓN</a:t>
          </a:r>
          <a:endParaRPr lang="es-PE" sz="1100">
            <a:solidFill>
              <a:schemeClr val="dk1"/>
            </a:solidFill>
            <a:effectLst/>
            <a:latin typeface="+mn-lt"/>
            <a:ea typeface="+mn-ea"/>
            <a:cs typeface="+mn-cs"/>
          </a:endParaRPr>
        </a:p>
        <a:p>
          <a:pPr algn="r" fontAlgn="auto"/>
          <a:r>
            <a:rPr lang="es-PE" sz="1100" b="1">
              <a:solidFill>
                <a:schemeClr val="dk1"/>
              </a:solidFill>
              <a:effectLst/>
              <a:latin typeface="+mn-lt"/>
              <a:ea typeface="+mn-ea"/>
              <a:cs typeface="+mn-cs"/>
            </a:rPr>
            <a:t> </a:t>
          </a:r>
          <a:endParaRPr lang="es-PE" sz="1100">
            <a:solidFill>
              <a:schemeClr val="dk1"/>
            </a:solidFill>
            <a:effectLst/>
            <a:latin typeface="+mn-lt"/>
            <a:ea typeface="+mn-ea"/>
            <a:cs typeface="+mn-cs"/>
          </a:endParaRPr>
        </a:p>
        <a:p>
          <a:pPr algn="r" fontAlgn="auto"/>
          <a:r>
            <a:rPr lang="es-PE" sz="1100" b="1">
              <a:solidFill>
                <a:schemeClr val="dk1"/>
              </a:solidFill>
              <a:effectLst/>
              <a:latin typeface="+mn-lt"/>
              <a:ea typeface="+mn-ea"/>
              <a:cs typeface="+mn-cs"/>
            </a:rPr>
            <a:t>INFSGI-MES-10-2019</a:t>
          </a:r>
          <a:r>
            <a:rPr lang="es-PE" sz="900">
              <a:solidFill>
                <a:srgbClr val="595959"/>
              </a:solidFill>
              <a:effectLst/>
              <a:ea typeface="Times New Roman" panose="02020603050405020304" pitchFamily="18" charset="0"/>
              <a:cs typeface="Times New Roman" panose="02020603050405020304" pitchFamily="18" charset="0"/>
            </a:rPr>
            <a:t> </a:t>
          </a:r>
          <a:endParaRPr lang="es-PE" sz="1100">
            <a:effectLst/>
            <a:ea typeface="Times New Roman" panose="02020603050405020304" pitchFamily="18" charset="0"/>
            <a:cs typeface="Times New Roman" panose="02020603050405020304" pitchFamily="18"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4</xdr:col>
      <xdr:colOff>194827</xdr:colOff>
      <xdr:row>3</xdr:row>
      <xdr:rowOff>12128</xdr:rowOff>
    </xdr:from>
    <xdr:to>
      <xdr:col>9</xdr:col>
      <xdr:colOff>571500</xdr:colOff>
      <xdr:row>64</xdr:row>
      <xdr:rowOff>105104</xdr:rowOff>
    </xdr:to>
    <xdr:graphicFrame macro="">
      <xdr:nvGraphicFramePr>
        <xdr:cNvPr id="2" name="Chart 1">
          <a:extLst>
            <a:ext uri="{FF2B5EF4-FFF2-40B4-BE49-F238E27FC236}">
              <a16:creationId xmlns:a16="http://schemas.microsoft.com/office/drawing/2014/main" id="{2F5930BE-0083-443A-8DB5-8B6199ECAB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0</xdr:col>
      <xdr:colOff>104775</xdr:colOff>
      <xdr:row>33</xdr:row>
      <xdr:rowOff>38100</xdr:rowOff>
    </xdr:from>
    <xdr:to>
      <xdr:col>8</xdr:col>
      <xdr:colOff>401081</xdr:colOff>
      <xdr:row>56</xdr:row>
      <xdr:rowOff>132522</xdr:rowOff>
    </xdr:to>
    <xdr:graphicFrame macro="">
      <xdr:nvGraphicFramePr>
        <xdr:cNvPr id="3" name="Chart 2">
          <a:extLst>
            <a:ext uri="{FF2B5EF4-FFF2-40B4-BE49-F238E27FC236}">
              <a16:creationId xmlns:a16="http://schemas.microsoft.com/office/drawing/2014/main" id="{5451F5E3-CEFB-41AE-B79A-D1167BCD2B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0</xdr:col>
      <xdr:colOff>97971</xdr:colOff>
      <xdr:row>2</xdr:row>
      <xdr:rowOff>70757</xdr:rowOff>
    </xdr:from>
    <xdr:to>
      <xdr:col>11</xdr:col>
      <xdr:colOff>466395</xdr:colOff>
      <xdr:row>24</xdr:row>
      <xdr:rowOff>47668</xdr:rowOff>
    </xdr:to>
    <xdr:graphicFrame macro="">
      <xdr:nvGraphicFramePr>
        <xdr:cNvPr id="2" name="Chart 1">
          <a:extLst>
            <a:ext uri="{FF2B5EF4-FFF2-40B4-BE49-F238E27FC236}">
              <a16:creationId xmlns:a16="http://schemas.microsoft.com/office/drawing/2014/main" id="{8FFE46AF-84B4-4D5A-9910-BC94653F72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151176</xdr:colOff>
      <xdr:row>29</xdr:row>
      <xdr:rowOff>87404</xdr:rowOff>
    </xdr:from>
    <xdr:to>
      <xdr:col>11</xdr:col>
      <xdr:colOff>439347</xdr:colOff>
      <xdr:row>61</xdr:row>
      <xdr:rowOff>141192</xdr:rowOff>
    </xdr:to>
    <xdr:graphicFrame macro="">
      <xdr:nvGraphicFramePr>
        <xdr:cNvPr id="3" name="Chart 2">
          <a:extLst>
            <a:ext uri="{FF2B5EF4-FFF2-40B4-BE49-F238E27FC236}">
              <a16:creationId xmlns:a16="http://schemas.microsoft.com/office/drawing/2014/main" id="{D0FF1D78-BCA7-4532-BE35-999AA6FF8B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0</xdr:col>
      <xdr:colOff>66261</xdr:colOff>
      <xdr:row>35</xdr:row>
      <xdr:rowOff>112797</xdr:rowOff>
    </xdr:from>
    <xdr:to>
      <xdr:col>8</xdr:col>
      <xdr:colOff>447259</xdr:colOff>
      <xdr:row>59</xdr:row>
      <xdr:rowOff>0</xdr:rowOff>
    </xdr:to>
    <xdr:graphicFrame macro="">
      <xdr:nvGraphicFramePr>
        <xdr:cNvPr id="2" name="Chart 1">
          <a:extLst>
            <a:ext uri="{FF2B5EF4-FFF2-40B4-BE49-F238E27FC236}">
              <a16:creationId xmlns:a16="http://schemas.microsoft.com/office/drawing/2014/main" id="{C66BFF51-9BC1-4A38-821D-3A2F883B63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0</xdr:col>
      <xdr:colOff>95250</xdr:colOff>
      <xdr:row>0</xdr:row>
      <xdr:rowOff>66261</xdr:rowOff>
    </xdr:from>
    <xdr:to>
      <xdr:col>11</xdr:col>
      <xdr:colOff>468923</xdr:colOff>
      <xdr:row>16</xdr:row>
      <xdr:rowOff>57978</xdr:rowOff>
    </xdr:to>
    <xdr:graphicFrame macro="">
      <xdr:nvGraphicFramePr>
        <xdr:cNvPr id="2" name="Chart 1">
          <a:extLst>
            <a:ext uri="{FF2B5EF4-FFF2-40B4-BE49-F238E27FC236}">
              <a16:creationId xmlns:a16="http://schemas.microsoft.com/office/drawing/2014/main" id="{211C5E77-3749-484C-A561-0669B35009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74543</xdr:colOff>
      <xdr:row>19</xdr:row>
      <xdr:rowOff>69271</xdr:rowOff>
    </xdr:from>
    <xdr:to>
      <xdr:col>11</xdr:col>
      <xdr:colOff>446942</xdr:colOff>
      <xdr:row>38</xdr:row>
      <xdr:rowOff>41413</xdr:rowOff>
    </xdr:to>
    <xdr:graphicFrame macro="">
      <xdr:nvGraphicFramePr>
        <xdr:cNvPr id="3" name="Chart 2">
          <a:extLst>
            <a:ext uri="{FF2B5EF4-FFF2-40B4-BE49-F238E27FC236}">
              <a16:creationId xmlns:a16="http://schemas.microsoft.com/office/drawing/2014/main" id="{B64A4EE7-D3B7-4CF8-87F2-A7B220EC70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36635</xdr:colOff>
      <xdr:row>42</xdr:row>
      <xdr:rowOff>137220</xdr:rowOff>
    </xdr:from>
    <xdr:to>
      <xdr:col>11</xdr:col>
      <xdr:colOff>478478</xdr:colOff>
      <xdr:row>63</xdr:row>
      <xdr:rowOff>25167</xdr:rowOff>
    </xdr:to>
    <xdr:graphicFrame macro="">
      <xdr:nvGraphicFramePr>
        <xdr:cNvPr id="4" name="Chart 3">
          <a:extLst>
            <a:ext uri="{FF2B5EF4-FFF2-40B4-BE49-F238E27FC236}">
              <a16:creationId xmlns:a16="http://schemas.microsoft.com/office/drawing/2014/main" id="{13ABC38A-D6C7-42A8-8759-22211189A3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xdr:from>
      <xdr:col>0</xdr:col>
      <xdr:colOff>137362</xdr:colOff>
      <xdr:row>10</xdr:row>
      <xdr:rowOff>50018</xdr:rowOff>
    </xdr:from>
    <xdr:to>
      <xdr:col>8</xdr:col>
      <xdr:colOff>446558</xdr:colOff>
      <xdr:row>19</xdr:row>
      <xdr:rowOff>82033</xdr:rowOff>
    </xdr:to>
    <xdr:graphicFrame macro="">
      <xdr:nvGraphicFramePr>
        <xdr:cNvPr id="2" name="Chart 1065">
          <a:extLst>
            <a:ext uri="{FF2B5EF4-FFF2-40B4-BE49-F238E27FC236}">
              <a16:creationId xmlns:a16="http://schemas.microsoft.com/office/drawing/2014/main" id="{E8187250-3A3D-4AED-BB7C-6120545264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153286</xdr:colOff>
      <xdr:row>28</xdr:row>
      <xdr:rowOff>118242</xdr:rowOff>
    </xdr:from>
    <xdr:to>
      <xdr:col>8</xdr:col>
      <xdr:colOff>395655</xdr:colOff>
      <xdr:row>38</xdr:row>
      <xdr:rowOff>132139</xdr:rowOff>
    </xdr:to>
    <xdr:graphicFrame macro="">
      <xdr:nvGraphicFramePr>
        <xdr:cNvPr id="3" name="Chart 1065">
          <a:extLst>
            <a:ext uri="{FF2B5EF4-FFF2-40B4-BE49-F238E27FC236}">
              <a16:creationId xmlns:a16="http://schemas.microsoft.com/office/drawing/2014/main" id="{0FDF652A-6C7D-44D3-85CC-32E9CD132B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107781</xdr:colOff>
      <xdr:row>47</xdr:row>
      <xdr:rowOff>134399</xdr:rowOff>
    </xdr:from>
    <xdr:to>
      <xdr:col>8</xdr:col>
      <xdr:colOff>361293</xdr:colOff>
      <xdr:row>56</xdr:row>
      <xdr:rowOff>153362</xdr:rowOff>
    </xdr:to>
    <xdr:graphicFrame macro="">
      <xdr:nvGraphicFramePr>
        <xdr:cNvPr id="4" name="Chart 1065">
          <a:extLst>
            <a:ext uri="{FF2B5EF4-FFF2-40B4-BE49-F238E27FC236}">
              <a16:creationId xmlns:a16="http://schemas.microsoft.com/office/drawing/2014/main" id="{8C6989A4-FEED-4356-BE4D-3A2EEF4FEC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6.xml><?xml version="1.0" encoding="utf-8"?>
<xdr:wsDr xmlns:xdr="http://schemas.openxmlformats.org/drawingml/2006/spreadsheetDrawing" xmlns:a="http://schemas.openxmlformats.org/drawingml/2006/main">
  <xdr:twoCellAnchor editAs="oneCell">
    <xdr:from>
      <xdr:col>0</xdr:col>
      <xdr:colOff>34461</xdr:colOff>
      <xdr:row>2</xdr:row>
      <xdr:rowOff>124457</xdr:rowOff>
    </xdr:from>
    <xdr:to>
      <xdr:col>11</xdr:col>
      <xdr:colOff>581309</xdr:colOff>
      <xdr:row>62</xdr:row>
      <xdr:rowOff>7935</xdr:rowOff>
    </xdr:to>
    <xdr:pic>
      <xdr:nvPicPr>
        <xdr:cNvPr id="2" name="Picture 1">
          <a:extLst>
            <a:ext uri="{FF2B5EF4-FFF2-40B4-BE49-F238E27FC236}">
              <a16:creationId xmlns:a16="http://schemas.microsoft.com/office/drawing/2014/main" id="{C9AB8E3E-E9A4-4F73-8C60-2384F9544643}"/>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8997" r="608" b="2063"/>
        <a:stretch/>
      </xdr:blipFill>
      <xdr:spPr>
        <a:xfrm>
          <a:off x="34461" y="605720"/>
          <a:ext cx="6507493" cy="8801886"/>
        </a:xfrm>
        <a:prstGeom prst="rect">
          <a:avLst/>
        </a:prstGeom>
      </xdr:spPr>
    </xdr:pic>
    <xdr:clientData/>
  </xdr:twoCellAnchor>
  <xdr:twoCellAnchor>
    <xdr:from>
      <xdr:col>3</xdr:col>
      <xdr:colOff>414443</xdr:colOff>
      <xdr:row>21</xdr:row>
      <xdr:rowOff>130630</xdr:rowOff>
    </xdr:from>
    <xdr:to>
      <xdr:col>5</xdr:col>
      <xdr:colOff>272143</xdr:colOff>
      <xdr:row>24</xdr:row>
      <xdr:rowOff>99393</xdr:rowOff>
    </xdr:to>
    <xdr:sp macro="" textlink="'14. CMg'!N12">
      <xdr:nvSpPr>
        <xdr:cNvPr id="3" name="Speech Bubble: Rectangle with Corners Rounded 2">
          <a:extLst>
            <a:ext uri="{FF2B5EF4-FFF2-40B4-BE49-F238E27FC236}">
              <a16:creationId xmlns:a16="http://schemas.microsoft.com/office/drawing/2014/main" id="{67ABAB67-39A4-44E5-9DAE-25ACE73024F6}"/>
            </a:ext>
          </a:extLst>
        </xdr:cNvPr>
        <xdr:cNvSpPr/>
      </xdr:nvSpPr>
      <xdr:spPr>
        <a:xfrm>
          <a:off x="1981986" y="3292930"/>
          <a:ext cx="902728" cy="393306"/>
        </a:xfrm>
        <a:prstGeom prst="wedgeRoundRectCallout">
          <a:avLst>
            <a:gd name="adj1" fmla="val -32348"/>
            <a:gd name="adj2" fmla="val 91025"/>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7381A084-1A72-4AC5-BA94-9B74043A2443}" type="TxLink">
            <a:rPr lang="en-US" sz="500" b="1" i="0" u="none" strike="noStrike">
              <a:solidFill>
                <a:srgbClr val="000000"/>
              </a:solidFill>
              <a:latin typeface="Arial"/>
              <a:cs typeface="Arial"/>
            </a:rPr>
            <a:pPr algn="ctr"/>
            <a:t>CAJAMARCA 220
(14.61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2</xdr:col>
      <xdr:colOff>442947</xdr:colOff>
      <xdr:row>18</xdr:row>
      <xdr:rowOff>141514</xdr:rowOff>
    </xdr:from>
    <xdr:to>
      <xdr:col>4</xdr:col>
      <xdr:colOff>370115</xdr:colOff>
      <xdr:row>21</xdr:row>
      <xdr:rowOff>80346</xdr:rowOff>
    </xdr:to>
    <xdr:sp macro="" textlink="'14. CMg'!N9">
      <xdr:nvSpPr>
        <xdr:cNvPr id="4" name="Speech Bubble: Rectangle with Corners Rounded 3">
          <a:extLst>
            <a:ext uri="{FF2B5EF4-FFF2-40B4-BE49-F238E27FC236}">
              <a16:creationId xmlns:a16="http://schemas.microsoft.com/office/drawing/2014/main" id="{F7E1CCDF-ADA1-4E54-A308-226B760916B3}"/>
            </a:ext>
          </a:extLst>
        </xdr:cNvPr>
        <xdr:cNvSpPr/>
      </xdr:nvSpPr>
      <xdr:spPr>
        <a:xfrm>
          <a:off x="1512990" y="2885525"/>
          <a:ext cx="997210" cy="364417"/>
        </a:xfrm>
        <a:prstGeom prst="wedgeRoundRectCallout">
          <a:avLst>
            <a:gd name="adj1" fmla="val -37274"/>
            <a:gd name="adj2" fmla="val 160642"/>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998D1ECC-8516-41FB-98A8-2875E7F9AC23}" type="TxLink">
            <a:rPr lang="en-US" sz="500" b="1" i="0" u="none" strike="noStrike">
              <a:solidFill>
                <a:srgbClr val="000000"/>
              </a:solidFill>
              <a:latin typeface="Arial"/>
              <a:cs typeface="Arial"/>
            </a:rPr>
            <a:pPr algn="ctr"/>
            <a:t>CHICLAYO 220
(14.76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4</xdr:col>
      <xdr:colOff>361789</xdr:colOff>
      <xdr:row>29</xdr:row>
      <xdr:rowOff>70135</xdr:rowOff>
    </xdr:from>
    <xdr:to>
      <xdr:col>6</xdr:col>
      <xdr:colOff>320737</xdr:colOff>
      <xdr:row>31</xdr:row>
      <xdr:rowOff>121043</xdr:rowOff>
    </xdr:to>
    <xdr:sp macro="" textlink="'14. CMg'!N11">
      <xdr:nvSpPr>
        <xdr:cNvPr id="5" name="Speech Bubble: Rectangle with Corners Rounded 4">
          <a:extLst>
            <a:ext uri="{FF2B5EF4-FFF2-40B4-BE49-F238E27FC236}">
              <a16:creationId xmlns:a16="http://schemas.microsoft.com/office/drawing/2014/main" id="{7F107DF1-6675-479F-9205-BD7BB155E82A}"/>
            </a:ext>
          </a:extLst>
        </xdr:cNvPr>
        <xdr:cNvSpPr/>
      </xdr:nvSpPr>
      <xdr:spPr>
        <a:xfrm>
          <a:off x="2491925" y="4404010"/>
          <a:ext cx="1024017" cy="336658"/>
        </a:xfrm>
        <a:prstGeom prst="wedgeRoundRectCallout">
          <a:avLst>
            <a:gd name="adj1" fmla="val -78232"/>
            <a:gd name="adj2" fmla="val 43838"/>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FA62392E-9A20-472B-BD2A-E82AFA93819D}" type="TxLink">
            <a:rPr lang="en-US" sz="500" b="1" i="0" u="none" strike="noStrike">
              <a:solidFill>
                <a:srgbClr val="000000"/>
              </a:solidFill>
              <a:latin typeface="Arial"/>
              <a:cs typeface="Arial"/>
            </a:rPr>
            <a:pPr algn="ctr"/>
            <a:t>CHIMBOTE1 138
(14.43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2</xdr:col>
      <xdr:colOff>103904</xdr:colOff>
      <xdr:row>14</xdr:row>
      <xdr:rowOff>95106</xdr:rowOff>
    </xdr:from>
    <xdr:to>
      <xdr:col>4</xdr:col>
      <xdr:colOff>97972</xdr:colOff>
      <xdr:row>17</xdr:row>
      <xdr:rowOff>59872</xdr:rowOff>
    </xdr:to>
    <xdr:sp macro="" textlink="'14. CMg'!N8">
      <xdr:nvSpPr>
        <xdr:cNvPr id="6" name="Speech Bubble: Rectangle with Corners Rounded 5">
          <a:extLst>
            <a:ext uri="{FF2B5EF4-FFF2-40B4-BE49-F238E27FC236}">
              <a16:creationId xmlns:a16="http://schemas.microsoft.com/office/drawing/2014/main" id="{A53B9E1D-484A-43D5-BAF4-E98D416072C4}"/>
            </a:ext>
          </a:extLst>
        </xdr:cNvPr>
        <xdr:cNvSpPr/>
      </xdr:nvSpPr>
      <xdr:spPr>
        <a:xfrm>
          <a:off x="1148933" y="2266806"/>
          <a:ext cx="1039096" cy="389309"/>
        </a:xfrm>
        <a:prstGeom prst="wedgeRoundRectCallout">
          <a:avLst>
            <a:gd name="adj1" fmla="val -34297"/>
            <a:gd name="adj2" fmla="val 121840"/>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83A878E5-8AAA-4FE5-B31D-9C6268F2A1DF}" type="TxLink">
            <a:rPr lang="en-US" sz="500" b="1" i="0" u="none" strike="noStrike">
              <a:solidFill>
                <a:srgbClr val="000000"/>
              </a:solidFill>
              <a:latin typeface="Arial"/>
              <a:cs typeface="Arial"/>
            </a:rPr>
            <a:pPr algn="ctr"/>
            <a:t>PIURA OESTE 220
 (14.89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7</xdr:col>
      <xdr:colOff>338419</xdr:colOff>
      <xdr:row>50</xdr:row>
      <xdr:rowOff>159054</xdr:rowOff>
    </xdr:from>
    <xdr:to>
      <xdr:col>9</xdr:col>
      <xdr:colOff>295819</xdr:colOff>
      <xdr:row>53</xdr:row>
      <xdr:rowOff>42347</xdr:rowOff>
    </xdr:to>
    <xdr:sp macro="" textlink="'14. CMg'!N28">
      <xdr:nvSpPr>
        <xdr:cNvPr id="7" name="Speech Bubble: Rectangle with Corners Rounded 6">
          <a:extLst>
            <a:ext uri="{FF2B5EF4-FFF2-40B4-BE49-F238E27FC236}">
              <a16:creationId xmlns:a16="http://schemas.microsoft.com/office/drawing/2014/main" id="{5B131BF2-B42E-4648-88BA-91844EE79775}"/>
            </a:ext>
          </a:extLst>
        </xdr:cNvPr>
        <xdr:cNvSpPr/>
      </xdr:nvSpPr>
      <xdr:spPr>
        <a:xfrm>
          <a:off x="4072219" y="7447040"/>
          <a:ext cx="1024200" cy="373150"/>
        </a:xfrm>
        <a:prstGeom prst="wedgeRoundRectCallout">
          <a:avLst>
            <a:gd name="adj1" fmla="val -33286"/>
            <a:gd name="adj2" fmla="val -143821"/>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E8F31B15-E60D-4B2D-92E6-05D357DCD552}" type="TxLink">
            <a:rPr lang="en-US" sz="500" b="1" i="0" u="none" strike="noStrike">
              <a:solidFill>
                <a:srgbClr val="000000"/>
              </a:solidFill>
              <a:latin typeface="Arial"/>
              <a:cs typeface="Arial"/>
            </a:rPr>
            <a:pPr algn="ctr"/>
            <a:t>COTARUSE 220
(14.31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8</xdr:col>
      <xdr:colOff>168518</xdr:colOff>
      <xdr:row>39</xdr:row>
      <xdr:rowOff>98134</xdr:rowOff>
    </xdr:from>
    <xdr:to>
      <xdr:col>10</xdr:col>
      <xdr:colOff>172645</xdr:colOff>
      <xdr:row>42</xdr:row>
      <xdr:rowOff>64241</xdr:rowOff>
    </xdr:to>
    <xdr:sp macro="" textlink="'14. CMg'!N27">
      <xdr:nvSpPr>
        <xdr:cNvPr id="8" name="Speech Bubble: Rectangle with Corners Rounded 7">
          <a:extLst>
            <a:ext uri="{FF2B5EF4-FFF2-40B4-BE49-F238E27FC236}">
              <a16:creationId xmlns:a16="http://schemas.microsoft.com/office/drawing/2014/main" id="{E15CC929-7D11-4FCD-8DE3-6C1F78BFE84B}"/>
            </a:ext>
          </a:extLst>
        </xdr:cNvPr>
        <xdr:cNvSpPr/>
      </xdr:nvSpPr>
      <xdr:spPr>
        <a:xfrm>
          <a:off x="4435718" y="5807691"/>
          <a:ext cx="1070927" cy="390650"/>
        </a:xfrm>
        <a:prstGeom prst="wedgeRoundRectCallout">
          <a:avLst>
            <a:gd name="adj1" fmla="val -14617"/>
            <a:gd name="adj2" fmla="val 169676"/>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40BD4262-5E9D-47EB-AAE0-6E960888513E}" type="TxLink">
            <a:rPr lang="en-US" sz="500" b="1" i="0" u="none" strike="noStrike">
              <a:solidFill>
                <a:srgbClr val="000000"/>
              </a:solidFill>
              <a:latin typeface="Arial"/>
              <a:cs typeface="Arial"/>
            </a:rPr>
            <a:pPr algn="ctr"/>
            <a:t>DOLORESPATA 138
(14.61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4</xdr:col>
      <xdr:colOff>258871</xdr:colOff>
      <xdr:row>25</xdr:row>
      <xdr:rowOff>42153</xdr:rowOff>
    </xdr:from>
    <xdr:to>
      <xdr:col>6</xdr:col>
      <xdr:colOff>193164</xdr:colOff>
      <xdr:row>28</xdr:row>
      <xdr:rowOff>5710</xdr:rowOff>
    </xdr:to>
    <xdr:sp macro="" textlink="'14. CMg'!N10">
      <xdr:nvSpPr>
        <xdr:cNvPr id="9" name="Speech Bubble: Rectangle with Corners Rounded 8">
          <a:extLst>
            <a:ext uri="{FF2B5EF4-FFF2-40B4-BE49-F238E27FC236}">
              <a16:creationId xmlns:a16="http://schemas.microsoft.com/office/drawing/2014/main" id="{81DBB3E9-57C8-4A46-BABA-6E70D45779C2}"/>
            </a:ext>
          </a:extLst>
        </xdr:cNvPr>
        <xdr:cNvSpPr/>
      </xdr:nvSpPr>
      <xdr:spPr>
        <a:xfrm>
          <a:off x="2398956" y="3779196"/>
          <a:ext cx="1004336" cy="389142"/>
        </a:xfrm>
        <a:prstGeom prst="wedgeRoundRectCallout">
          <a:avLst>
            <a:gd name="adj1" fmla="val -86585"/>
            <a:gd name="adj2" fmla="val 70802"/>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76D1E97A-C909-4AFF-9C4D-D908C0F1EE90}" type="TxLink">
            <a:rPr lang="en-US" sz="500" b="1" i="0" u="none" strike="noStrike">
              <a:solidFill>
                <a:srgbClr val="000000"/>
              </a:solidFill>
              <a:latin typeface="Arial"/>
              <a:cs typeface="Arial"/>
            </a:rPr>
            <a:pPr algn="ctr"/>
            <a:t>TRUJILLO 220
(14.53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10</xdr:col>
      <xdr:colOff>49091</xdr:colOff>
      <xdr:row>54</xdr:row>
      <xdr:rowOff>16565</xdr:rowOff>
    </xdr:from>
    <xdr:to>
      <xdr:col>11</xdr:col>
      <xdr:colOff>350491</xdr:colOff>
      <xdr:row>56</xdr:row>
      <xdr:rowOff>97971</xdr:rowOff>
    </xdr:to>
    <xdr:sp macro="" textlink="'14. CMg'!N24">
      <xdr:nvSpPr>
        <xdr:cNvPr id="10" name="Speech Bubble: Rectangle with Corners Rounded 9">
          <a:extLst>
            <a:ext uri="{FF2B5EF4-FFF2-40B4-BE49-F238E27FC236}">
              <a16:creationId xmlns:a16="http://schemas.microsoft.com/office/drawing/2014/main" id="{214E5C4F-8D43-43A7-97E1-9AA2BF3C8650}"/>
            </a:ext>
          </a:extLst>
        </xdr:cNvPr>
        <xdr:cNvSpPr/>
      </xdr:nvSpPr>
      <xdr:spPr>
        <a:xfrm>
          <a:off x="5363038" y="8132868"/>
          <a:ext cx="948098" cy="402248"/>
        </a:xfrm>
        <a:prstGeom prst="wedgeRoundRectCallout">
          <a:avLst>
            <a:gd name="adj1" fmla="val -37839"/>
            <a:gd name="adj2" fmla="val -116190"/>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8D18D87A-D77D-4977-9BAC-E9BCC9C77DEF}" type="TxLink">
            <a:rPr lang="en-US" sz="500" b="1" i="0" u="none" strike="noStrike">
              <a:solidFill>
                <a:srgbClr val="000000"/>
              </a:solidFill>
              <a:latin typeface="Arial"/>
              <a:cs typeface="Arial"/>
            </a:rPr>
            <a:pPr algn="ctr"/>
            <a:t>PUNO 138
(14.97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3</xdr:col>
      <xdr:colOff>69468</xdr:colOff>
      <xdr:row>35</xdr:row>
      <xdr:rowOff>76200</xdr:rowOff>
    </xdr:from>
    <xdr:to>
      <xdr:col>5</xdr:col>
      <xdr:colOff>59415</xdr:colOff>
      <xdr:row>38</xdr:row>
      <xdr:rowOff>55645</xdr:rowOff>
    </xdr:to>
    <xdr:sp macro="" textlink="'14. CMg'!N16">
      <xdr:nvSpPr>
        <xdr:cNvPr id="11" name="Speech Bubble: Rectangle with Corners Rounded 10">
          <a:extLst>
            <a:ext uri="{FF2B5EF4-FFF2-40B4-BE49-F238E27FC236}">
              <a16:creationId xmlns:a16="http://schemas.microsoft.com/office/drawing/2014/main" id="{FB40B33F-6FC6-4838-AB5E-5A41CB90CC9A}"/>
            </a:ext>
          </a:extLst>
        </xdr:cNvPr>
        <xdr:cNvSpPr/>
      </xdr:nvSpPr>
      <xdr:spPr>
        <a:xfrm>
          <a:off x="1663652" y="5355055"/>
          <a:ext cx="1052737" cy="415590"/>
        </a:xfrm>
        <a:prstGeom prst="wedgeRoundRectCallout">
          <a:avLst>
            <a:gd name="adj1" fmla="val 60712"/>
            <a:gd name="adj2" fmla="val 137518"/>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976BDE4A-2122-465A-A177-E448596434B5}" type="TxLink">
            <a:rPr lang="en-US" sz="500" b="1" i="0" u="none" strike="noStrike">
              <a:solidFill>
                <a:srgbClr val="000000"/>
              </a:solidFill>
              <a:latin typeface="Arial"/>
              <a:cs typeface="Arial"/>
            </a:rPr>
            <a:pPr algn="ctr"/>
            <a:t>CARABAYLLO 220
(13.99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7</xdr:col>
      <xdr:colOff>234291</xdr:colOff>
      <xdr:row>54</xdr:row>
      <xdr:rowOff>122605</xdr:rowOff>
    </xdr:from>
    <xdr:to>
      <xdr:col>9</xdr:col>
      <xdr:colOff>122430</xdr:colOff>
      <xdr:row>57</xdr:row>
      <xdr:rowOff>48986</xdr:rowOff>
    </xdr:to>
    <xdr:sp macro="" textlink="'14. CMg'!N25">
      <xdr:nvSpPr>
        <xdr:cNvPr id="12" name="Speech Bubble: Rectangle with Corners Rounded 11">
          <a:extLst>
            <a:ext uri="{FF2B5EF4-FFF2-40B4-BE49-F238E27FC236}">
              <a16:creationId xmlns:a16="http://schemas.microsoft.com/office/drawing/2014/main" id="{8CCF5F66-5A05-41DF-BC1F-9362F6230CF6}"/>
            </a:ext>
          </a:extLst>
        </xdr:cNvPr>
        <xdr:cNvSpPr/>
      </xdr:nvSpPr>
      <xdr:spPr>
        <a:xfrm>
          <a:off x="3962030" y="8114946"/>
          <a:ext cx="953207" cy="406960"/>
        </a:xfrm>
        <a:prstGeom prst="wedgeRoundRectCallout">
          <a:avLst>
            <a:gd name="adj1" fmla="val 52217"/>
            <a:gd name="adj2" fmla="val -76735"/>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BE0F3895-4B39-491F-807B-919B73922889}" type="TxLink">
            <a:rPr lang="en-US" sz="500" b="1" i="0" u="none" strike="noStrike">
              <a:solidFill>
                <a:srgbClr val="000000"/>
              </a:solidFill>
              <a:latin typeface="Arial"/>
              <a:cs typeface="Arial"/>
            </a:rPr>
            <a:pPr algn="ctr"/>
            <a:t>SOCABAYA 220
(14.82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10</xdr:col>
      <xdr:colOff>213268</xdr:colOff>
      <xdr:row>41</xdr:row>
      <xdr:rowOff>82984</xdr:rowOff>
    </xdr:from>
    <xdr:to>
      <xdr:col>11</xdr:col>
      <xdr:colOff>556852</xdr:colOff>
      <xdr:row>44</xdr:row>
      <xdr:rowOff>40095</xdr:rowOff>
    </xdr:to>
    <xdr:sp macro="" textlink="'14. CMg'!N29">
      <xdr:nvSpPr>
        <xdr:cNvPr id="13" name="Speech Bubble: Rectangle with Corners Rounded 12">
          <a:extLst>
            <a:ext uri="{FF2B5EF4-FFF2-40B4-BE49-F238E27FC236}">
              <a16:creationId xmlns:a16="http://schemas.microsoft.com/office/drawing/2014/main" id="{30CE3C2D-191C-4775-AF75-832FFF2CFEF8}"/>
            </a:ext>
          </a:extLst>
        </xdr:cNvPr>
        <xdr:cNvSpPr/>
      </xdr:nvSpPr>
      <xdr:spPr>
        <a:xfrm>
          <a:off x="5538609" y="6131359"/>
          <a:ext cx="993016" cy="385736"/>
        </a:xfrm>
        <a:prstGeom prst="wedgeRoundRectCallout">
          <a:avLst>
            <a:gd name="adj1" fmla="val -51607"/>
            <a:gd name="adj2" fmla="val 124167"/>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3B445C51-4CB5-4987-A94F-D7BC1CE968D5}" type="TxLink">
            <a:rPr lang="en-US" sz="500" b="1" i="0" u="none" strike="noStrike">
              <a:solidFill>
                <a:srgbClr val="000000"/>
              </a:solidFill>
              <a:latin typeface="Arial"/>
              <a:cs typeface="Arial"/>
            </a:rPr>
            <a:pPr algn="ctr"/>
            <a:t>SAN GABAN 138
(14.12 USD/MWh)</a:t>
          </a:fld>
          <a:endParaRPr lang="es-PE" sz="600" b="1">
            <a:solidFill>
              <a:sysClr val="windowText" lastClr="000000"/>
            </a:solidFill>
            <a:latin typeface="Arial" panose="020B0604020202020204" pitchFamily="34" charset="0"/>
            <a:cs typeface="Arial" panose="020B0604020202020204" pitchFamily="34" charset="0"/>
          </a:endParaRPr>
        </a:p>
      </xdr:txBody>
    </xdr:sp>
    <xdr:clientData/>
  </xdr:twoCellAnchor>
  <xdr:twoCellAnchor>
    <xdr:from>
      <xdr:col>2</xdr:col>
      <xdr:colOff>468086</xdr:colOff>
      <xdr:row>42</xdr:row>
      <xdr:rowOff>70812</xdr:rowOff>
    </xdr:from>
    <xdr:to>
      <xdr:col>5</xdr:col>
      <xdr:colOff>48986</xdr:colOff>
      <xdr:row>45</xdr:row>
      <xdr:rowOff>54428</xdr:rowOff>
    </xdr:to>
    <xdr:sp macro="" textlink="'14. CMg'!N14">
      <xdr:nvSpPr>
        <xdr:cNvPr id="14" name="Speech Bubble: Rectangle with Corners Rounded 13">
          <a:extLst>
            <a:ext uri="{FF2B5EF4-FFF2-40B4-BE49-F238E27FC236}">
              <a16:creationId xmlns:a16="http://schemas.microsoft.com/office/drawing/2014/main" id="{47625F7A-47D1-4724-B8A8-84A0A48C443C}"/>
            </a:ext>
          </a:extLst>
        </xdr:cNvPr>
        <xdr:cNvSpPr/>
      </xdr:nvSpPr>
      <xdr:spPr>
        <a:xfrm>
          <a:off x="1534886" y="6204912"/>
          <a:ext cx="1181100" cy="408159"/>
        </a:xfrm>
        <a:prstGeom prst="wedgeRoundRectCallout">
          <a:avLst>
            <a:gd name="adj1" fmla="val 71802"/>
            <a:gd name="adj2" fmla="val -84492"/>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2314A294-1317-4E03-A84A-216F81C49F6F}" type="TxLink">
            <a:rPr lang="en-US" sz="500" b="1" i="0" u="none" strike="noStrike">
              <a:solidFill>
                <a:srgbClr val="000000"/>
              </a:solidFill>
              <a:latin typeface="Arial"/>
              <a:cs typeface="Arial"/>
            </a:rPr>
            <a:pPr algn="ctr"/>
            <a:t>CHAVARRIA 220
(14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5</xdr:col>
      <xdr:colOff>347226</xdr:colOff>
      <xdr:row>47</xdr:row>
      <xdr:rowOff>128091</xdr:rowOff>
    </xdr:from>
    <xdr:to>
      <xdr:col>7</xdr:col>
      <xdr:colOff>326427</xdr:colOff>
      <xdr:row>50</xdr:row>
      <xdr:rowOff>110750</xdr:rowOff>
    </xdr:to>
    <xdr:sp macro="" textlink="'14. CMg'!N15">
      <xdr:nvSpPr>
        <xdr:cNvPr id="15" name="Speech Bubble: Rectangle with Corners Rounded 14">
          <a:extLst>
            <a:ext uri="{FF2B5EF4-FFF2-40B4-BE49-F238E27FC236}">
              <a16:creationId xmlns:a16="http://schemas.microsoft.com/office/drawing/2014/main" id="{5A330F5B-AED0-4843-B1D1-58F2E3DC719E}"/>
            </a:ext>
          </a:extLst>
        </xdr:cNvPr>
        <xdr:cNvSpPr/>
      </xdr:nvSpPr>
      <xdr:spPr>
        <a:xfrm>
          <a:off x="3022332" y="6986091"/>
          <a:ext cx="1049244" cy="428510"/>
        </a:xfrm>
        <a:prstGeom prst="wedgeRoundRectCallout">
          <a:avLst>
            <a:gd name="adj1" fmla="val -32067"/>
            <a:gd name="adj2" fmla="val -102154"/>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09A59747-6588-404F-9B22-9064BA69CE71}" type="TxLink">
            <a:rPr lang="en-US" sz="500" b="1" i="0" u="none" strike="noStrike">
              <a:solidFill>
                <a:srgbClr val="000000"/>
              </a:solidFill>
              <a:latin typeface="Arial"/>
              <a:cs typeface="Arial"/>
            </a:rPr>
            <a:pPr algn="ctr"/>
            <a:t>INDEPENDENCIA 220
(14.05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5</xdr:col>
      <xdr:colOff>246968</xdr:colOff>
      <xdr:row>34</xdr:row>
      <xdr:rowOff>67019</xdr:rowOff>
    </xdr:from>
    <xdr:to>
      <xdr:col>7</xdr:col>
      <xdr:colOff>156559</xdr:colOff>
      <xdr:row>36</xdr:row>
      <xdr:rowOff>115613</xdr:rowOff>
    </xdr:to>
    <xdr:sp macro="" textlink="'14. CMg'!N20">
      <xdr:nvSpPr>
        <xdr:cNvPr id="16" name="Speech Bubble: Rectangle with Corners Rounded 15">
          <a:extLst>
            <a:ext uri="{FF2B5EF4-FFF2-40B4-BE49-F238E27FC236}">
              <a16:creationId xmlns:a16="http://schemas.microsoft.com/office/drawing/2014/main" id="{1C10942E-A8A6-4538-833C-3B2343922F45}"/>
            </a:ext>
          </a:extLst>
        </xdr:cNvPr>
        <xdr:cNvSpPr/>
      </xdr:nvSpPr>
      <xdr:spPr>
        <a:xfrm>
          <a:off x="2909638" y="5115269"/>
          <a:ext cx="974660" cy="334344"/>
        </a:xfrm>
        <a:prstGeom prst="wedgeRoundRectCallout">
          <a:avLst>
            <a:gd name="adj1" fmla="val -25939"/>
            <a:gd name="adj2" fmla="val 106312"/>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E4AA8072-7137-4D47-AEDE-E06480877674}" type="TxLink">
            <a:rPr lang="en-US" sz="500" b="1" i="0" u="none" strike="noStrike">
              <a:solidFill>
                <a:srgbClr val="000000"/>
              </a:solidFill>
              <a:latin typeface="Arial"/>
              <a:cs typeface="Arial"/>
            </a:rPr>
            <a:pPr algn="ctr"/>
            <a:t>OROYA NUEVA 50
(13.67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9</xdr:col>
      <xdr:colOff>517617</xdr:colOff>
      <xdr:row>48</xdr:row>
      <xdr:rowOff>106165</xdr:rowOff>
    </xdr:from>
    <xdr:to>
      <xdr:col>11</xdr:col>
      <xdr:colOff>375273</xdr:colOff>
      <xdr:row>51</xdr:row>
      <xdr:rowOff>34102</xdr:rowOff>
    </xdr:to>
    <xdr:sp macro="" textlink="'14. CMg'!N23">
      <xdr:nvSpPr>
        <xdr:cNvPr id="17" name="Speech Bubble: Rectangle with Corners Rounded 16">
          <a:extLst>
            <a:ext uri="{FF2B5EF4-FFF2-40B4-BE49-F238E27FC236}">
              <a16:creationId xmlns:a16="http://schemas.microsoft.com/office/drawing/2014/main" id="{D917D739-100B-404C-94D6-B3F72462476F}"/>
            </a:ext>
          </a:extLst>
        </xdr:cNvPr>
        <xdr:cNvSpPr/>
      </xdr:nvSpPr>
      <xdr:spPr>
        <a:xfrm>
          <a:off x="5318217" y="7089351"/>
          <a:ext cx="1038756" cy="396022"/>
        </a:xfrm>
        <a:prstGeom prst="wedgeRoundRectCallout">
          <a:avLst>
            <a:gd name="adj1" fmla="val -79222"/>
            <a:gd name="adj2" fmla="val -11405"/>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E735125C-FA35-4AC1-8D5E-D882ED7FB41A}" type="TxLink">
            <a:rPr lang="en-US" sz="500" b="1" i="0" u="none" strike="noStrike">
              <a:solidFill>
                <a:srgbClr val="000000"/>
              </a:solidFill>
              <a:effectLst/>
              <a:latin typeface="Arial"/>
              <a:cs typeface="Arial"/>
            </a:rPr>
            <a:pPr algn="ctr"/>
            <a:t>TINTAYA NUEVA 220
(15.37 USD/MWh)</a:t>
          </a:fld>
          <a:endParaRPr lang="es-PE" sz="600" b="1">
            <a:solidFill>
              <a:sysClr val="windowText" lastClr="000000"/>
            </a:solidFill>
            <a:effectLst/>
            <a:latin typeface="Arial" panose="020B0604020202020204" pitchFamily="34" charset="0"/>
            <a:cs typeface="Arial" panose="020B0604020202020204" pitchFamily="34" charset="0"/>
          </a:endParaRPr>
        </a:p>
      </xdr:txBody>
    </xdr:sp>
    <xdr:clientData/>
  </xdr:twoCellAnchor>
  <xdr:twoCellAnchor>
    <xdr:from>
      <xdr:col>6</xdr:col>
      <xdr:colOff>234911</xdr:colOff>
      <xdr:row>38</xdr:row>
      <xdr:rowOff>30353</xdr:rowOff>
    </xdr:from>
    <xdr:to>
      <xdr:col>8</xdr:col>
      <xdr:colOff>143457</xdr:colOff>
      <xdr:row>41</xdr:row>
      <xdr:rowOff>34883</xdr:rowOff>
    </xdr:to>
    <xdr:sp macro="" textlink="'14. CMg'!N19">
      <xdr:nvSpPr>
        <xdr:cNvPr id="18" name="Speech Bubble: Rectangle with Corners Rounded 17">
          <a:extLst>
            <a:ext uri="{FF2B5EF4-FFF2-40B4-BE49-F238E27FC236}">
              <a16:creationId xmlns:a16="http://schemas.microsoft.com/office/drawing/2014/main" id="{818FA3CD-5379-4AAE-BF6C-E9A70842C4FE}"/>
            </a:ext>
          </a:extLst>
        </xdr:cNvPr>
        <xdr:cNvSpPr/>
      </xdr:nvSpPr>
      <xdr:spPr>
        <a:xfrm>
          <a:off x="3430116" y="5650103"/>
          <a:ext cx="973614" cy="433155"/>
        </a:xfrm>
        <a:prstGeom prst="wedgeRoundRectCallout">
          <a:avLst>
            <a:gd name="adj1" fmla="val -76929"/>
            <a:gd name="adj2" fmla="val 6730"/>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77F15ACB-FB53-4BE7-819D-63AD2A64F485}" type="TxLink">
            <a:rPr lang="en-US" sz="500" b="1" i="0" u="none" strike="noStrike">
              <a:solidFill>
                <a:srgbClr val="000000"/>
              </a:solidFill>
              <a:latin typeface="Arial"/>
              <a:cs typeface="Arial"/>
            </a:rPr>
            <a:pPr algn="ctr"/>
            <a:t>POMACOCHA 220
(13.75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5</xdr:col>
      <xdr:colOff>407176</xdr:colOff>
      <xdr:row>41</xdr:row>
      <xdr:rowOff>118773</xdr:rowOff>
    </xdr:from>
    <xdr:to>
      <xdr:col>7</xdr:col>
      <xdr:colOff>428710</xdr:colOff>
      <xdr:row>44</xdr:row>
      <xdr:rowOff>76199</xdr:rowOff>
    </xdr:to>
    <xdr:sp macro="" textlink="'14. CMg'!N18">
      <xdr:nvSpPr>
        <xdr:cNvPr id="19" name="Speech Bubble: Rectangle with Corners Rounded 18">
          <a:extLst>
            <a:ext uri="{FF2B5EF4-FFF2-40B4-BE49-F238E27FC236}">
              <a16:creationId xmlns:a16="http://schemas.microsoft.com/office/drawing/2014/main" id="{B4617003-880D-404F-948F-ADC35BF849CD}"/>
            </a:ext>
          </a:extLst>
        </xdr:cNvPr>
        <xdr:cNvSpPr/>
      </xdr:nvSpPr>
      <xdr:spPr>
        <a:xfrm>
          <a:off x="3074176" y="6111359"/>
          <a:ext cx="1088334" cy="381969"/>
        </a:xfrm>
        <a:prstGeom prst="wedgeRoundRectCallout">
          <a:avLst>
            <a:gd name="adj1" fmla="val -69378"/>
            <a:gd name="adj2" fmla="val -58750"/>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2DDFEEF0-56D0-4014-8832-81D0F2D8219F}" type="TxLink">
            <a:rPr lang="en-US" sz="500" b="1" i="0" u="none" strike="noStrike">
              <a:solidFill>
                <a:srgbClr val="000000"/>
              </a:solidFill>
              <a:latin typeface="Arial"/>
              <a:cs typeface="Arial"/>
            </a:rPr>
            <a:pPr algn="ctr"/>
            <a:t>SAN JUAN 220
(13.89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2</xdr:col>
      <xdr:colOff>440872</xdr:colOff>
      <xdr:row>39</xdr:row>
      <xdr:rowOff>0</xdr:rowOff>
    </xdr:from>
    <xdr:to>
      <xdr:col>4</xdr:col>
      <xdr:colOff>321722</xdr:colOff>
      <xdr:row>41</xdr:row>
      <xdr:rowOff>101870</xdr:rowOff>
    </xdr:to>
    <xdr:sp macro="" textlink="'14. CMg'!N17">
      <xdr:nvSpPr>
        <xdr:cNvPr id="20" name="Speech Bubble: Rectangle with Corners Rounded 19">
          <a:extLst>
            <a:ext uri="{FF2B5EF4-FFF2-40B4-BE49-F238E27FC236}">
              <a16:creationId xmlns:a16="http://schemas.microsoft.com/office/drawing/2014/main" id="{C83DD751-0681-415C-9E7E-8C2D931E5A06}"/>
            </a:ext>
          </a:extLst>
        </xdr:cNvPr>
        <xdr:cNvSpPr/>
      </xdr:nvSpPr>
      <xdr:spPr>
        <a:xfrm>
          <a:off x="1485901" y="5709557"/>
          <a:ext cx="925878" cy="384899"/>
        </a:xfrm>
        <a:prstGeom prst="wedgeRoundRectCallout">
          <a:avLst>
            <a:gd name="adj1" fmla="val 90691"/>
            <a:gd name="adj2" fmla="val 31191"/>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B068C4B9-73E1-405C-8F26-A40D377650A7}" type="TxLink">
            <a:rPr lang="en-US" sz="500" b="1" i="0" u="none" strike="noStrike">
              <a:solidFill>
                <a:srgbClr val="000000"/>
              </a:solidFill>
              <a:latin typeface="Arial"/>
              <a:cs typeface="Arial"/>
            </a:rPr>
            <a:pPr algn="ctr"/>
            <a:t>SANTA ROSA 220
(13.98 USD/MWh)</a:t>
          </a:fld>
          <a:endParaRPr lang="es-PE" sz="600" b="1">
            <a:solidFill>
              <a:sysClr val="windowText" lastClr="000000"/>
            </a:solidFill>
            <a:latin typeface="Arial" panose="020B0604020202020204" pitchFamily="34" charset="0"/>
            <a:cs typeface="Arial" panose="020B0604020202020204" pitchFamily="34" charset="0"/>
          </a:endParaRPr>
        </a:p>
      </xdr:txBody>
    </xdr:sp>
    <xdr:clientData/>
  </xdr:twoCellAnchor>
  <xdr:twoCellAnchor>
    <xdr:from>
      <xdr:col>8</xdr:col>
      <xdr:colOff>230658</xdr:colOff>
      <xdr:row>58</xdr:row>
      <xdr:rowOff>12464</xdr:rowOff>
    </xdr:from>
    <xdr:to>
      <xdr:col>10</xdr:col>
      <xdr:colOff>192558</xdr:colOff>
      <xdr:row>60</xdr:row>
      <xdr:rowOff>60708</xdr:rowOff>
    </xdr:to>
    <xdr:sp macro="" textlink="'14. CMg'!N26">
      <xdr:nvSpPr>
        <xdr:cNvPr id="21" name="Speech Bubble: Rectangle with Corners Rounded 20">
          <a:extLst>
            <a:ext uri="{FF2B5EF4-FFF2-40B4-BE49-F238E27FC236}">
              <a16:creationId xmlns:a16="http://schemas.microsoft.com/office/drawing/2014/main" id="{55C09E2F-29F9-44C5-A62D-6A862EAA379B}"/>
            </a:ext>
          </a:extLst>
        </xdr:cNvPr>
        <xdr:cNvSpPr/>
      </xdr:nvSpPr>
      <xdr:spPr>
        <a:xfrm>
          <a:off x="4490931" y="8645578"/>
          <a:ext cx="1026968" cy="368630"/>
        </a:xfrm>
        <a:prstGeom prst="wedgeRoundRectCallout">
          <a:avLst>
            <a:gd name="adj1" fmla="val 14845"/>
            <a:gd name="adj2" fmla="val -135118"/>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CD0609F6-276D-4614-A22B-944B727A0920}" type="TxLink">
            <a:rPr lang="en-US" sz="500" b="1" i="0" u="none" strike="noStrike">
              <a:solidFill>
                <a:srgbClr val="000000"/>
              </a:solidFill>
              <a:effectLst/>
              <a:latin typeface="Arial"/>
              <a:cs typeface="Arial"/>
            </a:rPr>
            <a:pPr algn="ctr"/>
            <a:t>MOQUEGUA 138
(14.79 USD/MWh)</a:t>
          </a:fld>
          <a:endParaRPr lang="es-PE" sz="600" b="1">
            <a:solidFill>
              <a:sysClr val="windowText" lastClr="000000"/>
            </a:solidFill>
            <a:effectLst/>
            <a:latin typeface="Arial" panose="020B0604020202020204" pitchFamily="34" charset="0"/>
            <a:cs typeface="Arial" panose="020B0604020202020204" pitchFamily="34" charset="0"/>
          </a:endParaRP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0</xdr:col>
      <xdr:colOff>126628</xdr:colOff>
      <xdr:row>13</xdr:row>
      <xdr:rowOff>124238</xdr:rowOff>
    </xdr:from>
    <xdr:to>
      <xdr:col>7</xdr:col>
      <xdr:colOff>430696</xdr:colOff>
      <xdr:row>47</xdr:row>
      <xdr:rowOff>99391</xdr:rowOff>
    </xdr:to>
    <xdr:graphicFrame macro="">
      <xdr:nvGraphicFramePr>
        <xdr:cNvPr id="5" name="Chart 4">
          <a:extLst>
            <a:ext uri="{FF2B5EF4-FFF2-40B4-BE49-F238E27FC236}">
              <a16:creationId xmlns:a16="http://schemas.microsoft.com/office/drawing/2014/main" id="{E469304E-5D4F-4141-9D56-FCE3FAE349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8.xml><?xml version="1.0" encoding="utf-8"?>
<xdr:wsDr xmlns:xdr="http://schemas.openxmlformats.org/drawingml/2006/spreadsheetDrawing" xmlns:a="http://schemas.openxmlformats.org/drawingml/2006/main">
  <xdr:twoCellAnchor>
    <xdr:from>
      <xdr:col>0</xdr:col>
      <xdr:colOff>77391</xdr:colOff>
      <xdr:row>15</xdr:row>
      <xdr:rowOff>91435</xdr:rowOff>
    </xdr:from>
    <xdr:to>
      <xdr:col>3</xdr:col>
      <xdr:colOff>303966</xdr:colOff>
      <xdr:row>31</xdr:row>
      <xdr:rowOff>6042</xdr:rowOff>
    </xdr:to>
    <xdr:graphicFrame macro="">
      <xdr:nvGraphicFramePr>
        <xdr:cNvPr id="2" name="Chart 1">
          <a:extLst>
            <a:ext uri="{FF2B5EF4-FFF2-40B4-BE49-F238E27FC236}">
              <a16:creationId xmlns:a16="http://schemas.microsoft.com/office/drawing/2014/main" id="{F4029751-7DE8-414A-875E-C2C000CE12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773906</xdr:colOff>
      <xdr:row>38</xdr:row>
      <xdr:rowOff>5953</xdr:rowOff>
    </xdr:from>
    <xdr:to>
      <xdr:col>8</xdr:col>
      <xdr:colOff>71437</xdr:colOff>
      <xdr:row>52</xdr:row>
      <xdr:rowOff>83344</xdr:rowOff>
    </xdr:to>
    <xdr:graphicFrame macro="">
      <xdr:nvGraphicFramePr>
        <xdr:cNvPr id="4" name="Chart 3">
          <a:extLst>
            <a:ext uri="{FF2B5EF4-FFF2-40B4-BE49-F238E27FC236}">
              <a16:creationId xmlns:a16="http://schemas.microsoft.com/office/drawing/2014/main" id="{8433BC88-9C7F-4026-9B49-A3EBE81A37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299358</xdr:colOff>
      <xdr:row>17</xdr:row>
      <xdr:rowOff>54428</xdr:rowOff>
    </xdr:from>
    <xdr:to>
      <xdr:col>9</xdr:col>
      <xdr:colOff>527957</xdr:colOff>
      <xdr:row>34</xdr:row>
      <xdr:rowOff>43542</xdr:rowOff>
    </xdr:to>
    <xdr:graphicFrame macro="">
      <xdr:nvGraphicFramePr>
        <xdr:cNvPr id="6" name="Chart 5">
          <a:extLst>
            <a:ext uri="{FF2B5EF4-FFF2-40B4-BE49-F238E27FC236}">
              <a16:creationId xmlns:a16="http://schemas.microsoft.com/office/drawing/2014/main" id="{4732340D-8A1E-408D-BDF2-C4737F0ED7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9.xml><?xml version="1.0" encoding="utf-8"?>
<c:userShapes xmlns:c="http://schemas.openxmlformats.org/drawingml/2006/chart">
  <cdr:relSizeAnchor xmlns:cdr="http://schemas.openxmlformats.org/drawingml/2006/chartDrawing">
    <cdr:from>
      <cdr:x>0</cdr:x>
      <cdr:y>0.02413</cdr:y>
    </cdr:from>
    <cdr:to>
      <cdr:x>0.20733</cdr:x>
      <cdr:y>0.15135</cdr:y>
    </cdr:to>
    <cdr:sp macro="" textlink="">
      <cdr:nvSpPr>
        <cdr:cNvPr id="2" name="TextBox 1">
          <a:extLst xmlns:a="http://schemas.openxmlformats.org/drawingml/2006/main">
            <a:ext uri="{FF2B5EF4-FFF2-40B4-BE49-F238E27FC236}">
              <a16:creationId xmlns:a16="http://schemas.microsoft.com/office/drawing/2014/main" id="{DFF3655C-9740-40A5-8ADE-51C4A4D5E004}"/>
            </a:ext>
          </a:extLst>
        </cdr:cNvPr>
        <cdr:cNvSpPr txBox="1"/>
      </cdr:nvSpPr>
      <cdr:spPr>
        <a:xfrm xmlns:a="http://schemas.openxmlformats.org/drawingml/2006/main">
          <a:off x="0" y="48985"/>
          <a:ext cx="769624" cy="258278"/>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pPr marL="0" marR="0" lvl="0" indent="0" defTabSz="914400" rtl="0" eaLnBrk="1" fontAlgn="auto" latinLnBrk="0" hangingPunct="1">
            <a:lnSpc>
              <a:spcPct val="100000"/>
            </a:lnSpc>
            <a:spcBef>
              <a:spcPts val="0"/>
            </a:spcBef>
            <a:spcAft>
              <a:spcPts val="0"/>
            </a:spcAft>
            <a:buClrTx/>
            <a:buSzTx/>
            <a:buFontTx/>
            <a:buNone/>
            <a:tabLst/>
            <a:defRPr/>
          </a:pPr>
          <a:r>
            <a:rPr lang="en-US" sz="600" b="1" i="0" baseline="0">
              <a:effectLst/>
              <a:latin typeface="Arial" panose="020B0604020202020204" pitchFamily="34" charset="0"/>
              <a:ea typeface="+mn-ea"/>
              <a:cs typeface="Arial" panose="020B0604020202020204" pitchFamily="34" charset="0"/>
            </a:rPr>
            <a:t>N° DE FALLAS</a:t>
          </a:r>
          <a:endParaRPr lang="es-PE" sz="600">
            <a:effectLst/>
            <a:latin typeface="Arial" panose="020B0604020202020204" pitchFamily="34" charset="0"/>
            <a:cs typeface="Arial" panose="020B0604020202020204" pitchFamily="34" charset="0"/>
          </a:endParaRPr>
        </a:p>
        <a:p xmlns:a="http://schemas.openxmlformats.org/drawingml/2006/main">
          <a:endParaRPr lang="es-PE" sz="600">
            <a:latin typeface="Arial" panose="020B0604020202020204" pitchFamily="34" charset="0"/>
            <a:cs typeface="Arial" panose="020B0604020202020204" pitchFamily="34" charset="0"/>
          </a:endParaRPr>
        </a:p>
      </cdr:txBody>
    </cdr:sp>
  </cdr:relSizeAnchor>
</c:userShapes>
</file>

<file path=xl/drawings/drawing2.xml><?xml version="1.0" encoding="utf-8"?>
<xdr:wsDr xmlns:xdr="http://schemas.openxmlformats.org/drawingml/2006/spreadsheetDrawing" xmlns:a="http://schemas.openxmlformats.org/drawingml/2006/main">
  <xdr:twoCellAnchor>
    <xdr:from>
      <xdr:col>0</xdr:col>
      <xdr:colOff>36635</xdr:colOff>
      <xdr:row>20</xdr:row>
      <xdr:rowOff>87923</xdr:rowOff>
    </xdr:from>
    <xdr:to>
      <xdr:col>12</xdr:col>
      <xdr:colOff>504265</xdr:colOff>
      <xdr:row>45</xdr:row>
      <xdr:rowOff>95250</xdr:rowOff>
    </xdr:to>
    <xdr:graphicFrame macro="">
      <xdr:nvGraphicFramePr>
        <xdr:cNvPr id="10" name="Chart 9">
          <a:extLst>
            <a:ext uri="{FF2B5EF4-FFF2-40B4-BE49-F238E27FC236}">
              <a16:creationId xmlns:a16="http://schemas.microsoft.com/office/drawing/2014/main" id="{17A003BE-4956-463C-B2C4-7D66C09CAE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344364</xdr:colOff>
      <xdr:row>20</xdr:row>
      <xdr:rowOff>28574</xdr:rowOff>
    </xdr:from>
    <xdr:to>
      <xdr:col>12</xdr:col>
      <xdr:colOff>493058</xdr:colOff>
      <xdr:row>44</xdr:row>
      <xdr:rowOff>117231</xdr:rowOff>
    </xdr:to>
    <xdr:graphicFrame macro="">
      <xdr:nvGraphicFramePr>
        <xdr:cNvPr id="11" name="Chart 10">
          <a:extLst>
            <a:ext uri="{FF2B5EF4-FFF2-40B4-BE49-F238E27FC236}">
              <a16:creationId xmlns:a16="http://schemas.microsoft.com/office/drawing/2014/main" id="{F6636C7C-238C-4BD3-926C-30956C72EC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0.xml><?xml version="1.0" encoding="utf-8"?>
<xdr:wsDr xmlns:xdr="http://schemas.openxmlformats.org/drawingml/2006/spreadsheetDrawing" xmlns:a="http://schemas.openxmlformats.org/drawingml/2006/main">
  <xdr:twoCellAnchor>
    <xdr:from>
      <xdr:col>0</xdr:col>
      <xdr:colOff>28575</xdr:colOff>
      <xdr:row>7</xdr:row>
      <xdr:rowOff>52137</xdr:rowOff>
    </xdr:from>
    <xdr:to>
      <xdr:col>10</xdr:col>
      <xdr:colOff>485775</xdr:colOff>
      <xdr:row>50</xdr:row>
      <xdr:rowOff>130550</xdr:rowOff>
    </xdr:to>
    <xdr:sp macro="" textlink="">
      <xdr:nvSpPr>
        <xdr:cNvPr id="2" name="Text Box 2">
          <a:extLst>
            <a:ext uri="{FF2B5EF4-FFF2-40B4-BE49-F238E27FC236}">
              <a16:creationId xmlns:a16="http://schemas.microsoft.com/office/drawing/2014/main" id="{358BA265-FAD0-4375-B2AA-90BDC8FD5408}"/>
            </a:ext>
          </a:extLst>
        </xdr:cNvPr>
        <xdr:cNvSpPr txBox="1">
          <a:spLocks noChangeArrowheads="1"/>
        </xdr:cNvSpPr>
      </xdr:nvSpPr>
      <xdr:spPr bwMode="auto">
        <a:xfrm>
          <a:off x="28575" y="1052262"/>
          <a:ext cx="5695950" cy="6241088"/>
        </a:xfrm>
        <a:prstGeom prst="rect">
          <a:avLst/>
        </a:prstGeom>
        <a:solidFill>
          <a:schemeClr val="bg1">
            <a:alpha val="50196"/>
          </a:schemeClr>
        </a:solidFill>
        <a:ln w="9525">
          <a:solidFill>
            <a:schemeClr val="bg1"/>
          </a:solidFill>
          <a:miter lim="800000"/>
          <a:headEnd/>
          <a:tailEnd/>
        </a:ln>
      </xdr:spPr>
      <xdr:txBody>
        <a:bodyPr rot="0" vert="horz" wrap="square" lIns="91440" tIns="45720" rIns="91440" bIns="45720" anchor="t" anchorCtr="0">
          <a:noAutofit/>
        </a:bodyPr>
        <a:lstStyle/>
        <a:p>
          <a:pPr lvl="1" algn="l">
            <a:lnSpc>
              <a:spcPct val="100000"/>
            </a:lnSpc>
            <a:spcAft>
              <a:spcPts val="0"/>
            </a:spcAft>
          </a:pPr>
          <a:r>
            <a:rPr lang="en-GB" sz="1200" b="1">
              <a:effectLst/>
              <a:latin typeface="Arial" panose="020B0604020202020204" pitchFamily="34" charset="0"/>
              <a:ea typeface="Calibri"/>
              <a:cs typeface="Arial" panose="020B0604020202020204" pitchFamily="34" charset="0"/>
            </a:rPr>
            <a:t>Director Ejecutivo (e)</a:t>
          </a:r>
        </a:p>
        <a:p>
          <a:pPr lvl="1" algn="l">
            <a:lnSpc>
              <a:spcPct val="100000"/>
            </a:lnSpc>
            <a:spcAft>
              <a:spcPts val="0"/>
            </a:spcAft>
          </a:pPr>
          <a:r>
            <a:rPr lang="en-US" sz="1200">
              <a:effectLst/>
              <a:latin typeface="Arial" panose="020B0604020202020204" pitchFamily="34" charset="0"/>
              <a:ea typeface="Wingdings-Regular"/>
              <a:cs typeface="Arial" panose="020B0604020202020204" pitchFamily="34" charset="0"/>
            </a:rPr>
            <a:t>Ing. Leonardo Dejo Prado</a:t>
          </a:r>
        </a:p>
        <a:p>
          <a:pPr lvl="1" algn="l">
            <a:lnSpc>
              <a:spcPct val="100000"/>
            </a:lnSpc>
            <a:spcAft>
              <a:spcPts val="0"/>
            </a:spcAft>
          </a:pPr>
          <a:endParaRPr lang="it-IT" sz="1050" b="0">
            <a:effectLst/>
            <a:latin typeface="Arial" panose="020B0604020202020204" pitchFamily="34" charset="0"/>
            <a:ea typeface="Calibri"/>
            <a:cs typeface="Arial" panose="020B0604020202020204" pitchFamily="34" charset="0"/>
          </a:endParaRPr>
        </a:p>
        <a:p>
          <a:pPr lvl="1" algn="l">
            <a:lnSpc>
              <a:spcPct val="100000"/>
            </a:lnSpc>
            <a:spcAft>
              <a:spcPts val="0"/>
            </a:spcAft>
          </a:pPr>
          <a:r>
            <a:rPr lang="it-IT" sz="1100" b="0">
              <a:effectLst/>
              <a:latin typeface="Arial" panose="020B0604020202020204" pitchFamily="34" charset="0"/>
              <a:ea typeface="Calibri"/>
              <a:cs typeface="Arial" panose="020B0604020202020204" pitchFamily="34" charset="0"/>
            </a:rPr>
            <a:t>Revisado y Aprobado</a:t>
          </a:r>
          <a:r>
            <a:rPr lang="it-IT" sz="1100" b="0" baseline="0">
              <a:effectLst/>
              <a:latin typeface="Arial" panose="020B0604020202020204" pitchFamily="34" charset="0"/>
              <a:ea typeface="Calibri"/>
              <a:cs typeface="Arial" panose="020B0604020202020204" pitchFamily="34" charset="0"/>
            </a:rPr>
            <a:t> por:</a:t>
          </a:r>
          <a:endParaRPr lang="en-GB" sz="1100" b="0">
            <a:effectLst/>
            <a:latin typeface="Arial" panose="020B0604020202020204" pitchFamily="34" charset="0"/>
            <a:ea typeface="Calibri"/>
            <a:cs typeface="Arial" panose="020B0604020202020204" pitchFamily="34" charset="0"/>
          </a:endParaRPr>
        </a:p>
        <a:p>
          <a:pPr lvl="1" algn="l">
            <a:lnSpc>
              <a:spcPct val="100000"/>
            </a:lnSpc>
            <a:spcAft>
              <a:spcPts val="0"/>
            </a:spcAft>
          </a:pPr>
          <a:r>
            <a:rPr lang="es-PE" sz="1200" b="1">
              <a:effectLst/>
              <a:latin typeface="Arial" panose="020B0604020202020204" pitchFamily="34" charset="0"/>
              <a:ea typeface="Calibri"/>
              <a:cs typeface="Arial" panose="020B0604020202020204" pitchFamily="34" charset="0"/>
            </a:rPr>
            <a:t>Sub Director de Gestión de la Información (e) </a:t>
          </a:r>
          <a:endParaRPr lang="en-GB" sz="1200">
            <a:effectLst/>
            <a:latin typeface="Arial" panose="020B0604020202020204" pitchFamily="34" charset="0"/>
            <a:ea typeface="Calibri"/>
            <a:cs typeface="Arial" panose="020B0604020202020204" pitchFamily="34" charset="0"/>
          </a:endParaRPr>
        </a:p>
        <a:p>
          <a:pPr marL="457200" lvl="1" indent="0" algn="l">
            <a:lnSpc>
              <a:spcPct val="100000"/>
            </a:lnSpc>
            <a:spcAft>
              <a:spcPts val="0"/>
            </a:spcAft>
          </a:pPr>
          <a:r>
            <a:rPr lang="en-US" sz="1200">
              <a:effectLst/>
              <a:latin typeface="Arial" panose="020B0604020202020204" pitchFamily="34" charset="0"/>
              <a:ea typeface="Wingdings-Regular"/>
              <a:cs typeface="Arial" panose="020B0604020202020204" pitchFamily="34" charset="0"/>
            </a:rPr>
            <a:t>Ing. Jorge Izquierdo Ríos</a:t>
          </a:r>
        </a:p>
        <a:p>
          <a:pPr marL="457200" lvl="1" indent="0" algn="l">
            <a:lnSpc>
              <a:spcPct val="100000"/>
            </a:lnSpc>
            <a:spcAft>
              <a:spcPts val="0"/>
            </a:spcAft>
          </a:pPr>
          <a:endParaRPr lang="en-US" sz="1050">
            <a:effectLst/>
            <a:latin typeface="Arial" panose="020B0604020202020204" pitchFamily="34" charset="0"/>
            <a:ea typeface="Wingdings-Regular"/>
            <a:cs typeface="Arial" panose="020B0604020202020204" pitchFamily="34" charset="0"/>
          </a:endParaRPr>
        </a:p>
        <a:p>
          <a:pPr marL="457200" lvl="1" indent="0" algn="l">
            <a:lnSpc>
              <a:spcPct val="100000"/>
            </a:lnSpc>
            <a:spcAft>
              <a:spcPts val="0"/>
            </a:spcAft>
          </a:pPr>
          <a:r>
            <a:rPr lang="en-US" sz="1100">
              <a:effectLst/>
              <a:latin typeface="Arial" panose="020B0604020202020204" pitchFamily="34" charset="0"/>
              <a:ea typeface="Wingdings-Regular"/>
              <a:cs typeface="Arial" panose="020B0604020202020204" pitchFamily="34" charset="0"/>
            </a:rPr>
            <a:t>Elaborado por:</a:t>
          </a:r>
        </a:p>
        <a:p>
          <a:pPr marL="457200" lvl="1" indent="0" algn="l">
            <a:lnSpc>
              <a:spcPct val="100000"/>
            </a:lnSpc>
            <a:spcAft>
              <a:spcPts val="0"/>
            </a:spcAft>
          </a:pPr>
          <a:r>
            <a:rPr lang="en-US" sz="1200" b="1">
              <a:effectLst/>
              <a:latin typeface="Arial" panose="020B0604020202020204" pitchFamily="34" charset="0"/>
              <a:ea typeface="Wingdings-Regular"/>
              <a:cs typeface="Arial" panose="020B0604020202020204" pitchFamily="34" charset="0"/>
            </a:rPr>
            <a:t>Especialista</a:t>
          </a:r>
          <a:r>
            <a:rPr lang="en-US" sz="1200" b="1" baseline="0">
              <a:effectLst/>
              <a:latin typeface="Arial" panose="020B0604020202020204" pitchFamily="34" charset="0"/>
              <a:ea typeface="Wingdings-Regular"/>
              <a:cs typeface="Arial" panose="020B0604020202020204" pitchFamily="34" charset="0"/>
            </a:rPr>
            <a:t> de Gestión de la Información</a:t>
          </a:r>
          <a:endParaRPr lang="en-US" sz="1200" b="1">
            <a:effectLst/>
            <a:latin typeface="Arial" panose="020B0604020202020204" pitchFamily="34" charset="0"/>
            <a:ea typeface="Wingdings-Regular"/>
            <a:cs typeface="Arial" panose="020B0604020202020204" pitchFamily="34" charset="0"/>
          </a:endParaRPr>
        </a:p>
        <a:p>
          <a:pPr marL="457200" marR="0" lvl="1" indent="0" algn="l" defTabSz="914400" eaLnBrk="1" fontAlgn="auto" latinLnBrk="0" hangingPunct="1">
            <a:lnSpc>
              <a:spcPct val="100000"/>
            </a:lnSpc>
            <a:spcBef>
              <a:spcPts val="0"/>
            </a:spcBef>
            <a:spcAft>
              <a:spcPts val="0"/>
            </a:spcAft>
            <a:buClrTx/>
            <a:buSzTx/>
            <a:buFontTx/>
            <a:buNone/>
            <a:tabLst/>
            <a:defRPr/>
          </a:pPr>
          <a:r>
            <a:rPr lang="en-US" sz="1200">
              <a:effectLst/>
              <a:latin typeface="Arial" panose="020B0604020202020204" pitchFamily="34" charset="0"/>
              <a:ea typeface="+mn-ea"/>
              <a:cs typeface="Arial" panose="020B0604020202020204" pitchFamily="34" charset="0"/>
            </a:rPr>
            <a:t>Ing. </a:t>
          </a:r>
          <a:r>
            <a:rPr lang="es-PE" sz="1200">
              <a:effectLst/>
              <a:latin typeface="Arial" panose="020B0604020202020204" pitchFamily="34" charset="0"/>
              <a:ea typeface="+mn-ea"/>
              <a:cs typeface="Arial" panose="020B0604020202020204" pitchFamily="34" charset="0"/>
            </a:rPr>
            <a:t>Edgar</a:t>
          </a:r>
          <a:r>
            <a:rPr lang="es-PE" sz="1200" baseline="0">
              <a:effectLst/>
              <a:latin typeface="Arial" panose="020B0604020202020204" pitchFamily="34" charset="0"/>
              <a:ea typeface="+mn-ea"/>
              <a:cs typeface="Arial" panose="020B0604020202020204" pitchFamily="34" charset="0"/>
            </a:rPr>
            <a:t> Egúsquiza Aranda</a:t>
          </a:r>
        </a:p>
        <a:p>
          <a:pPr marL="457200" marR="0" lvl="1" indent="0" algn="l" defTabSz="914400" eaLnBrk="1" fontAlgn="auto" latinLnBrk="0" hangingPunct="1">
            <a:lnSpc>
              <a:spcPts val="2000"/>
            </a:lnSpc>
            <a:spcBef>
              <a:spcPts val="0"/>
            </a:spcBef>
            <a:spcAft>
              <a:spcPts val="0"/>
            </a:spcAft>
            <a:buClrTx/>
            <a:buSzTx/>
            <a:buFontTx/>
            <a:buNone/>
            <a:tabLst/>
            <a:defRPr/>
          </a:pPr>
          <a:endParaRPr lang="en-GB" sz="1800">
            <a:effectLst/>
            <a:latin typeface="Arial" panose="020B0604020202020204" pitchFamily="34" charset="0"/>
            <a:ea typeface="Calibri"/>
            <a:cs typeface="Arial" panose="020B0604020202020204" pitchFamily="34" charset="0"/>
          </a:endParaRPr>
        </a:p>
        <a:p>
          <a:pPr marL="457200" lvl="1" indent="0" algn="l">
            <a:lnSpc>
              <a:spcPts val="1900"/>
            </a:lnSpc>
            <a:spcAft>
              <a:spcPts val="0"/>
            </a:spcAft>
          </a:pPr>
          <a:r>
            <a:rPr lang="en-GB" sz="1200" b="1">
              <a:effectLst/>
              <a:latin typeface="Arial" panose="020B0604020202020204" pitchFamily="34" charset="0"/>
              <a:ea typeface="Calibri"/>
              <a:cs typeface="Arial" panose="020B0604020202020204" pitchFamily="34" charset="0"/>
            </a:rPr>
            <a:t>Contactos:</a:t>
          </a:r>
        </a:p>
        <a:p>
          <a:pPr marL="457200" lvl="1" indent="0" algn="l">
            <a:lnSpc>
              <a:spcPts val="1400"/>
            </a:lnSpc>
            <a:spcAft>
              <a:spcPts val="0"/>
            </a:spcAft>
          </a:pPr>
          <a:r>
            <a:rPr lang="en-GB" sz="1100">
              <a:effectLst/>
              <a:latin typeface="Arial" panose="020B0604020202020204" pitchFamily="34" charset="0"/>
              <a:ea typeface="Wingdings-Regular"/>
              <a:cs typeface="Arial" panose="020B0604020202020204" pitchFamily="34" charset="0"/>
            </a:rPr>
            <a:t>COES</a:t>
          </a:r>
        </a:p>
        <a:p>
          <a:pPr marL="457200" lvl="1" indent="0" algn="l">
            <a:lnSpc>
              <a:spcPts val="1400"/>
            </a:lnSpc>
            <a:spcAft>
              <a:spcPts val="0"/>
            </a:spcAft>
          </a:pPr>
          <a:r>
            <a:rPr lang="en-GB" sz="1100">
              <a:effectLst/>
              <a:latin typeface="Arial" panose="020B0604020202020204" pitchFamily="34" charset="0"/>
              <a:ea typeface="Wingdings-Regular"/>
              <a:cs typeface="Arial" panose="020B0604020202020204" pitchFamily="34" charset="0"/>
            </a:rPr>
            <a:t>Sub Dirección de Gestión de Información</a:t>
          </a:r>
        </a:p>
        <a:p>
          <a:pPr marL="457200" lvl="1" indent="0" algn="l">
            <a:lnSpc>
              <a:spcPts val="1400"/>
            </a:lnSpc>
            <a:spcAft>
              <a:spcPts val="0"/>
            </a:spcAft>
          </a:pPr>
          <a:r>
            <a:rPr lang="es-PE" sz="1100">
              <a:effectLst/>
              <a:latin typeface="Arial" panose="020B0604020202020204" pitchFamily="34" charset="0"/>
              <a:ea typeface="Wingdings-Regular"/>
              <a:cs typeface="Arial" panose="020B0604020202020204" pitchFamily="34" charset="0"/>
            </a:rPr>
            <a:t>Calle Manuel Roaud y Paz Soldán 364</a:t>
          </a:r>
          <a:endParaRPr lang="en-GB" sz="1100">
            <a:effectLst/>
            <a:latin typeface="Arial" panose="020B0604020202020204" pitchFamily="34" charset="0"/>
            <a:ea typeface="Wingdings-Regular"/>
            <a:cs typeface="Arial" panose="020B0604020202020204" pitchFamily="34" charset="0"/>
          </a:endParaRPr>
        </a:p>
        <a:p>
          <a:pPr marL="457200" lvl="1" indent="0" algn="l">
            <a:lnSpc>
              <a:spcPts val="1400"/>
            </a:lnSpc>
            <a:spcAft>
              <a:spcPts val="0"/>
            </a:spcAft>
          </a:pPr>
          <a:r>
            <a:rPr lang="es-PE" sz="1100">
              <a:effectLst/>
              <a:latin typeface="Arial" panose="020B0604020202020204" pitchFamily="34" charset="0"/>
              <a:ea typeface="Wingdings-Regular"/>
              <a:cs typeface="Arial" panose="020B0604020202020204" pitchFamily="34" charset="0"/>
            </a:rPr>
            <a:t>San Isidro - Lima </a:t>
          </a:r>
        </a:p>
        <a:p>
          <a:pPr marL="457200" lvl="1" indent="0" algn="l">
            <a:lnSpc>
              <a:spcPts val="1400"/>
            </a:lnSpc>
            <a:spcAft>
              <a:spcPts val="0"/>
            </a:spcAft>
          </a:pPr>
          <a:r>
            <a:rPr lang="es-PE" sz="1100">
              <a:effectLst/>
              <a:latin typeface="Arial" panose="020B0604020202020204" pitchFamily="34" charset="0"/>
              <a:ea typeface="Wingdings-Regular"/>
              <a:cs typeface="Arial" panose="020B0604020202020204" pitchFamily="34" charset="0"/>
            </a:rPr>
            <a:t>Perú</a:t>
          </a:r>
          <a:endParaRPr lang="en-GB" sz="1100">
            <a:effectLst/>
            <a:latin typeface="Arial" panose="020B0604020202020204" pitchFamily="34" charset="0"/>
            <a:ea typeface="Wingdings-Regular"/>
            <a:cs typeface="Arial" panose="020B0604020202020204" pitchFamily="34" charset="0"/>
          </a:endParaRPr>
        </a:p>
        <a:p>
          <a:pPr lvl="1" algn="l">
            <a:lnSpc>
              <a:spcPts val="1500"/>
            </a:lnSpc>
            <a:spcAft>
              <a:spcPts val="0"/>
            </a:spcAft>
          </a:pPr>
          <a:r>
            <a:rPr lang="en-GB" sz="1100">
              <a:effectLst/>
              <a:latin typeface="Arial" panose="020B0604020202020204" pitchFamily="34" charset="0"/>
              <a:ea typeface="Wingdings-Regular"/>
              <a:cs typeface="Arial" panose="020B0604020202020204" pitchFamily="34" charset="0"/>
            </a:rPr>
            <a:t> </a:t>
          </a:r>
          <a:r>
            <a:rPr lang="es-ES_tradnl" sz="1100">
              <a:effectLst/>
              <a:latin typeface="Arial" panose="020B0604020202020204" pitchFamily="34" charset="0"/>
              <a:ea typeface="Calibri"/>
              <a:cs typeface="Arial" panose="020B0604020202020204" pitchFamily="34" charset="0"/>
            </a:rPr>
            <a:t>+51 (1) </a:t>
          </a:r>
          <a:r>
            <a:rPr lang="es-PE" sz="1100">
              <a:effectLst/>
              <a:latin typeface="Arial" panose="020B0604020202020204" pitchFamily="34" charset="0"/>
              <a:ea typeface="Calibri"/>
              <a:cs typeface="Arial" panose="020B0604020202020204" pitchFamily="34" charset="0"/>
            </a:rPr>
            <a:t>611</a:t>
          </a:r>
          <a:r>
            <a:rPr lang="es-PE" sz="1100" baseline="0">
              <a:effectLst/>
              <a:latin typeface="Arial" panose="020B0604020202020204" pitchFamily="34" charset="0"/>
              <a:ea typeface="Calibri"/>
              <a:cs typeface="Arial" panose="020B0604020202020204" pitchFamily="34" charset="0"/>
            </a:rPr>
            <a:t> - 8585 </a:t>
          </a:r>
        </a:p>
        <a:p>
          <a:pPr lvl="1" algn="l">
            <a:lnSpc>
              <a:spcPts val="1500"/>
            </a:lnSpc>
            <a:spcAft>
              <a:spcPts val="0"/>
            </a:spcAft>
          </a:pPr>
          <a:r>
            <a:rPr lang="es-PE" sz="1100" baseline="0">
              <a:effectLst/>
              <a:latin typeface="Arial" panose="020B0604020202020204" pitchFamily="34" charset="0"/>
              <a:ea typeface="Calibri"/>
              <a:cs typeface="Arial" panose="020B0604020202020204" pitchFamily="34" charset="0"/>
            </a:rPr>
            <a:t>Anexo: 61</a:t>
          </a:r>
          <a:r>
            <a:rPr lang="es-ES" sz="1100" baseline="0">
              <a:effectLst/>
              <a:latin typeface="Arial" panose="020B0604020202020204" pitchFamily="34" charset="0"/>
              <a:ea typeface="Calibri"/>
              <a:cs typeface="Arial" panose="020B0604020202020204" pitchFamily="34" charset="0"/>
            </a:rPr>
            <a:t>7</a:t>
          </a:r>
          <a:endParaRPr lang="en-GB" sz="1100">
            <a:effectLst/>
            <a:latin typeface="Arial" panose="020B0604020202020204" pitchFamily="34" charset="0"/>
            <a:ea typeface="Calibri"/>
            <a:cs typeface="Arial" panose="020B0604020202020204" pitchFamily="34" charset="0"/>
          </a:endParaRPr>
        </a:p>
        <a:p>
          <a:pPr lvl="1" algn="l">
            <a:lnSpc>
              <a:spcPts val="1400"/>
            </a:lnSpc>
            <a:spcAft>
              <a:spcPts val="0"/>
            </a:spcAft>
          </a:pPr>
          <a:r>
            <a:rPr lang="es-PE" sz="1100" u="none">
              <a:effectLst/>
              <a:latin typeface="Arial" panose="020B0604020202020204" pitchFamily="34" charset="0"/>
              <a:ea typeface="Wingdings-Regular"/>
              <a:cs typeface="Arial" panose="020B0604020202020204" pitchFamily="34" charset="0"/>
            </a:rPr>
            <a:t>sgi</a:t>
          </a:r>
          <a:r>
            <a:rPr lang="en-GB" sz="1100" u="none">
              <a:effectLst/>
              <a:latin typeface="Arial" panose="020B0604020202020204" pitchFamily="34" charset="0"/>
              <a:ea typeface="+mn-ea"/>
              <a:cs typeface="Arial" panose="020B0604020202020204" pitchFamily="34" charset="0"/>
            </a:rPr>
            <a:t>@</a:t>
          </a:r>
          <a:r>
            <a:rPr lang="es-PE" sz="1100" u="none">
              <a:effectLst/>
              <a:latin typeface="Arial" panose="020B0604020202020204" pitchFamily="34" charset="0"/>
              <a:ea typeface="Wingdings-Regular"/>
              <a:cs typeface="Arial" panose="020B0604020202020204" pitchFamily="34" charset="0"/>
            </a:rPr>
            <a:t>coes.org.pe </a:t>
          </a:r>
          <a:endParaRPr lang="en-GB" sz="1100" u="none">
            <a:effectLst/>
            <a:latin typeface="Arial" panose="020B0604020202020204" pitchFamily="34" charset="0"/>
            <a:ea typeface="Calibri"/>
            <a:cs typeface="Arial" panose="020B0604020202020204" pitchFamily="34" charset="0"/>
          </a:endParaRPr>
        </a:p>
        <a:p>
          <a:pPr lvl="1" algn="l">
            <a:lnSpc>
              <a:spcPts val="2000"/>
            </a:lnSpc>
            <a:spcAft>
              <a:spcPts val="0"/>
            </a:spcAft>
          </a:pPr>
          <a:r>
            <a:rPr lang="es-ES_tradnl" sz="1200" b="1">
              <a:effectLst/>
              <a:latin typeface="Arial" panose="020B0604020202020204" pitchFamily="34" charset="0"/>
              <a:ea typeface="Calibri"/>
              <a:cs typeface="Arial" panose="020B0604020202020204" pitchFamily="34" charset="0"/>
            </a:rPr>
            <a:t> </a:t>
          </a:r>
        </a:p>
        <a:p>
          <a:pPr lvl="1" algn="l">
            <a:lnSpc>
              <a:spcPts val="2000"/>
            </a:lnSpc>
            <a:spcAft>
              <a:spcPts val="0"/>
            </a:spcAft>
          </a:pPr>
          <a:endParaRPr lang="en-GB" sz="1000">
            <a:effectLst/>
            <a:latin typeface="Arial" panose="020B0604020202020204" pitchFamily="34" charset="0"/>
            <a:ea typeface="Calibri"/>
            <a:cs typeface="Arial" panose="020B0604020202020204" pitchFamily="34" charset="0"/>
          </a:endParaRPr>
        </a:p>
        <a:p>
          <a:pPr lvl="1" algn="l">
            <a:lnSpc>
              <a:spcPts val="1900"/>
            </a:lnSpc>
            <a:spcAft>
              <a:spcPts val="0"/>
            </a:spcAft>
          </a:pPr>
          <a:r>
            <a:rPr lang="es-ES_tradnl" sz="1100" b="0">
              <a:effectLst/>
              <a:latin typeface="Arial" panose="020B0604020202020204" pitchFamily="34" charset="0"/>
              <a:ea typeface="Calibri"/>
              <a:cs typeface="Arial" panose="020B0604020202020204" pitchFamily="34" charset="0"/>
            </a:rPr>
            <a:t>Atención al Cliente:</a:t>
          </a:r>
          <a:endParaRPr lang="en-GB" sz="1100" b="0">
            <a:effectLst/>
            <a:latin typeface="Arial" panose="020B0604020202020204" pitchFamily="34" charset="0"/>
            <a:ea typeface="Calibri"/>
            <a:cs typeface="Arial" panose="020B0604020202020204" pitchFamily="34" charset="0"/>
          </a:endParaRPr>
        </a:p>
        <a:p>
          <a:pPr marL="457200" lvl="1" indent="0" algn="l">
            <a:lnSpc>
              <a:spcPts val="1400"/>
            </a:lnSpc>
            <a:spcAft>
              <a:spcPts val="0"/>
            </a:spcAft>
          </a:pPr>
          <a:r>
            <a:rPr lang="en-GB" sz="1100">
              <a:effectLst/>
              <a:latin typeface="Arial" panose="020B0604020202020204" pitchFamily="34" charset="0"/>
              <a:ea typeface="Wingdings-Regular"/>
              <a:cs typeface="Arial" panose="020B0604020202020204" pitchFamily="34" charset="0"/>
            </a:rPr>
            <a:t>+51 (1)611-8585 Anexo 620</a:t>
          </a:r>
        </a:p>
        <a:p>
          <a:pPr marL="457200" lvl="1" indent="0" algn="l">
            <a:lnSpc>
              <a:spcPts val="1400"/>
            </a:lnSpc>
            <a:spcAft>
              <a:spcPts val="0"/>
            </a:spcAft>
          </a:pPr>
          <a:r>
            <a:rPr lang="en-GB" sz="1100" i="0" u="none">
              <a:effectLst/>
              <a:latin typeface="Arial" panose="020B0604020202020204" pitchFamily="34" charset="0"/>
              <a:ea typeface="Wingdings-Regular"/>
              <a:cs typeface="Arial" panose="020B0604020202020204" pitchFamily="34" charset="0"/>
            </a:rPr>
            <a:t>Suscripciones: http://www.coes.org.pe/Portal/publicaciones/suscripcion/index</a:t>
          </a:r>
        </a:p>
        <a:p>
          <a:pPr marL="457200" lvl="1" indent="0" algn="l">
            <a:lnSpc>
              <a:spcPts val="1400"/>
            </a:lnSpc>
            <a:spcAft>
              <a:spcPts val="0"/>
            </a:spcAft>
          </a:pPr>
          <a:endParaRPr lang="en-GB" sz="1050" u="sng">
            <a:effectLst/>
            <a:latin typeface="Arial" panose="020B0604020202020204" pitchFamily="34" charset="0"/>
            <a:ea typeface="Wingdings-Regular"/>
            <a:cs typeface="Arial" panose="020B0604020202020204" pitchFamily="34" charset="0"/>
          </a:endParaRPr>
        </a:p>
        <a:p>
          <a:pPr marL="457200" lvl="1" indent="0" algn="l">
            <a:lnSpc>
              <a:spcPts val="1400"/>
            </a:lnSpc>
            <a:spcAft>
              <a:spcPts val="0"/>
            </a:spcAft>
          </a:pPr>
          <a:r>
            <a:rPr lang="en-GB" sz="1100" b="1">
              <a:solidFill>
                <a:sysClr val="windowText" lastClr="000000"/>
              </a:solidFill>
              <a:effectLst/>
              <a:latin typeface="Arial" panose="020B0604020202020204" pitchFamily="34" charset="0"/>
              <a:ea typeface="Wingdings-Regular"/>
              <a:cs typeface="Arial" panose="020B0604020202020204" pitchFamily="34" charset="0"/>
            </a:rPr>
            <a:t>Este documento puede ser descargado</a:t>
          </a:r>
          <a:r>
            <a:rPr lang="en-GB" sz="1100" b="1" baseline="0">
              <a:solidFill>
                <a:sysClr val="windowText" lastClr="000000"/>
              </a:solidFill>
              <a:effectLst/>
              <a:latin typeface="Arial" panose="020B0604020202020204" pitchFamily="34" charset="0"/>
              <a:ea typeface="Wingdings-Regular"/>
              <a:cs typeface="Arial" panose="020B0604020202020204" pitchFamily="34" charset="0"/>
            </a:rPr>
            <a:t> desde:</a:t>
          </a:r>
          <a:r>
            <a:rPr lang="en-GB" sz="1050" b="1" baseline="0">
              <a:solidFill>
                <a:sysClr val="windowText" lastClr="000000"/>
              </a:solidFill>
              <a:effectLst/>
              <a:latin typeface="Arial" panose="020B0604020202020204" pitchFamily="34" charset="0"/>
              <a:ea typeface="Wingdings-Regular"/>
              <a:cs typeface="Arial" panose="020B0604020202020204" pitchFamily="34" charset="0"/>
            </a:rPr>
            <a:t> </a:t>
          </a:r>
          <a:r>
            <a:rPr lang="en-GB" sz="900">
              <a:solidFill>
                <a:sysClr val="windowText" lastClr="000000"/>
              </a:solidFill>
              <a:effectLst/>
              <a:latin typeface="Arial" panose="020B0604020202020204" pitchFamily="34" charset="0"/>
              <a:ea typeface="Wingdings-Regular"/>
              <a:cs typeface="Arial" panose="020B0604020202020204" pitchFamily="34" charset="0"/>
            </a:rPr>
            <a:t>http://www.coes.org.pe/Portal/PostOperacion/Informes/EvaluacionMensual </a:t>
          </a:r>
          <a:endParaRPr lang="en-GB" sz="900">
            <a:effectLst/>
            <a:latin typeface="Arial" panose="020B0604020202020204" pitchFamily="34" charset="0"/>
            <a:ea typeface="+mn-ea"/>
            <a:cs typeface="Arial" panose="020B0604020202020204" pitchFamily="34" charset="0"/>
          </a:endParaRPr>
        </a:p>
        <a:p>
          <a:pPr lvl="0" algn="ctr">
            <a:lnSpc>
              <a:spcPts val="1400"/>
            </a:lnSpc>
            <a:spcAft>
              <a:spcPts val="1000"/>
            </a:spcAft>
          </a:pPr>
          <a:r>
            <a:rPr lang="en-GB" sz="1000">
              <a:effectLst/>
              <a:latin typeface="Garamond" panose="02020404030301010803" pitchFamily="18" charset="0"/>
              <a:ea typeface="Calibri"/>
              <a:cs typeface="Times New Roman"/>
            </a:rPr>
            <a:t> </a:t>
          </a:r>
        </a:p>
        <a:p>
          <a:pPr lvl="0" algn="ctr">
            <a:lnSpc>
              <a:spcPts val="1400"/>
            </a:lnSpc>
            <a:spcAft>
              <a:spcPts val="1000"/>
            </a:spcAft>
          </a:pPr>
          <a:endParaRPr lang="en-GB" sz="1000">
            <a:effectLst/>
            <a:latin typeface="Garamond" panose="02020404030301010803" pitchFamily="18" charset="0"/>
            <a:ea typeface="Calibri"/>
            <a:cs typeface="Times New Roman"/>
          </a:endParaRPr>
        </a:p>
      </xdr:txBody>
    </xdr:sp>
    <xdr:clientData/>
  </xdr:twoCellAnchor>
  <xdr:twoCellAnchor editAs="oneCell">
    <xdr:from>
      <xdr:col>3</xdr:col>
      <xdr:colOff>239124</xdr:colOff>
      <xdr:row>51</xdr:row>
      <xdr:rowOff>30615</xdr:rowOff>
    </xdr:from>
    <xdr:to>
      <xdr:col>7</xdr:col>
      <xdr:colOff>329711</xdr:colOff>
      <xdr:row>66</xdr:row>
      <xdr:rowOff>27976</xdr:rowOff>
    </xdr:to>
    <xdr:pic>
      <xdr:nvPicPr>
        <xdr:cNvPr id="4" name="Picture 3">
          <a:extLst>
            <a:ext uri="{FF2B5EF4-FFF2-40B4-BE49-F238E27FC236}">
              <a16:creationId xmlns:a16="http://schemas.microsoft.com/office/drawing/2014/main" id="{7F6006F6-4358-4F54-917C-DFB72C4E438F}"/>
            </a:ext>
          </a:extLst>
        </xdr:cNvPr>
        <xdr:cNvPicPr>
          <a:picLocks noChangeAspect="1"/>
        </xdr:cNvPicPr>
      </xdr:nvPicPr>
      <xdr:blipFill rotWithShape="1">
        <a:blip xmlns:r="http://schemas.openxmlformats.org/officeDocument/2006/relationships" r:embed="rId1"/>
        <a:srcRect l="27437" t="12014" r="30100" b="15894"/>
        <a:stretch/>
      </xdr:blipFill>
      <xdr:spPr>
        <a:xfrm>
          <a:off x="1843720" y="7518730"/>
          <a:ext cx="2230049" cy="219543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163473</xdr:colOff>
      <xdr:row>45</xdr:row>
      <xdr:rowOff>43543</xdr:rowOff>
    </xdr:from>
    <xdr:to>
      <xdr:col>9</xdr:col>
      <xdr:colOff>581525</xdr:colOff>
      <xdr:row>57</xdr:row>
      <xdr:rowOff>23061</xdr:rowOff>
    </xdr:to>
    <xdr:graphicFrame macro="">
      <xdr:nvGraphicFramePr>
        <xdr:cNvPr id="5" name="Chart 4">
          <a:extLst>
            <a:ext uri="{FF2B5EF4-FFF2-40B4-BE49-F238E27FC236}">
              <a16:creationId xmlns:a16="http://schemas.microsoft.com/office/drawing/2014/main" id="{D21D8B98-420A-413E-AD12-8ABBBDAE56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19707</xdr:colOff>
      <xdr:row>20</xdr:row>
      <xdr:rowOff>70757</xdr:rowOff>
    </xdr:from>
    <xdr:to>
      <xdr:col>8</xdr:col>
      <xdr:colOff>429240</xdr:colOff>
      <xdr:row>30</xdr:row>
      <xdr:rowOff>138633</xdr:rowOff>
    </xdr:to>
    <xdr:graphicFrame macro="">
      <xdr:nvGraphicFramePr>
        <xdr:cNvPr id="6" name="Chart 5">
          <a:extLst>
            <a:ext uri="{FF2B5EF4-FFF2-40B4-BE49-F238E27FC236}">
              <a16:creationId xmlns:a16="http://schemas.microsoft.com/office/drawing/2014/main" id="{504A3D1A-9E3E-4FE7-89D7-C712B9B000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102578</xdr:colOff>
      <xdr:row>20</xdr:row>
      <xdr:rowOff>43962</xdr:rowOff>
    </xdr:from>
    <xdr:to>
      <xdr:col>1</xdr:col>
      <xdr:colOff>621076</xdr:colOff>
      <xdr:row>21</xdr:row>
      <xdr:rowOff>77635</xdr:rowOff>
    </xdr:to>
    <xdr:sp macro="" textlink="">
      <xdr:nvSpPr>
        <xdr:cNvPr id="8" name="Rectangle 7">
          <a:extLst>
            <a:ext uri="{FF2B5EF4-FFF2-40B4-BE49-F238E27FC236}">
              <a16:creationId xmlns:a16="http://schemas.microsoft.com/office/drawing/2014/main" id="{8CA9ED44-608B-4038-B248-4A8135E524E8}"/>
            </a:ext>
          </a:extLst>
        </xdr:cNvPr>
        <xdr:cNvSpPr/>
      </xdr:nvSpPr>
      <xdr:spPr>
        <a:xfrm>
          <a:off x="791309" y="2322635"/>
          <a:ext cx="518498" cy="224173"/>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PE" sz="700" b="1">
              <a:solidFill>
                <a:schemeClr val="tx1"/>
              </a:solidFill>
              <a:latin typeface="Arial" panose="020B0604020202020204" pitchFamily="34" charset="0"/>
              <a:cs typeface="Arial" panose="020B0604020202020204" pitchFamily="34" charset="0"/>
            </a:rPr>
            <a:t>MW</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23706</xdr:colOff>
      <xdr:row>20</xdr:row>
      <xdr:rowOff>74543</xdr:rowOff>
    </xdr:from>
    <xdr:to>
      <xdr:col>10</xdr:col>
      <xdr:colOff>433551</xdr:colOff>
      <xdr:row>55</xdr:row>
      <xdr:rowOff>3657</xdr:rowOff>
    </xdr:to>
    <xdr:graphicFrame macro="">
      <xdr:nvGraphicFramePr>
        <xdr:cNvPr id="2" name="Chart 1">
          <a:extLst>
            <a:ext uri="{FF2B5EF4-FFF2-40B4-BE49-F238E27FC236}">
              <a16:creationId xmlns:a16="http://schemas.microsoft.com/office/drawing/2014/main" id="{615D8548-FDB4-4D4E-9830-CF81E37253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19707</xdr:colOff>
      <xdr:row>25</xdr:row>
      <xdr:rowOff>82961</xdr:rowOff>
    </xdr:from>
    <xdr:to>
      <xdr:col>10</xdr:col>
      <xdr:colOff>353785</xdr:colOff>
      <xdr:row>60</xdr:row>
      <xdr:rowOff>144517</xdr:rowOff>
    </xdr:to>
    <xdr:graphicFrame macro="">
      <xdr:nvGraphicFramePr>
        <xdr:cNvPr id="2" name="Chart 1">
          <a:extLst>
            <a:ext uri="{FF2B5EF4-FFF2-40B4-BE49-F238E27FC236}">
              <a16:creationId xmlns:a16="http://schemas.microsoft.com/office/drawing/2014/main" id="{8EB4489F-3BCD-422F-8E83-2031509EBA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75543</xdr:colOff>
      <xdr:row>16</xdr:row>
      <xdr:rowOff>26276</xdr:rowOff>
    </xdr:from>
    <xdr:to>
      <xdr:col>10</xdr:col>
      <xdr:colOff>425370</xdr:colOff>
      <xdr:row>32</xdr:row>
      <xdr:rowOff>97272</xdr:rowOff>
    </xdr:to>
    <xdr:graphicFrame macro="">
      <xdr:nvGraphicFramePr>
        <xdr:cNvPr id="2" name="Chart 1">
          <a:extLst>
            <a:ext uri="{FF2B5EF4-FFF2-40B4-BE49-F238E27FC236}">
              <a16:creationId xmlns:a16="http://schemas.microsoft.com/office/drawing/2014/main" id="{5F6F948F-0CAC-4415-A71D-7E8D34A466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106368</xdr:colOff>
      <xdr:row>36</xdr:row>
      <xdr:rowOff>80597</xdr:rowOff>
    </xdr:from>
    <xdr:to>
      <xdr:col>10</xdr:col>
      <xdr:colOff>377464</xdr:colOff>
      <xdr:row>58</xdr:row>
      <xdr:rowOff>43965</xdr:rowOff>
    </xdr:to>
    <xdr:graphicFrame macro="">
      <xdr:nvGraphicFramePr>
        <xdr:cNvPr id="3" name="Chart 2">
          <a:extLst>
            <a:ext uri="{FF2B5EF4-FFF2-40B4-BE49-F238E27FC236}">
              <a16:creationId xmlns:a16="http://schemas.microsoft.com/office/drawing/2014/main" id="{00FA9E36-64BD-475F-A997-8F92E14551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78827</xdr:colOff>
      <xdr:row>2</xdr:row>
      <xdr:rowOff>107673</xdr:rowOff>
    </xdr:from>
    <xdr:to>
      <xdr:col>10</xdr:col>
      <xdr:colOff>563217</xdr:colOff>
      <xdr:row>19</xdr:row>
      <xdr:rowOff>0</xdr:rowOff>
    </xdr:to>
    <xdr:graphicFrame macro="">
      <xdr:nvGraphicFramePr>
        <xdr:cNvPr id="2" name="Chart 1">
          <a:extLst>
            <a:ext uri="{FF2B5EF4-FFF2-40B4-BE49-F238E27FC236}">
              <a16:creationId xmlns:a16="http://schemas.microsoft.com/office/drawing/2014/main" id="{04B459E2-D266-405D-9A0B-27B1351AFB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140805</xdr:colOff>
      <xdr:row>28</xdr:row>
      <xdr:rowOff>56706</xdr:rowOff>
    </xdr:from>
    <xdr:to>
      <xdr:col>5</xdr:col>
      <xdr:colOff>375557</xdr:colOff>
      <xdr:row>41</xdr:row>
      <xdr:rowOff>0</xdr:rowOff>
    </xdr:to>
    <xdr:graphicFrame macro="">
      <xdr:nvGraphicFramePr>
        <xdr:cNvPr id="3" name="Chart 2">
          <a:extLst>
            <a:ext uri="{FF2B5EF4-FFF2-40B4-BE49-F238E27FC236}">
              <a16:creationId xmlns:a16="http://schemas.microsoft.com/office/drawing/2014/main" id="{72B486FB-8FBE-418B-83EC-E2A13A01E2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53578</xdr:colOff>
      <xdr:row>15</xdr:row>
      <xdr:rowOff>126789</xdr:rowOff>
    </xdr:from>
    <xdr:to>
      <xdr:col>11</xdr:col>
      <xdr:colOff>0</xdr:colOff>
      <xdr:row>27</xdr:row>
      <xdr:rowOff>1</xdr:rowOff>
    </xdr:to>
    <xdr:graphicFrame macro="">
      <xdr:nvGraphicFramePr>
        <xdr:cNvPr id="4" name="Chart 3">
          <a:extLst>
            <a:ext uri="{FF2B5EF4-FFF2-40B4-BE49-F238E27FC236}">
              <a16:creationId xmlns:a16="http://schemas.microsoft.com/office/drawing/2014/main" id="{F260F5F4-C67C-4F8A-9B22-9EBAE7C7E9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16328</xdr:colOff>
      <xdr:row>28</xdr:row>
      <xdr:rowOff>60373</xdr:rowOff>
    </xdr:from>
    <xdr:to>
      <xdr:col>10</xdr:col>
      <xdr:colOff>576942</xdr:colOff>
      <xdr:row>41</xdr:row>
      <xdr:rowOff>27214</xdr:rowOff>
    </xdr:to>
    <xdr:graphicFrame macro="">
      <xdr:nvGraphicFramePr>
        <xdr:cNvPr id="5" name="Chart 4">
          <a:extLst>
            <a:ext uri="{FF2B5EF4-FFF2-40B4-BE49-F238E27FC236}">
              <a16:creationId xmlns:a16="http://schemas.microsoft.com/office/drawing/2014/main" id="{EC0F31BC-34AD-499D-AB4C-27758DAF1A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48516</xdr:colOff>
      <xdr:row>44</xdr:row>
      <xdr:rowOff>46160</xdr:rowOff>
    </xdr:from>
    <xdr:to>
      <xdr:col>10</xdr:col>
      <xdr:colOff>513522</xdr:colOff>
      <xdr:row>61</xdr:row>
      <xdr:rowOff>117231</xdr:rowOff>
    </xdr:to>
    <xdr:graphicFrame macro="">
      <xdr:nvGraphicFramePr>
        <xdr:cNvPr id="6" name="Chart 5">
          <a:extLst>
            <a:ext uri="{FF2B5EF4-FFF2-40B4-BE49-F238E27FC236}">
              <a16:creationId xmlns:a16="http://schemas.microsoft.com/office/drawing/2014/main" id="{F2071CF3-4DA3-453D-B2C3-600990AD99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20707</xdr:colOff>
      <xdr:row>2</xdr:row>
      <xdr:rowOff>38101</xdr:rowOff>
    </xdr:from>
    <xdr:to>
      <xdr:col>10</xdr:col>
      <xdr:colOff>571500</xdr:colOff>
      <xdr:row>41</xdr:row>
      <xdr:rowOff>66675</xdr:rowOff>
    </xdr:to>
    <xdr:sp macro="" textlink="">
      <xdr:nvSpPr>
        <xdr:cNvPr id="7" name="Rectangle 6">
          <a:extLst>
            <a:ext uri="{FF2B5EF4-FFF2-40B4-BE49-F238E27FC236}">
              <a16:creationId xmlns:a16="http://schemas.microsoft.com/office/drawing/2014/main" id="{43B3F37D-91BE-4744-B650-84FCDECBC078}"/>
            </a:ext>
          </a:extLst>
        </xdr:cNvPr>
        <xdr:cNvSpPr/>
      </xdr:nvSpPr>
      <xdr:spPr>
        <a:xfrm>
          <a:off x="20707" y="323851"/>
          <a:ext cx="6361043" cy="5600699"/>
        </a:xfrm>
        <a:prstGeom prst="rect">
          <a:avLst/>
        </a:prstGeom>
        <a:noFill/>
        <a:ln w="95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4</xdr:col>
      <xdr:colOff>205154</xdr:colOff>
      <xdr:row>4</xdr:row>
      <xdr:rowOff>26277</xdr:rowOff>
    </xdr:from>
    <xdr:to>
      <xdr:col>9</xdr:col>
      <xdr:colOff>479534</xdr:colOff>
      <xdr:row>59</xdr:row>
      <xdr:rowOff>87924</xdr:rowOff>
    </xdr:to>
    <xdr:graphicFrame macro="">
      <xdr:nvGraphicFramePr>
        <xdr:cNvPr id="2" name="Chart 1">
          <a:extLst>
            <a:ext uri="{FF2B5EF4-FFF2-40B4-BE49-F238E27FC236}">
              <a16:creationId xmlns:a16="http://schemas.microsoft.com/office/drawing/2014/main" id="{4FEF3E9A-EF1E-4D22-86D9-F50B52DA21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75640</xdr:colOff>
      <xdr:row>23</xdr:row>
      <xdr:rowOff>124758</xdr:rowOff>
    </xdr:from>
    <xdr:to>
      <xdr:col>10</xdr:col>
      <xdr:colOff>299002</xdr:colOff>
      <xdr:row>56</xdr:row>
      <xdr:rowOff>29308</xdr:rowOff>
    </xdr:to>
    <xdr:graphicFrame macro="">
      <xdr:nvGraphicFramePr>
        <xdr:cNvPr id="2" name="Chart 1">
          <a:extLst>
            <a:ext uri="{FF2B5EF4-FFF2-40B4-BE49-F238E27FC236}">
              <a16:creationId xmlns:a16="http://schemas.microsoft.com/office/drawing/2014/main" id="{50D19AA0-023C-4AA3-B0F5-C0078A95ED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30.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4"/>
    <pageSetUpPr fitToPage="1"/>
  </sheetPr>
  <dimension ref="I11:I15"/>
  <sheetViews>
    <sheetView showGridLines="0" tabSelected="1" view="pageBreakPreview" zoomScaleNormal="70" zoomScaleSheetLayoutView="100" zoomScalePageLayoutView="115" workbookViewId="0">
      <selection activeCell="M12" sqref="M12"/>
    </sheetView>
  </sheetViews>
  <sheetFormatPr defaultColWidth="9.33203125" defaultRowHeight="11.25"/>
  <cols>
    <col min="9" max="9" width="14.6640625" customWidth="1"/>
    <col min="11" max="11" width="13.83203125" customWidth="1"/>
    <col min="12" max="12" width="20.5" customWidth="1"/>
  </cols>
  <sheetData>
    <row r="11" spans="9:9" ht="15.75">
      <c r="I11" s="500"/>
    </row>
    <row r="12" spans="9:9" ht="15.75">
      <c r="I12" s="500"/>
    </row>
    <row r="13" spans="9:9" ht="15.75">
      <c r="I13" s="500"/>
    </row>
    <row r="14" spans="9:9" ht="15.75">
      <c r="I14" s="500"/>
    </row>
    <row r="15" spans="9:9" ht="15.75">
      <c r="I15" s="500"/>
    </row>
  </sheetData>
  <pageMargins left="0.59055118110236227" right="0.39370078740157483" top="1.0208333333333333" bottom="0.62992125984251968" header="0.31496062992125984" footer="0.31496062992125984"/>
  <pageSetup paperSize="9" scale="88" orientation="portrait" r:id="rId1"/>
  <headerFooter>
    <oddFooter>&amp;LCOES, 2019&amp;RDirección Ejecutiva
Sub Dirección de Gestión de Información</oddFooter>
  </headerFooter>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tabColor theme="4"/>
  </sheetPr>
  <dimension ref="A1:L62"/>
  <sheetViews>
    <sheetView showGridLines="0" view="pageBreakPreview" topLeftCell="A19" zoomScale="115" zoomScaleNormal="100" zoomScaleSheetLayoutView="115" workbookViewId="0">
      <selection activeCell="M12" sqref="M12"/>
    </sheetView>
  </sheetViews>
  <sheetFormatPr defaultColWidth="9.33203125" defaultRowHeight="11.25"/>
  <cols>
    <col min="1" max="1" width="15" customWidth="1"/>
    <col min="2" max="3" width="10" customWidth="1"/>
    <col min="4" max="4" width="11.83203125" customWidth="1"/>
    <col min="5" max="5" width="11" customWidth="1"/>
    <col min="6" max="6" width="9.33203125" customWidth="1"/>
    <col min="7" max="8" width="10" customWidth="1"/>
    <col min="9" max="9" width="9.6640625" customWidth="1"/>
    <col min="10" max="10" width="10.33203125" customWidth="1"/>
    <col min="11" max="11" width="8.5" customWidth="1"/>
  </cols>
  <sheetData>
    <row r="1" spans="1:12" ht="11.25" customHeight="1"/>
    <row r="2" spans="1:12" ht="18.75" customHeight="1">
      <c r="A2" s="930" t="s">
        <v>257</v>
      </c>
      <c r="B2" s="930"/>
      <c r="C2" s="930"/>
      <c r="D2" s="930"/>
      <c r="E2" s="930"/>
      <c r="F2" s="930"/>
      <c r="G2" s="930"/>
      <c r="H2" s="930"/>
      <c r="I2" s="930"/>
      <c r="J2" s="930"/>
      <c r="K2" s="930"/>
    </row>
    <row r="3" spans="1:12" ht="11.25" customHeight="1">
      <c r="A3" s="17"/>
      <c r="B3" s="17"/>
      <c r="C3" s="17"/>
      <c r="D3" s="17"/>
      <c r="E3" s="17"/>
      <c r="F3" s="17"/>
      <c r="G3" s="17"/>
      <c r="H3" s="17"/>
      <c r="I3" s="17"/>
      <c r="J3" s="17"/>
      <c r="K3" s="17"/>
      <c r="L3" s="36"/>
    </row>
    <row r="4" spans="1:12" ht="11.25" customHeight="1">
      <c r="A4" s="931" t="s">
        <v>441</v>
      </c>
      <c r="B4" s="931"/>
      <c r="C4" s="931"/>
      <c r="D4" s="931"/>
      <c r="E4" s="931"/>
      <c r="F4" s="931"/>
      <c r="G4" s="931"/>
      <c r="H4" s="931"/>
      <c r="I4" s="931"/>
      <c r="J4" s="931"/>
      <c r="K4" s="931"/>
      <c r="L4" s="36"/>
    </row>
    <row r="5" spans="1:12" ht="11.25" customHeight="1">
      <c r="A5" s="17"/>
      <c r="B5" s="67"/>
      <c r="C5" s="68"/>
      <c r="D5" s="69"/>
      <c r="E5" s="69"/>
      <c r="F5" s="69"/>
      <c r="G5" s="69"/>
      <c r="H5" s="70"/>
      <c r="I5" s="66"/>
      <c r="J5" s="66"/>
      <c r="K5" s="71"/>
      <c r="L5" s="8"/>
    </row>
    <row r="6" spans="1:12" ht="12.75" customHeight="1">
      <c r="A6" s="937" t="s">
        <v>217</v>
      </c>
      <c r="B6" s="932" t="s">
        <v>260</v>
      </c>
      <c r="C6" s="933"/>
      <c r="D6" s="933"/>
      <c r="E6" s="933" t="s">
        <v>34</v>
      </c>
      <c r="F6" s="933"/>
      <c r="G6" s="934" t="s">
        <v>259</v>
      </c>
      <c r="H6" s="934"/>
      <c r="I6" s="934"/>
      <c r="J6" s="934"/>
      <c r="K6" s="934"/>
      <c r="L6" s="15"/>
    </row>
    <row r="7" spans="1:12" ht="12.75" customHeight="1">
      <c r="A7" s="937"/>
      <c r="B7" s="627">
        <f>+'4. Tipo Recurso'!B5</f>
        <v>43681</v>
      </c>
      <c r="C7" s="627">
        <f>+'4. Tipo Recurso'!C5</f>
        <v>43711</v>
      </c>
      <c r="D7" s="627">
        <f>+'4. Tipo Recurso'!D5</f>
        <v>43739</v>
      </c>
      <c r="E7" s="627">
        <f>+'4. Tipo Recurso'!E5</f>
        <v>43374</v>
      </c>
      <c r="F7" s="935" t="s">
        <v>123</v>
      </c>
      <c r="G7" s="628">
        <v>2019</v>
      </c>
      <c r="H7" s="628">
        <v>2018</v>
      </c>
      <c r="I7" s="935" t="s">
        <v>499</v>
      </c>
      <c r="J7" s="628">
        <v>2017</v>
      </c>
      <c r="K7" s="935" t="s">
        <v>42</v>
      </c>
      <c r="L7" s="13"/>
    </row>
    <row r="8" spans="1:12" ht="12.75" customHeight="1">
      <c r="A8" s="937"/>
      <c r="B8" s="629">
        <v>43703.8125</v>
      </c>
      <c r="C8" s="629">
        <v>43718.78125</v>
      </c>
      <c r="D8" s="629">
        <v>43767.791666666664</v>
      </c>
      <c r="E8" s="629">
        <v>43390.791666666664</v>
      </c>
      <c r="F8" s="936"/>
      <c r="G8" s="630">
        <v>43549.791666666664</v>
      </c>
      <c r="H8" s="630">
        <v>43214.78125</v>
      </c>
      <c r="I8" s="936"/>
      <c r="J8" s="630">
        <v>42801.8125</v>
      </c>
      <c r="K8" s="936"/>
      <c r="L8" s="14"/>
    </row>
    <row r="9" spans="1:12" ht="12.75" customHeight="1">
      <c r="A9" s="937"/>
      <c r="B9" s="631">
        <v>43703.8125</v>
      </c>
      <c r="C9" s="631">
        <v>43718.78125</v>
      </c>
      <c r="D9" s="631">
        <v>43767.791666666664</v>
      </c>
      <c r="E9" s="631">
        <v>43390.791666666664</v>
      </c>
      <c r="F9" s="936"/>
      <c r="G9" s="632">
        <v>43549.791666666664</v>
      </c>
      <c r="H9" s="632">
        <v>43214.78125</v>
      </c>
      <c r="I9" s="936"/>
      <c r="J9" s="632">
        <v>42801.8125</v>
      </c>
      <c r="K9" s="936"/>
      <c r="L9" s="14"/>
    </row>
    <row r="10" spans="1:12" ht="12.75" customHeight="1">
      <c r="A10" s="633" t="s">
        <v>36</v>
      </c>
      <c r="B10" s="634">
        <v>3120.0297399999981</v>
      </c>
      <c r="C10" s="635">
        <v>3052.249209999999</v>
      </c>
      <c r="D10" s="636">
        <v>3389.8112600000009</v>
      </c>
      <c r="E10" s="634">
        <v>3854.8354799999993</v>
      </c>
      <c r="F10" s="637">
        <f>+IF(E10=0,"",D10/E10-1)</f>
        <v>-0.1206339991454054</v>
      </c>
      <c r="G10" s="634">
        <v>4580.6239199999991</v>
      </c>
      <c r="H10" s="635">
        <v>4457.8647499999988</v>
      </c>
      <c r="I10" s="637">
        <f>+IF(H10=0,"",G10/H10-1)</f>
        <v>2.7537661388224111E-2</v>
      </c>
      <c r="J10" s="634">
        <v>4181.7234999999982</v>
      </c>
      <c r="K10" s="637">
        <f t="shared" ref="K10:K18" si="0">+IF(J10=0,"",H10/J10-1)</f>
        <v>6.6035272298611059E-2</v>
      </c>
      <c r="L10" s="14"/>
    </row>
    <row r="11" spans="1:12" ht="12.75" customHeight="1">
      <c r="A11" s="638" t="s">
        <v>37</v>
      </c>
      <c r="B11" s="639">
        <v>3300.2828599999998</v>
      </c>
      <c r="C11" s="640">
        <v>3270.9491799999996</v>
      </c>
      <c r="D11" s="641">
        <v>3115.4722600000009</v>
      </c>
      <c r="E11" s="639">
        <v>2470.3212300000005</v>
      </c>
      <c r="F11" s="642">
        <f>+IF(E11=0,"",D11/E11-1)</f>
        <v>0.26116078434058565</v>
      </c>
      <c r="G11" s="639">
        <v>2106.5043700000006</v>
      </c>
      <c r="H11" s="640">
        <v>1943.7948299999998</v>
      </c>
      <c r="I11" s="642">
        <f>+IF(H11=0,"",G11/H11-1)</f>
        <v>8.3707157509005592E-2</v>
      </c>
      <c r="J11" s="639">
        <v>2286.1302900000001</v>
      </c>
      <c r="K11" s="642">
        <f>+IF(J11=0,"",H11/J11-1)</f>
        <v>-0.14974450996841493</v>
      </c>
      <c r="L11" s="14"/>
    </row>
    <row r="12" spans="1:12" ht="12.75" customHeight="1">
      <c r="A12" s="643" t="s">
        <v>38</v>
      </c>
      <c r="B12" s="644">
        <v>270.27609999999999</v>
      </c>
      <c r="C12" s="645">
        <v>349.07803000000001</v>
      </c>
      <c r="D12" s="646">
        <v>335.28430000000003</v>
      </c>
      <c r="E12" s="644">
        <v>332.46701999999999</v>
      </c>
      <c r="F12" s="647">
        <f>+IF(E12=0,"",D12/E12-1)</f>
        <v>8.473863061665643E-3</v>
      </c>
      <c r="G12" s="644">
        <v>303.54068999999998</v>
      </c>
      <c r="H12" s="645">
        <v>309.01528000000002</v>
      </c>
      <c r="I12" s="647">
        <f>+IF(H12=0,"",G12/H12-1)</f>
        <v>-1.7716243675717336E-2</v>
      </c>
      <c r="J12" s="644">
        <v>91.209550000000007</v>
      </c>
      <c r="K12" s="647">
        <f>+IF(J12=0,"",H12/J12-1)</f>
        <v>2.3879706675452295</v>
      </c>
      <c r="L12" s="13"/>
    </row>
    <row r="13" spans="1:12" ht="12.75" customHeight="1">
      <c r="A13" s="648" t="s">
        <v>30</v>
      </c>
      <c r="B13" s="649">
        <v>0</v>
      </c>
      <c r="C13" s="650">
        <v>0</v>
      </c>
      <c r="D13" s="651">
        <v>0</v>
      </c>
      <c r="E13" s="649">
        <v>0</v>
      </c>
      <c r="F13" s="652" t="str">
        <f>+IF(E13=0,"",D13/E13-1)</f>
        <v/>
      </c>
      <c r="G13" s="649">
        <v>0</v>
      </c>
      <c r="H13" s="650">
        <v>0</v>
      </c>
      <c r="I13" s="652" t="str">
        <f>+IF(H13=0,"",G13/H13-1)</f>
        <v/>
      </c>
      <c r="J13" s="649">
        <v>0</v>
      </c>
      <c r="K13" s="652" t="str">
        <f t="shared" si="0"/>
        <v/>
      </c>
      <c r="L13" s="14"/>
    </row>
    <row r="14" spans="1:12" ht="12.75" customHeight="1">
      <c r="A14" s="653" t="s">
        <v>43</v>
      </c>
      <c r="B14" s="623">
        <f>+SUM(B10:B13)</f>
        <v>6690.5886999999975</v>
      </c>
      <c r="C14" s="624">
        <f t="shared" ref="C14:J14" si="1">+SUM(C10:C13)</f>
        <v>6672.2764199999983</v>
      </c>
      <c r="D14" s="625">
        <f t="shared" si="1"/>
        <v>6840.567820000002</v>
      </c>
      <c r="E14" s="623">
        <f t="shared" si="1"/>
        <v>6657.6237299999993</v>
      </c>
      <c r="F14" s="684">
        <f>+IF(E14=0,"",D14/E14-1)</f>
        <v>2.7478886975188521E-2</v>
      </c>
      <c r="G14" s="681">
        <f t="shared" si="1"/>
        <v>6990.6689799999995</v>
      </c>
      <c r="H14" s="624">
        <f t="shared" si="1"/>
        <v>6710.6748599999983</v>
      </c>
      <c r="I14" s="684">
        <f>+IF(H14=0,"",G14/H14-1)</f>
        <v>4.1723690365174537E-2</v>
      </c>
      <c r="J14" s="623">
        <f t="shared" si="1"/>
        <v>6559.0633399999979</v>
      </c>
      <c r="K14" s="684">
        <f>+IF(J14=0,"",H14/J14-1)</f>
        <v>2.3114812609813962E-2</v>
      </c>
      <c r="L14" s="14"/>
    </row>
    <row r="15" spans="1:12" ht="6.75" customHeight="1">
      <c r="A15" s="654"/>
      <c r="B15" s="654"/>
      <c r="C15" s="654"/>
      <c r="D15" s="654"/>
      <c r="E15" s="654"/>
      <c r="F15" s="655"/>
      <c r="G15" s="654"/>
      <c r="H15" s="654"/>
      <c r="I15" s="655"/>
      <c r="J15" s="654"/>
      <c r="K15" s="655"/>
      <c r="L15" s="14"/>
    </row>
    <row r="16" spans="1:12" ht="12.75" customHeight="1">
      <c r="A16" s="656" t="s">
        <v>39</v>
      </c>
      <c r="B16" s="657">
        <v>37.891759999999998</v>
      </c>
      <c r="C16" s="658">
        <v>0</v>
      </c>
      <c r="D16" s="659">
        <v>0</v>
      </c>
      <c r="E16" s="657">
        <v>0</v>
      </c>
      <c r="F16" s="659">
        <v>0</v>
      </c>
      <c r="G16" s="657">
        <v>0</v>
      </c>
      <c r="H16" s="658">
        <v>0</v>
      </c>
      <c r="I16" s="659">
        <v>0</v>
      </c>
      <c r="J16" s="657">
        <v>36.515999999999998</v>
      </c>
      <c r="K16" s="660">
        <f t="shared" si="0"/>
        <v>-1</v>
      </c>
      <c r="L16" s="15"/>
    </row>
    <row r="17" spans="1:12" ht="12.75" customHeight="1">
      <c r="A17" s="661" t="s">
        <v>40</v>
      </c>
      <c r="B17" s="662">
        <v>0</v>
      </c>
      <c r="C17" s="663">
        <v>0</v>
      </c>
      <c r="D17" s="664">
        <v>0</v>
      </c>
      <c r="E17" s="662">
        <v>0</v>
      </c>
      <c r="F17" s="664">
        <v>0</v>
      </c>
      <c r="G17" s="662">
        <v>0</v>
      </c>
      <c r="H17" s="663">
        <v>0</v>
      </c>
      <c r="I17" s="664">
        <v>0</v>
      </c>
      <c r="J17" s="662">
        <v>0</v>
      </c>
      <c r="K17" s="665" t="str">
        <f t="shared" si="0"/>
        <v/>
      </c>
      <c r="L17" s="15"/>
    </row>
    <row r="18" spans="1:12" ht="24" customHeight="1">
      <c r="A18" s="666" t="s">
        <v>41</v>
      </c>
      <c r="B18" s="667">
        <f t="shared" ref="B18:J18" si="2">+B17-B16</f>
        <v>-37.891759999999998</v>
      </c>
      <c r="C18" s="668">
        <f t="shared" si="2"/>
        <v>0</v>
      </c>
      <c r="D18" s="669">
        <f t="shared" si="2"/>
        <v>0</v>
      </c>
      <c r="E18" s="667">
        <f t="shared" si="2"/>
        <v>0</v>
      </c>
      <c r="F18" s="669">
        <f t="shared" si="2"/>
        <v>0</v>
      </c>
      <c r="G18" s="667">
        <f t="shared" si="2"/>
        <v>0</v>
      </c>
      <c r="H18" s="668">
        <f t="shared" si="2"/>
        <v>0</v>
      </c>
      <c r="I18" s="669">
        <f t="shared" si="2"/>
        <v>0</v>
      </c>
      <c r="J18" s="667">
        <f t="shared" si="2"/>
        <v>-36.515999999999998</v>
      </c>
      <c r="K18" s="670">
        <f t="shared" si="0"/>
        <v>-1</v>
      </c>
      <c r="L18" s="15"/>
    </row>
    <row r="19" spans="1:12" ht="6" customHeight="1">
      <c r="A19" s="671"/>
      <c r="B19" s="671"/>
      <c r="C19" s="671"/>
      <c r="D19" s="671"/>
      <c r="E19" s="671"/>
      <c r="F19" s="672"/>
      <c r="G19" s="671"/>
      <c r="H19" s="671"/>
      <c r="I19" s="672"/>
      <c r="J19" s="671"/>
      <c r="K19" s="672"/>
      <c r="L19" s="15"/>
    </row>
    <row r="20" spans="1:12" ht="24" customHeight="1">
      <c r="A20" s="673" t="s">
        <v>258</v>
      </c>
      <c r="B20" s="674">
        <f>+B14-B18</f>
        <v>6728.4804599999979</v>
      </c>
      <c r="C20" s="675">
        <f t="shared" ref="C20:D20" si="3">+C14-C18</f>
        <v>6672.2764199999983</v>
      </c>
      <c r="D20" s="679">
        <f t="shared" si="3"/>
        <v>6840.567820000002</v>
      </c>
      <c r="E20" s="674">
        <f>+E14-E18</f>
        <v>6657.6237299999993</v>
      </c>
      <c r="F20" s="626">
        <f>+IF(E20=0,"",D20/E20-1)</f>
        <v>2.7478886975188521E-2</v>
      </c>
      <c r="G20" s="680">
        <f>+G14-G18</f>
        <v>6990.6689799999995</v>
      </c>
      <c r="H20" s="674">
        <f>+H14-H18</f>
        <v>6710.6748599999983</v>
      </c>
      <c r="I20" s="626">
        <f>+IF(H20=0,"",G20/H20-1)</f>
        <v>4.1723690365174537E-2</v>
      </c>
      <c r="J20" s="674">
        <f>+J14-J18</f>
        <v>6595.5793399999975</v>
      </c>
      <c r="K20" s="626">
        <f>+IF(J20=0,"",H20/J20-1)</f>
        <v>1.7450403378818313E-2</v>
      </c>
      <c r="L20" s="15"/>
    </row>
    <row r="21" spans="1:12" ht="11.25" customHeight="1">
      <c r="A21" s="270" t="s">
        <v>466</v>
      </c>
      <c r="B21" s="138"/>
      <c r="C21" s="138"/>
      <c r="D21" s="138"/>
      <c r="E21" s="138"/>
      <c r="F21" s="138"/>
      <c r="G21" s="138"/>
      <c r="H21" s="138"/>
      <c r="I21" s="138"/>
      <c r="J21" s="138"/>
      <c r="K21" s="138"/>
      <c r="L21" s="16"/>
    </row>
    <row r="22" spans="1:12" ht="17.25" customHeight="1">
      <c r="A22" s="928"/>
      <c r="B22" s="928"/>
      <c r="C22" s="928"/>
      <c r="D22" s="928"/>
      <c r="E22" s="928"/>
      <c r="F22" s="928"/>
      <c r="G22" s="928"/>
      <c r="H22" s="928"/>
      <c r="I22" s="928"/>
      <c r="J22" s="928"/>
      <c r="K22" s="928"/>
      <c r="L22" s="15"/>
    </row>
    <row r="23" spans="1:12" ht="11.25" customHeight="1">
      <c r="A23" s="152"/>
      <c r="B23" s="152"/>
      <c r="C23" s="152"/>
      <c r="D23" s="152"/>
      <c r="E23" s="152"/>
      <c r="F23" s="152"/>
      <c r="G23" s="152"/>
      <c r="H23" s="152"/>
      <c r="I23" s="152"/>
      <c r="J23" s="152"/>
      <c r="K23" s="152"/>
      <c r="L23" s="15"/>
    </row>
    <row r="24" spans="1:12" ht="11.25" customHeight="1">
      <c r="A24" s="137"/>
      <c r="B24" s="137"/>
      <c r="C24" s="137"/>
      <c r="D24" s="137"/>
      <c r="E24" s="137"/>
      <c r="F24" s="137"/>
      <c r="G24" s="137"/>
      <c r="H24" s="137"/>
      <c r="I24" s="137"/>
      <c r="J24" s="137"/>
      <c r="K24" s="138"/>
      <c r="L24" s="15"/>
    </row>
    <row r="25" spans="1:12" ht="11.25" customHeight="1">
      <c r="A25" s="136"/>
      <c r="B25" s="138"/>
      <c r="C25" s="138"/>
      <c r="D25" s="138"/>
      <c r="E25" s="138"/>
      <c r="F25" s="138"/>
      <c r="G25" s="138"/>
      <c r="H25" s="138"/>
      <c r="I25" s="138"/>
      <c r="J25" s="138"/>
      <c r="K25" s="138"/>
      <c r="L25" s="16"/>
    </row>
    <row r="26" spans="1:12" ht="11.25" customHeight="1">
      <c r="A26" s="136"/>
      <c r="B26" s="138"/>
      <c r="C26" s="138"/>
      <c r="D26" s="138"/>
      <c r="E26" s="138"/>
      <c r="F26" s="138"/>
      <c r="G26" s="138"/>
      <c r="H26" s="138"/>
      <c r="I26" s="138"/>
      <c r="J26" s="138"/>
      <c r="K26" s="138"/>
      <c r="L26" s="15"/>
    </row>
    <row r="27" spans="1:12" ht="11.25" customHeight="1">
      <c r="A27" s="136"/>
      <c r="B27" s="138"/>
      <c r="C27" s="138"/>
      <c r="D27" s="138"/>
      <c r="E27" s="138"/>
      <c r="F27" s="138"/>
      <c r="G27" s="138"/>
      <c r="H27" s="138"/>
      <c r="I27" s="138"/>
      <c r="J27" s="138"/>
      <c r="K27" s="138"/>
      <c r="L27" s="15"/>
    </row>
    <row r="28" spans="1:12" ht="11.25" customHeight="1">
      <c r="A28" s="136"/>
      <c r="B28" s="138"/>
      <c r="C28" s="138"/>
      <c r="D28" s="138"/>
      <c r="E28" s="138"/>
      <c r="F28" s="138"/>
      <c r="G28" s="138"/>
      <c r="H28" s="138"/>
      <c r="I28" s="138"/>
      <c r="J28" s="138"/>
      <c r="K28" s="138"/>
      <c r="L28" s="15"/>
    </row>
    <row r="29" spans="1:12" ht="11.25" customHeight="1">
      <c r="A29" s="136"/>
      <c r="B29" s="138"/>
      <c r="C29" s="138"/>
      <c r="D29" s="138"/>
      <c r="E29" s="138"/>
      <c r="F29" s="138"/>
      <c r="G29" s="138"/>
      <c r="H29" s="138"/>
      <c r="I29" s="138"/>
      <c r="J29" s="138"/>
      <c r="K29" s="138"/>
      <c r="L29" s="15"/>
    </row>
    <row r="30" spans="1:12" ht="11.25" customHeight="1">
      <c r="A30" s="136"/>
      <c r="B30" s="138"/>
      <c r="C30" s="138"/>
      <c r="D30" s="138"/>
      <c r="E30" s="138"/>
      <c r="F30" s="138"/>
      <c r="G30" s="138"/>
      <c r="H30" s="138"/>
      <c r="I30" s="138"/>
      <c r="J30" s="138"/>
      <c r="K30" s="138"/>
      <c r="L30" s="15"/>
    </row>
    <row r="31" spans="1:12" ht="11.25" customHeight="1">
      <c r="A31" s="136"/>
      <c r="B31" s="138"/>
      <c r="C31" s="138"/>
      <c r="D31" s="138"/>
      <c r="E31" s="138"/>
      <c r="F31" s="138"/>
      <c r="G31" s="138"/>
      <c r="H31" s="138"/>
      <c r="I31" s="138"/>
      <c r="J31" s="138"/>
      <c r="K31" s="138"/>
      <c r="L31" s="15"/>
    </row>
    <row r="32" spans="1:12" ht="11.25" customHeight="1">
      <c r="A32" s="136"/>
      <c r="B32" s="138"/>
      <c r="C32" s="138"/>
      <c r="D32" s="138"/>
      <c r="E32" s="138"/>
      <c r="F32" s="138"/>
      <c r="G32" s="138"/>
      <c r="H32" s="138"/>
      <c r="I32" s="138"/>
      <c r="J32" s="138"/>
      <c r="K32" s="138"/>
      <c r="L32" s="15"/>
    </row>
    <row r="33" spans="1:12" ht="11.25" customHeight="1">
      <c r="A33" s="136"/>
      <c r="B33" s="138"/>
      <c r="C33" s="138"/>
      <c r="D33" s="138"/>
      <c r="E33" s="138"/>
      <c r="F33" s="138"/>
      <c r="G33" s="138"/>
      <c r="H33" s="138"/>
      <c r="I33" s="138"/>
      <c r="J33" s="138"/>
      <c r="K33" s="138"/>
      <c r="L33" s="15"/>
    </row>
    <row r="34" spans="1:12" ht="11.25" customHeight="1">
      <c r="A34" s="136"/>
      <c r="B34" s="138"/>
      <c r="C34" s="138"/>
      <c r="D34" s="138"/>
      <c r="E34" s="138"/>
      <c r="F34" s="138"/>
      <c r="G34" s="138"/>
      <c r="H34" s="138"/>
      <c r="I34" s="138"/>
      <c r="J34" s="138"/>
      <c r="K34" s="138"/>
      <c r="L34" s="15"/>
    </row>
    <row r="35" spans="1:12" ht="11.25" customHeight="1">
      <c r="A35" s="136"/>
      <c r="B35" s="138"/>
      <c r="C35" s="138"/>
      <c r="D35" s="138"/>
      <c r="E35" s="138"/>
      <c r="F35" s="138"/>
      <c r="G35" s="138"/>
      <c r="H35" s="138"/>
      <c r="I35" s="138"/>
      <c r="J35" s="138"/>
      <c r="K35" s="138"/>
      <c r="L35" s="15"/>
    </row>
    <row r="36" spans="1:12" ht="11.25" customHeight="1">
      <c r="A36" s="136"/>
      <c r="B36" s="138"/>
      <c r="C36" s="138"/>
      <c r="D36" s="138"/>
      <c r="E36" s="138"/>
      <c r="F36" s="138"/>
      <c r="G36" s="138"/>
      <c r="H36" s="138"/>
      <c r="I36" s="138"/>
      <c r="J36" s="138"/>
      <c r="K36" s="138"/>
      <c r="L36" s="15"/>
    </row>
    <row r="37" spans="1:12" ht="11.25" customHeight="1">
      <c r="A37" s="136"/>
      <c r="B37" s="138"/>
      <c r="C37" s="138"/>
      <c r="D37" s="138"/>
      <c r="E37" s="138"/>
      <c r="F37" s="138"/>
      <c r="G37" s="138"/>
      <c r="H37" s="138"/>
      <c r="I37" s="138"/>
      <c r="J37" s="138"/>
      <c r="K37" s="138"/>
      <c r="L37" s="15"/>
    </row>
    <row r="38" spans="1:12" ht="11.25" customHeight="1">
      <c r="A38" s="136"/>
      <c r="B38" s="138"/>
      <c r="C38" s="138"/>
      <c r="D38" s="138"/>
      <c r="E38" s="138"/>
      <c r="F38" s="138"/>
      <c r="G38" s="138"/>
      <c r="H38" s="138"/>
      <c r="I38" s="138"/>
      <c r="J38" s="138"/>
      <c r="K38" s="138"/>
      <c r="L38" s="15"/>
    </row>
    <row r="39" spans="1:12" ht="11.25" customHeight="1">
      <c r="A39" s="136"/>
      <c r="B39" s="138"/>
      <c r="C39" s="138"/>
      <c r="D39" s="138"/>
      <c r="E39" s="138"/>
      <c r="F39" s="138"/>
      <c r="G39" s="138"/>
      <c r="H39" s="138"/>
      <c r="I39" s="138"/>
      <c r="J39" s="138"/>
      <c r="K39" s="138"/>
      <c r="L39" s="15"/>
    </row>
    <row r="40" spans="1:12" ht="11.25" customHeight="1">
      <c r="A40" s="136"/>
      <c r="B40" s="138"/>
      <c r="C40" s="138"/>
      <c r="D40" s="138"/>
      <c r="E40" s="138"/>
      <c r="F40" s="138"/>
      <c r="G40" s="138"/>
      <c r="H40" s="138"/>
      <c r="I40" s="138"/>
      <c r="J40" s="138"/>
      <c r="K40" s="138"/>
      <c r="L40" s="15"/>
    </row>
    <row r="41" spans="1:12" ht="11.25" customHeight="1">
      <c r="A41" s="136"/>
      <c r="B41" s="138"/>
      <c r="C41" s="138"/>
      <c r="D41" s="138"/>
      <c r="E41" s="138"/>
      <c r="F41" s="138"/>
      <c r="G41" s="138"/>
      <c r="H41" s="138"/>
      <c r="I41" s="138"/>
      <c r="J41" s="138"/>
      <c r="K41" s="138"/>
      <c r="L41" s="15"/>
    </row>
    <row r="42" spans="1:12" ht="11.25" customHeight="1">
      <c r="A42" s="136"/>
      <c r="B42" s="138"/>
      <c r="C42" s="138"/>
      <c r="D42" s="138"/>
      <c r="E42" s="138"/>
      <c r="F42" s="138"/>
      <c r="G42" s="138"/>
      <c r="H42" s="138"/>
      <c r="I42" s="138"/>
      <c r="J42" s="138"/>
      <c r="K42" s="138"/>
      <c r="L42" s="15"/>
    </row>
    <row r="43" spans="1:12" ht="11.25" customHeight="1">
      <c r="A43" s="136"/>
      <c r="B43" s="138"/>
      <c r="C43" s="138"/>
      <c r="D43" s="138"/>
      <c r="E43" s="138"/>
      <c r="F43" s="138"/>
      <c r="G43" s="138"/>
      <c r="H43" s="138"/>
      <c r="I43" s="138"/>
      <c r="J43" s="138"/>
      <c r="K43" s="138"/>
      <c r="L43" s="15"/>
    </row>
    <row r="44" spans="1:12" ht="11.25" customHeight="1">
      <c r="A44" s="136"/>
      <c r="B44" s="138"/>
      <c r="C44" s="138"/>
      <c r="D44" s="138"/>
      <c r="E44" s="138"/>
      <c r="F44" s="138"/>
      <c r="G44" s="138"/>
      <c r="H44" s="138"/>
      <c r="I44" s="138"/>
      <c r="J44" s="138"/>
      <c r="K44" s="138"/>
      <c r="L44" s="15"/>
    </row>
    <row r="45" spans="1:12" ht="11.25" customHeight="1">
      <c r="A45" s="136"/>
      <c r="B45" s="138"/>
      <c r="C45" s="138"/>
      <c r="D45" s="138"/>
      <c r="E45" s="138"/>
      <c r="F45" s="138"/>
      <c r="G45" s="138"/>
      <c r="H45" s="138"/>
      <c r="I45" s="138"/>
      <c r="J45" s="138"/>
      <c r="K45" s="138"/>
      <c r="L45" s="15"/>
    </row>
    <row r="46" spans="1:12" ht="11.25" customHeight="1">
      <c r="A46" s="136"/>
      <c r="B46" s="138"/>
      <c r="C46" s="138"/>
      <c r="D46" s="138"/>
      <c r="E46" s="138"/>
      <c r="F46" s="138"/>
      <c r="G46" s="138"/>
      <c r="H46" s="138"/>
      <c r="I46" s="138"/>
      <c r="J46" s="138"/>
      <c r="K46" s="138"/>
      <c r="L46" s="38"/>
    </row>
    <row r="47" spans="1:12" ht="11.25" customHeight="1">
      <c r="A47" s="136"/>
      <c r="B47" s="138"/>
      <c r="C47" s="138"/>
      <c r="D47" s="138"/>
      <c r="E47" s="138"/>
      <c r="F47" s="138"/>
      <c r="G47" s="138"/>
      <c r="H47" s="138"/>
      <c r="I47" s="138"/>
      <c r="J47" s="138"/>
      <c r="K47" s="138"/>
      <c r="L47" s="15"/>
    </row>
    <row r="48" spans="1:12" ht="11.25" customHeight="1">
      <c r="A48" s="136"/>
      <c r="B48" s="138"/>
      <c r="C48" s="138"/>
      <c r="D48" s="138"/>
      <c r="E48" s="138"/>
      <c r="F48" s="138"/>
      <c r="G48" s="138"/>
      <c r="H48" s="138"/>
      <c r="I48" s="138"/>
      <c r="J48" s="138"/>
      <c r="K48" s="138"/>
      <c r="L48" s="15"/>
    </row>
    <row r="49" spans="1:12" ht="11.25" customHeight="1">
      <c r="A49" s="136"/>
      <c r="B49" s="138"/>
      <c r="C49" s="138"/>
      <c r="D49" s="138"/>
      <c r="E49" s="138"/>
      <c r="F49" s="138"/>
      <c r="G49" s="138"/>
      <c r="H49" s="138"/>
      <c r="I49" s="138"/>
      <c r="J49" s="138"/>
      <c r="K49" s="138"/>
      <c r="L49" s="15"/>
    </row>
    <row r="50" spans="1:12" ht="11.25" customHeight="1">
      <c r="A50" s="136"/>
      <c r="B50" s="138"/>
      <c r="C50" s="138"/>
      <c r="D50" s="138"/>
      <c r="E50" s="138"/>
      <c r="F50" s="138"/>
      <c r="G50" s="138"/>
      <c r="H50" s="138"/>
      <c r="I50" s="138"/>
      <c r="J50" s="138"/>
      <c r="K50" s="138"/>
      <c r="L50" s="15"/>
    </row>
    <row r="51" spans="1:12" ht="11.25" customHeight="1">
      <c r="A51" s="136"/>
      <c r="B51" s="138"/>
      <c r="C51" s="138"/>
      <c r="D51" s="138"/>
      <c r="E51" s="138"/>
      <c r="F51" s="138"/>
      <c r="G51" s="138"/>
      <c r="H51" s="138"/>
      <c r="I51" s="138"/>
      <c r="J51" s="138"/>
      <c r="K51" s="138"/>
      <c r="L51" s="15"/>
    </row>
    <row r="52" spans="1:12" ht="11.25" customHeight="1">
      <c r="A52" s="153"/>
      <c r="B52" s="153"/>
      <c r="C52" s="153"/>
      <c r="D52" s="153"/>
      <c r="E52" s="153"/>
      <c r="F52" s="153"/>
      <c r="G52" s="153"/>
      <c r="H52" s="153"/>
      <c r="I52" s="153"/>
      <c r="J52" s="153"/>
      <c r="K52" s="153"/>
      <c r="L52" s="15"/>
    </row>
    <row r="53" spans="1:12" ht="11.25" customHeight="1">
      <c r="L53" s="11"/>
    </row>
    <row r="54" spans="1:12" ht="11.25" customHeight="1">
      <c r="A54" s="154"/>
      <c r="B54" s="138"/>
      <c r="C54" s="138"/>
      <c r="D54" s="138"/>
      <c r="E54" s="138"/>
      <c r="F54" s="138"/>
      <c r="G54" s="138"/>
      <c r="H54" s="138"/>
      <c r="I54" s="138"/>
      <c r="J54" s="138"/>
      <c r="K54" s="138"/>
      <c r="L54" s="11"/>
    </row>
    <row r="55" spans="1:12" ht="11.25" customHeight="1">
      <c r="A55" s="154"/>
      <c r="B55" s="155"/>
      <c r="C55" s="155"/>
      <c r="D55" s="155"/>
      <c r="E55" s="155"/>
      <c r="F55" s="155"/>
      <c r="G55" s="138"/>
      <c r="H55" s="138"/>
      <c r="I55" s="138"/>
      <c r="J55" s="138"/>
      <c r="K55" s="138"/>
      <c r="L55" s="11"/>
    </row>
    <row r="56" spans="1:12" ht="11.25" customHeight="1">
      <c r="A56" s="132"/>
      <c r="B56" s="156"/>
      <c r="C56" s="156"/>
      <c r="D56" s="157"/>
      <c r="E56" s="157"/>
      <c r="F56" s="157"/>
      <c r="G56" s="138"/>
      <c r="H56" s="138"/>
      <c r="I56" s="138"/>
      <c r="J56" s="138"/>
      <c r="K56" s="138"/>
      <c r="L56" s="11"/>
    </row>
    <row r="57" spans="1:12" ht="11.25" customHeight="1">
      <c r="L57" s="11"/>
    </row>
    <row r="58" spans="1:12" ht="12">
      <c r="A58" s="929" t="str">
        <f>"Gráfico N° 11: Comparación de la máxima potencia coincidente de potencia (MW) por tipo de generación en el SEIN en "&amp;'1. Resumen'!Q4</f>
        <v>Gráfico N° 11: Comparación de la máxima potencia coincidente de potencia (MW) por tipo de generación en el SEIN en octubre</v>
      </c>
      <c r="B58" s="929"/>
      <c r="C58" s="929"/>
      <c r="D58" s="929"/>
      <c r="E58" s="929"/>
      <c r="F58" s="929"/>
      <c r="G58" s="929"/>
      <c r="H58" s="929"/>
      <c r="I58" s="929"/>
      <c r="J58" s="929"/>
      <c r="K58" s="929"/>
      <c r="L58" s="11"/>
    </row>
    <row r="59" spans="1:12" ht="12">
      <c r="A59" s="132"/>
      <c r="B59" s="156"/>
      <c r="C59" s="156"/>
      <c r="D59" s="157"/>
      <c r="E59" s="157"/>
      <c r="F59" s="157"/>
      <c r="G59" s="138"/>
      <c r="H59" s="138"/>
      <c r="I59" s="138"/>
      <c r="J59" s="138"/>
      <c r="K59" s="138"/>
      <c r="L59" s="11"/>
    </row>
    <row r="60" spans="1:12" ht="12">
      <c r="A60" s="132"/>
      <c r="B60" s="156"/>
      <c r="C60" s="156"/>
      <c r="D60" s="157"/>
      <c r="E60" s="157"/>
      <c r="F60" s="157"/>
      <c r="G60" s="138"/>
      <c r="H60" s="138"/>
      <c r="I60" s="138"/>
      <c r="J60" s="138"/>
      <c r="K60" s="138"/>
      <c r="L60" s="11"/>
    </row>
    <row r="61" spans="1:12" ht="12.75">
      <c r="A61" s="17"/>
      <c r="B61" s="150"/>
      <c r="C61" s="150"/>
      <c r="D61" s="151"/>
      <c r="E61" s="151"/>
      <c r="F61" s="151"/>
      <c r="G61" s="73"/>
      <c r="H61" s="73"/>
      <c r="I61" s="73"/>
      <c r="J61" s="73"/>
      <c r="K61" s="73"/>
      <c r="L61" s="11"/>
    </row>
    <row r="62" spans="1:12" ht="12.75">
      <c r="A62" s="17"/>
      <c r="B62" s="150"/>
      <c r="C62" s="150"/>
      <c r="D62" s="151"/>
      <c r="E62" s="151"/>
      <c r="F62" s="151"/>
      <c r="G62" s="73"/>
      <c r="H62" s="73"/>
      <c r="I62" s="73"/>
      <c r="J62" s="73"/>
      <c r="K62" s="73"/>
    </row>
  </sheetData>
  <mergeCells count="11">
    <mergeCell ref="A22:K22"/>
    <mergeCell ref="A58:K58"/>
    <mergeCell ref="A2:K2"/>
    <mergeCell ref="A4:K4"/>
    <mergeCell ref="B6:D6"/>
    <mergeCell ref="E6:F6"/>
    <mergeCell ref="G6:K6"/>
    <mergeCell ref="F7:F9"/>
    <mergeCell ref="I7:I9"/>
    <mergeCell ref="K7:K9"/>
    <mergeCell ref="A6:A9"/>
  </mergeCells>
  <pageMargins left="0.70866141732283472" right="0.59055118110236227" top="1.0236220472440944" bottom="0.62992125984251968" header="0.31496062992125984" footer="0.31496062992125984"/>
  <pageSetup paperSize="9" scale="95" orientation="portrait" r:id="rId1"/>
  <headerFooter>
    <oddHeader>&amp;R&amp;7Informe de la Operación Mensual-Octubre 2019
INFSGI-MES-10-2019
18/10/2019
Versión: 01</oddHeader>
    <oddFooter>&amp;L&amp;7COES, 2019&amp;C8&amp;R&amp;7Dirección Ejecutiva
Sub Dirección de Gestión de Información</oddFooter>
  </headerFooter>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tabColor theme="4"/>
  </sheetPr>
  <dimension ref="A1:O73"/>
  <sheetViews>
    <sheetView showGridLines="0" view="pageBreakPreview" topLeftCell="A36" zoomScale="115" zoomScaleNormal="100" zoomScaleSheetLayoutView="115" zoomScalePageLayoutView="115" workbookViewId="0">
      <selection activeCell="M12" sqref="M12"/>
    </sheetView>
  </sheetViews>
  <sheetFormatPr defaultColWidth="9.33203125" defaultRowHeight="11.25"/>
  <cols>
    <col min="1" max="1" width="24.33203125" customWidth="1"/>
    <col min="2" max="2" width="11.33203125" customWidth="1"/>
    <col min="3" max="3" width="10.83203125" customWidth="1"/>
    <col min="4" max="4" width="8.6640625" customWidth="1"/>
    <col min="10" max="10" width="11.83203125" customWidth="1"/>
    <col min="11" max="11" width="9.33203125" customWidth="1"/>
    <col min="12" max="12" width="27.83203125" style="447" customWidth="1"/>
    <col min="13" max="14" width="9.33203125" style="691"/>
    <col min="15" max="15" width="9.33203125" style="785"/>
  </cols>
  <sheetData>
    <row r="1" spans="1:15" ht="25.5" customHeight="1">
      <c r="A1" s="940" t="s">
        <v>262</v>
      </c>
      <c r="B1" s="940"/>
      <c r="C1" s="940"/>
      <c r="D1" s="940"/>
      <c r="E1" s="940"/>
      <c r="F1" s="940"/>
      <c r="G1" s="940"/>
      <c r="H1" s="940"/>
      <c r="I1" s="940"/>
      <c r="J1" s="940"/>
    </row>
    <row r="2" spans="1:15" ht="7.5" customHeight="1">
      <c r="A2" s="74"/>
      <c r="B2" s="73"/>
      <c r="C2" s="73"/>
      <c r="D2" s="73"/>
      <c r="E2" s="73"/>
      <c r="F2" s="73"/>
      <c r="G2" s="73"/>
      <c r="H2" s="73"/>
      <c r="I2" s="73"/>
      <c r="J2" s="73"/>
      <c r="K2" s="36"/>
      <c r="L2" s="847"/>
    </row>
    <row r="3" spans="1:15" ht="11.25" customHeight="1">
      <c r="A3" s="941" t="s">
        <v>124</v>
      </c>
      <c r="B3" s="943" t="str">
        <f>+'1. Resumen'!Q4</f>
        <v>octubre</v>
      </c>
      <c r="C3" s="944"/>
      <c r="D3" s="945"/>
      <c r="E3" s="138"/>
      <c r="F3" s="138"/>
      <c r="G3" s="946" t="s">
        <v>503</v>
      </c>
      <c r="H3" s="946"/>
      <c r="I3" s="946"/>
      <c r="J3" s="138"/>
      <c r="K3" s="148"/>
      <c r="L3" s="847"/>
    </row>
    <row r="4" spans="1:15" ht="11.25" customHeight="1">
      <c r="A4" s="941"/>
      <c r="B4" s="524">
        <v>2019</v>
      </c>
      <c r="C4" s="525">
        <v>2018</v>
      </c>
      <c r="D4" s="945" t="s">
        <v>35</v>
      </c>
      <c r="E4" s="138"/>
      <c r="F4" s="138"/>
      <c r="G4" s="138"/>
      <c r="H4" s="138"/>
      <c r="I4" s="138"/>
      <c r="J4" s="138"/>
      <c r="K4" s="24"/>
      <c r="L4" s="848"/>
    </row>
    <row r="5" spans="1:15" ht="11.25" customHeight="1">
      <c r="A5" s="941"/>
      <c r="B5" s="526">
        <f>+'8. Max Potencia'!D8</f>
        <v>43767.791666666664</v>
      </c>
      <c r="C5" s="526">
        <f>+'8. Max Potencia'!E8</f>
        <v>43390.791666666664</v>
      </c>
      <c r="D5" s="945"/>
      <c r="E5" s="138"/>
      <c r="F5" s="138"/>
      <c r="G5" s="138"/>
      <c r="H5" s="138"/>
      <c r="I5" s="138"/>
      <c r="J5" s="138"/>
      <c r="K5" s="24"/>
      <c r="L5" s="849"/>
    </row>
    <row r="6" spans="1:15" ht="11.25" customHeight="1" thickBot="1">
      <c r="A6" s="942"/>
      <c r="B6" s="527">
        <f>+'8. Max Potencia'!D9</f>
        <v>43767.791666666664</v>
      </c>
      <c r="C6" s="527">
        <f>+'8. Max Potencia'!E9</f>
        <v>43390.791666666664</v>
      </c>
      <c r="D6" s="947"/>
      <c r="E6" s="138"/>
      <c r="F6" s="138"/>
      <c r="G6" s="138"/>
      <c r="H6" s="138"/>
      <c r="I6" s="138"/>
      <c r="J6" s="138"/>
      <c r="K6" s="25"/>
      <c r="L6" s="848" t="s">
        <v>261</v>
      </c>
      <c r="M6" s="447">
        <v>2019</v>
      </c>
      <c r="N6" s="447">
        <v>2018</v>
      </c>
    </row>
    <row r="7" spans="1:15" ht="9.75" customHeight="1">
      <c r="A7" s="394" t="s">
        <v>478</v>
      </c>
      <c r="B7" s="395">
        <v>1328.0607600000001</v>
      </c>
      <c r="C7" s="395">
        <v>975.18330000000003</v>
      </c>
      <c r="D7" s="396">
        <f>IF(C7=0,"",B7/C7-1)</f>
        <v>0.361857570776694</v>
      </c>
      <c r="E7" s="138"/>
      <c r="F7" s="138"/>
      <c r="G7" s="138"/>
      <c r="H7" s="138"/>
      <c r="I7" s="138"/>
      <c r="J7" s="138"/>
      <c r="K7" s="23"/>
      <c r="L7" s="850" t="s">
        <v>122</v>
      </c>
      <c r="M7" s="863">
        <v>0</v>
      </c>
      <c r="N7" s="863">
        <v>0</v>
      </c>
      <c r="O7" s="786"/>
    </row>
    <row r="8" spans="1:15" ht="9.75" customHeight="1">
      <c r="A8" s="397" t="s">
        <v>89</v>
      </c>
      <c r="B8" s="398">
        <v>1184.59446</v>
      </c>
      <c r="C8" s="398">
        <v>800.94775000000016</v>
      </c>
      <c r="D8" s="399">
        <f t="shared" ref="D8:D63" si="0">IF(C8=0,"",B8/C8-1)</f>
        <v>0.4789909329291453</v>
      </c>
      <c r="E8" s="138"/>
      <c r="F8" s="138"/>
      <c r="G8" s="138"/>
      <c r="H8" s="138"/>
      <c r="I8" s="138"/>
      <c r="J8" s="138"/>
      <c r="K8" s="26"/>
      <c r="L8" s="850" t="s">
        <v>247</v>
      </c>
      <c r="M8" s="863">
        <v>0</v>
      </c>
      <c r="N8" s="863">
        <v>0</v>
      </c>
      <c r="O8" s="786"/>
    </row>
    <row r="9" spans="1:15" ht="9.75" customHeight="1">
      <c r="A9" s="400" t="s">
        <v>88</v>
      </c>
      <c r="B9" s="401">
        <v>938.29721999999992</v>
      </c>
      <c r="C9" s="401">
        <v>799.47267000000011</v>
      </c>
      <c r="D9" s="402">
        <f t="shared" si="0"/>
        <v>0.17364514786978247</v>
      </c>
      <c r="E9" s="428"/>
      <c r="F9" s="138"/>
      <c r="G9" s="138"/>
      <c r="H9" s="138"/>
      <c r="I9" s="138"/>
      <c r="J9" s="138"/>
      <c r="K9" s="25"/>
      <c r="L9" s="850" t="s">
        <v>112</v>
      </c>
      <c r="M9" s="863">
        <v>0</v>
      </c>
      <c r="N9" s="863">
        <v>0</v>
      </c>
      <c r="O9" s="786"/>
    </row>
    <row r="10" spans="1:15" ht="9.75" customHeight="1">
      <c r="A10" s="397" t="s">
        <v>90</v>
      </c>
      <c r="B10" s="398">
        <v>721.59647999999993</v>
      </c>
      <c r="C10" s="398">
        <v>853.33679999999993</v>
      </c>
      <c r="D10" s="399">
        <f t="shared" si="0"/>
        <v>-0.15438256032084874</v>
      </c>
      <c r="E10" s="138"/>
      <c r="F10" s="138"/>
      <c r="G10" s="138"/>
      <c r="H10" s="138"/>
      <c r="I10" s="138"/>
      <c r="J10" s="138"/>
      <c r="K10" s="25"/>
      <c r="L10" s="850" t="s">
        <v>113</v>
      </c>
      <c r="M10" s="849">
        <v>0</v>
      </c>
      <c r="N10" s="849">
        <v>0</v>
      </c>
      <c r="O10" s="786"/>
    </row>
    <row r="11" spans="1:15" ht="9.75" customHeight="1">
      <c r="A11" s="400" t="s">
        <v>248</v>
      </c>
      <c r="B11" s="401">
        <v>356.78033000000005</v>
      </c>
      <c r="C11" s="401">
        <v>449.53442000000001</v>
      </c>
      <c r="D11" s="402">
        <f t="shared" si="0"/>
        <v>-0.20633367740783892</v>
      </c>
      <c r="E11" s="138"/>
      <c r="F11" s="138"/>
      <c r="G11" s="138"/>
      <c r="H11" s="138"/>
      <c r="I11" s="138"/>
      <c r="J11" s="138"/>
      <c r="K11" s="25"/>
      <c r="L11" s="850" t="s">
        <v>481</v>
      </c>
      <c r="M11" s="849">
        <v>0</v>
      </c>
      <c r="N11" s="849">
        <v>0.09</v>
      </c>
      <c r="O11" s="786"/>
    </row>
    <row r="12" spans="1:15" ht="9.75" customHeight="1">
      <c r="A12" s="397" t="s">
        <v>250</v>
      </c>
      <c r="B12" s="398">
        <v>270.29468000000003</v>
      </c>
      <c r="C12" s="398">
        <v>547.74076000000002</v>
      </c>
      <c r="D12" s="399">
        <f t="shared" si="0"/>
        <v>-0.50652808821457795</v>
      </c>
      <c r="E12" s="138"/>
      <c r="F12" s="138"/>
      <c r="G12" s="138"/>
      <c r="H12" s="138"/>
      <c r="I12" s="138"/>
      <c r="J12" s="138"/>
      <c r="K12" s="23"/>
      <c r="L12" s="850" t="s">
        <v>119</v>
      </c>
      <c r="M12" s="863">
        <v>0</v>
      </c>
      <c r="N12" s="863">
        <v>0</v>
      </c>
      <c r="O12" s="786"/>
    </row>
    <row r="13" spans="1:15" ht="9.75" customHeight="1">
      <c r="A13" s="400" t="s">
        <v>91</v>
      </c>
      <c r="B13" s="401">
        <v>244.84998999999999</v>
      </c>
      <c r="C13" s="401">
        <v>228.13911000000004</v>
      </c>
      <c r="D13" s="402">
        <f t="shared" si="0"/>
        <v>7.3248642023719501E-2</v>
      </c>
      <c r="E13" s="138"/>
      <c r="F13" s="138"/>
      <c r="G13" s="138"/>
      <c r="H13" s="138"/>
      <c r="I13" s="138"/>
      <c r="J13" s="138"/>
      <c r="K13" s="26"/>
      <c r="L13" s="850" t="s">
        <v>111</v>
      </c>
      <c r="M13" s="849">
        <v>0</v>
      </c>
      <c r="N13" s="849">
        <v>0</v>
      </c>
      <c r="O13" s="786"/>
    </row>
    <row r="14" spans="1:15" ht="9.75" customHeight="1">
      <c r="A14" s="397" t="s">
        <v>252</v>
      </c>
      <c r="B14" s="398">
        <v>212.86322000000001</v>
      </c>
      <c r="C14" s="398">
        <v>131.76463999999999</v>
      </c>
      <c r="D14" s="399">
        <f t="shared" si="0"/>
        <v>0.61548060238315871</v>
      </c>
      <c r="E14" s="138"/>
      <c r="F14" s="138"/>
      <c r="G14" s="138"/>
      <c r="H14" s="138"/>
      <c r="I14" s="138"/>
      <c r="J14" s="138"/>
      <c r="K14" s="26"/>
      <c r="L14" s="850" t="s">
        <v>108</v>
      </c>
      <c r="M14" s="849">
        <v>0</v>
      </c>
      <c r="N14" s="849">
        <v>0</v>
      </c>
      <c r="O14" s="786"/>
    </row>
    <row r="15" spans="1:15" ht="9.75" customHeight="1">
      <c r="A15" s="400" t="s">
        <v>95</v>
      </c>
      <c r="B15" s="401">
        <v>194.63587000000001</v>
      </c>
      <c r="C15" s="401">
        <v>152.41277000000002</v>
      </c>
      <c r="D15" s="402">
        <f t="shared" si="0"/>
        <v>0.27703124875953633</v>
      </c>
      <c r="E15" s="138"/>
      <c r="F15" s="138"/>
      <c r="G15" s="138"/>
      <c r="H15" s="138"/>
      <c r="I15" s="138"/>
      <c r="J15" s="138"/>
      <c r="K15" s="26"/>
      <c r="L15" s="850" t="s">
        <v>254</v>
      </c>
      <c r="M15" s="849">
        <v>0</v>
      </c>
      <c r="N15" s="849">
        <v>0</v>
      </c>
      <c r="O15" s="786"/>
    </row>
    <row r="16" spans="1:15" ht="9.75" customHeight="1">
      <c r="A16" s="397" t="s">
        <v>92</v>
      </c>
      <c r="B16" s="398">
        <v>155.04728999999998</v>
      </c>
      <c r="C16" s="398">
        <v>160.10578999999998</v>
      </c>
      <c r="D16" s="399">
        <f t="shared" si="0"/>
        <v>-3.1594734956181258E-2</v>
      </c>
      <c r="E16" s="138"/>
      <c r="F16" s="138"/>
      <c r="G16" s="138"/>
      <c r="H16" s="138"/>
      <c r="I16" s="138"/>
      <c r="J16" s="138"/>
      <c r="K16" s="26"/>
      <c r="L16" s="850" t="s">
        <v>255</v>
      </c>
      <c r="M16" s="849">
        <v>0</v>
      </c>
      <c r="N16" s="849">
        <v>0</v>
      </c>
      <c r="O16" s="786"/>
    </row>
    <row r="17" spans="1:15" ht="9.75" customHeight="1">
      <c r="A17" s="400" t="s">
        <v>99</v>
      </c>
      <c r="B17" s="401">
        <v>129.91175999999999</v>
      </c>
      <c r="C17" s="401">
        <v>129.21872999999999</v>
      </c>
      <c r="D17" s="402">
        <f t="shared" si="0"/>
        <v>5.3632317853611333E-3</v>
      </c>
      <c r="E17" s="138"/>
      <c r="F17" s="138"/>
      <c r="G17" s="138"/>
      <c r="H17" s="138"/>
      <c r="I17" s="138"/>
      <c r="J17" s="138"/>
      <c r="K17" s="26"/>
      <c r="L17" s="850" t="s">
        <v>120</v>
      </c>
      <c r="M17" s="863">
        <v>0</v>
      </c>
      <c r="N17" s="863">
        <v>0</v>
      </c>
      <c r="O17" s="786"/>
    </row>
    <row r="18" spans="1:15" ht="9.75" customHeight="1">
      <c r="A18" s="397" t="s">
        <v>94</v>
      </c>
      <c r="B18" s="398">
        <v>115.81262</v>
      </c>
      <c r="C18" s="398">
        <v>190.61745999999999</v>
      </c>
      <c r="D18" s="399">
        <f t="shared" si="0"/>
        <v>-0.39243435517396985</v>
      </c>
      <c r="E18" s="138"/>
      <c r="F18" s="138"/>
      <c r="G18" s="138"/>
      <c r="H18" s="138"/>
      <c r="I18" s="138"/>
      <c r="J18" s="138"/>
      <c r="K18" s="26"/>
      <c r="L18" s="850" t="s">
        <v>110</v>
      </c>
      <c r="M18" s="849">
        <v>0</v>
      </c>
      <c r="N18" s="849">
        <v>0</v>
      </c>
      <c r="O18" s="786"/>
    </row>
    <row r="19" spans="1:15" ht="9.75" customHeight="1">
      <c r="A19" s="400" t="s">
        <v>96</v>
      </c>
      <c r="B19" s="401">
        <v>108.10897</v>
      </c>
      <c r="C19" s="401">
        <v>111.07001</v>
      </c>
      <c r="D19" s="402">
        <f t="shared" si="0"/>
        <v>-2.6659221512629672E-2</v>
      </c>
      <c r="E19" s="138"/>
      <c r="F19" s="138"/>
      <c r="G19" s="138"/>
      <c r="H19" s="138"/>
      <c r="I19" s="138"/>
      <c r="J19" s="138"/>
      <c r="K19" s="26"/>
      <c r="L19" s="850" t="s">
        <v>494</v>
      </c>
      <c r="M19" s="849">
        <v>8.8300000000000003E-2</v>
      </c>
      <c r="N19" s="849"/>
      <c r="O19" s="786"/>
    </row>
    <row r="20" spans="1:15" ht="9.75" customHeight="1">
      <c r="A20" s="397" t="s">
        <v>93</v>
      </c>
      <c r="B20" s="398">
        <v>107.57561</v>
      </c>
      <c r="C20" s="398">
        <v>158.59775999999999</v>
      </c>
      <c r="D20" s="399">
        <f t="shared" si="0"/>
        <v>-0.32170788540771322</v>
      </c>
      <c r="E20" s="138"/>
      <c r="F20" s="138"/>
      <c r="G20" s="138"/>
      <c r="H20" s="138"/>
      <c r="I20" s="138"/>
      <c r="J20" s="138"/>
      <c r="K20" s="29"/>
      <c r="L20" s="850" t="s">
        <v>101</v>
      </c>
      <c r="M20" s="849">
        <v>0.50978000000000001</v>
      </c>
      <c r="N20" s="849">
        <v>297.05750999999998</v>
      </c>
      <c r="O20" s="786"/>
    </row>
    <row r="21" spans="1:15" ht="9.75" customHeight="1">
      <c r="A21" s="400" t="s">
        <v>100</v>
      </c>
      <c r="B21" s="401">
        <v>91.066339999999997</v>
      </c>
      <c r="C21" s="401">
        <v>85.351699999999994</v>
      </c>
      <c r="D21" s="402">
        <f t="shared" si="0"/>
        <v>6.6954026691911306E-2</v>
      </c>
      <c r="E21" s="138"/>
      <c r="F21" s="138"/>
      <c r="G21" s="138"/>
      <c r="H21" s="138"/>
      <c r="I21" s="138"/>
      <c r="J21" s="138"/>
      <c r="K21" s="26"/>
      <c r="L21" s="850" t="s">
        <v>595</v>
      </c>
      <c r="M21" s="863">
        <v>0.86545000000000005</v>
      </c>
      <c r="N21" s="863">
        <v>0</v>
      </c>
      <c r="O21" s="786"/>
    </row>
    <row r="22" spans="1:15" ht="9.75" customHeight="1">
      <c r="A22" s="397" t="s">
        <v>97</v>
      </c>
      <c r="B22" s="398">
        <v>90.786299999999997</v>
      </c>
      <c r="C22" s="398">
        <v>90.94068</v>
      </c>
      <c r="D22" s="399">
        <f t="shared" si="0"/>
        <v>-1.6975901213847067E-3</v>
      </c>
      <c r="E22" s="138"/>
      <c r="F22" s="138"/>
      <c r="G22" s="138"/>
      <c r="H22" s="138"/>
      <c r="I22" s="138"/>
      <c r="J22" s="138"/>
      <c r="K22" s="26"/>
      <c r="L22" s="850" t="s">
        <v>118</v>
      </c>
      <c r="M22" s="863">
        <v>1.3524</v>
      </c>
      <c r="N22" s="863">
        <v>1.7150000000000001</v>
      </c>
      <c r="O22" s="786"/>
    </row>
    <row r="23" spans="1:15" ht="9.75" customHeight="1">
      <c r="A23" s="400" t="s">
        <v>98</v>
      </c>
      <c r="B23" s="401">
        <v>82.920580000000001</v>
      </c>
      <c r="C23" s="401">
        <v>88.257440000000003</v>
      </c>
      <c r="D23" s="402">
        <f t="shared" si="0"/>
        <v>-6.0469236361263112E-2</v>
      </c>
      <c r="E23" s="138"/>
      <c r="F23" s="138"/>
      <c r="G23" s="138"/>
      <c r="H23" s="138"/>
      <c r="I23" s="138"/>
      <c r="J23" s="138"/>
      <c r="K23" s="26"/>
      <c r="L23" s="850" t="s">
        <v>115</v>
      </c>
      <c r="M23" s="849">
        <v>1.6198300000000001</v>
      </c>
      <c r="N23" s="849">
        <v>1.50709</v>
      </c>
      <c r="O23" s="786"/>
    </row>
    <row r="24" spans="1:15" ht="9.75" customHeight="1">
      <c r="A24" s="397" t="s">
        <v>106</v>
      </c>
      <c r="B24" s="398">
        <v>75.331770000000006</v>
      </c>
      <c r="C24" s="398">
        <v>0</v>
      </c>
      <c r="D24" s="399" t="str">
        <f t="shared" si="0"/>
        <v/>
      </c>
      <c r="E24" s="138"/>
      <c r="F24" s="138"/>
      <c r="G24" s="138"/>
      <c r="H24" s="138"/>
      <c r="I24" s="138"/>
      <c r="J24" s="138"/>
      <c r="K24" s="29"/>
      <c r="L24" s="850" t="s">
        <v>116</v>
      </c>
      <c r="M24" s="849">
        <v>2.3477800000000002</v>
      </c>
      <c r="N24" s="849">
        <v>2.5080900000000002</v>
      </c>
      <c r="O24" s="786"/>
    </row>
    <row r="25" spans="1:15" ht="9.75" customHeight="1">
      <c r="A25" s="400" t="s">
        <v>519</v>
      </c>
      <c r="B25" s="401">
        <v>56.91836</v>
      </c>
      <c r="C25" s="401">
        <v>85.371499999999997</v>
      </c>
      <c r="D25" s="402">
        <f t="shared" si="0"/>
        <v>-0.33328616692924451</v>
      </c>
      <c r="E25" s="138"/>
      <c r="F25" s="138"/>
      <c r="G25" s="138"/>
      <c r="H25" s="138"/>
      <c r="I25" s="138"/>
      <c r="J25" s="138"/>
      <c r="K25" s="26"/>
      <c r="L25" s="850" t="s">
        <v>117</v>
      </c>
      <c r="M25" s="863">
        <v>3.6</v>
      </c>
      <c r="N25" s="863">
        <v>3.6</v>
      </c>
      <c r="O25" s="786"/>
    </row>
    <row r="26" spans="1:15" ht="9.75" customHeight="1">
      <c r="A26" s="397" t="s">
        <v>249</v>
      </c>
      <c r="B26" s="398">
        <v>47.267439999999993</v>
      </c>
      <c r="C26" s="398">
        <v>82.497349999999997</v>
      </c>
      <c r="D26" s="399">
        <f t="shared" si="0"/>
        <v>-0.42704292925772769</v>
      </c>
      <c r="E26" s="138"/>
      <c r="F26" s="138"/>
      <c r="G26" s="138"/>
      <c r="H26" s="138"/>
      <c r="I26" s="138"/>
      <c r="J26" s="138"/>
      <c r="K26" s="26"/>
      <c r="L26" s="850" t="s">
        <v>520</v>
      </c>
      <c r="M26" s="849">
        <v>7.8860000000000001</v>
      </c>
      <c r="N26" s="849"/>
      <c r="O26" s="786"/>
    </row>
    <row r="27" spans="1:15" ht="9.75" customHeight="1">
      <c r="A27" s="400" t="s">
        <v>253</v>
      </c>
      <c r="B27" s="401">
        <v>31.385619999999999</v>
      </c>
      <c r="C27" s="401">
        <v>29.639150000000001</v>
      </c>
      <c r="D27" s="402">
        <f t="shared" si="0"/>
        <v>5.8924429344296314E-2</v>
      </c>
      <c r="E27" s="138"/>
      <c r="F27" s="138"/>
      <c r="G27" s="138"/>
      <c r="H27" s="138"/>
      <c r="I27" s="138"/>
      <c r="J27" s="138"/>
      <c r="K27" s="26"/>
      <c r="L27" s="850" t="s">
        <v>105</v>
      </c>
      <c r="M27" s="849">
        <v>9.44374</v>
      </c>
      <c r="N27" s="849">
        <v>3.1261299999999999</v>
      </c>
      <c r="O27" s="786"/>
    </row>
    <row r="28" spans="1:15" ht="9.75" customHeight="1">
      <c r="A28" s="397" t="s">
        <v>109</v>
      </c>
      <c r="B28" s="398">
        <v>31.074109999999997</v>
      </c>
      <c r="C28" s="398">
        <v>6.4501600000000003</v>
      </c>
      <c r="D28" s="399">
        <f t="shared" si="0"/>
        <v>3.8175719672070141</v>
      </c>
      <c r="E28" s="138"/>
      <c r="F28" s="138"/>
      <c r="G28" s="138"/>
      <c r="H28" s="138"/>
      <c r="I28" s="138"/>
      <c r="J28" s="138"/>
      <c r="K28" s="26"/>
      <c r="L28" s="850" t="s">
        <v>479</v>
      </c>
      <c r="M28" s="849">
        <v>9.6182999999999996</v>
      </c>
      <c r="N28" s="849">
        <v>6.7560599999999997</v>
      </c>
      <c r="O28" s="786"/>
    </row>
    <row r="29" spans="1:15" ht="9.75" customHeight="1">
      <c r="A29" s="403" t="s">
        <v>103</v>
      </c>
      <c r="B29" s="404">
        <v>28.075600000000001</v>
      </c>
      <c r="C29" s="404">
        <v>0</v>
      </c>
      <c r="D29" s="405" t="str">
        <f t="shared" si="0"/>
        <v/>
      </c>
      <c r="E29" s="138"/>
      <c r="F29" s="138"/>
      <c r="G29" s="138"/>
      <c r="H29" s="138"/>
      <c r="I29" s="138"/>
      <c r="J29" s="138"/>
      <c r="K29" s="26"/>
      <c r="L29" s="850" t="s">
        <v>559</v>
      </c>
      <c r="M29" s="849">
        <v>10.050419999999999</v>
      </c>
      <c r="N29" s="849"/>
      <c r="O29" s="786"/>
    </row>
    <row r="30" spans="1:15" ht="9.75" customHeight="1">
      <c r="A30" s="406" t="s">
        <v>102</v>
      </c>
      <c r="B30" s="407">
        <v>24.864000000000001</v>
      </c>
      <c r="C30" s="407">
        <v>48.050460000000001</v>
      </c>
      <c r="D30" s="408">
        <f t="shared" si="0"/>
        <v>-0.48254397564560259</v>
      </c>
      <c r="E30" s="138"/>
      <c r="F30" s="138"/>
      <c r="G30" s="138"/>
      <c r="H30" s="138"/>
      <c r="I30" s="138"/>
      <c r="J30" s="138"/>
      <c r="K30" s="26"/>
      <c r="L30" s="850" t="s">
        <v>618</v>
      </c>
      <c r="M30" s="849">
        <v>10.9375</v>
      </c>
      <c r="N30" s="849"/>
      <c r="O30" s="786"/>
    </row>
    <row r="31" spans="1:15" ht="9.75" customHeight="1">
      <c r="A31" s="409" t="s">
        <v>754</v>
      </c>
      <c r="B31" s="410">
        <v>21.031730000000003</v>
      </c>
      <c r="C31" s="410">
        <v>60.228260000000006</v>
      </c>
      <c r="D31" s="411">
        <f t="shared" si="0"/>
        <v>-0.65079964123154144</v>
      </c>
      <c r="E31" s="138"/>
      <c r="F31" s="138"/>
      <c r="G31" s="138"/>
      <c r="H31" s="138"/>
      <c r="I31" s="138"/>
      <c r="J31" s="138"/>
      <c r="K31" s="26"/>
      <c r="L31" s="850" t="s">
        <v>489</v>
      </c>
      <c r="M31" s="849">
        <v>11.063040000000001</v>
      </c>
      <c r="N31" s="849">
        <v>0</v>
      </c>
      <c r="O31" s="786"/>
    </row>
    <row r="32" spans="1:15" ht="9.75" customHeight="1">
      <c r="A32" s="406" t="s">
        <v>114</v>
      </c>
      <c r="B32" s="407">
        <v>20.43648</v>
      </c>
      <c r="C32" s="407">
        <v>3.43588</v>
      </c>
      <c r="D32" s="408">
        <f t="shared" si="0"/>
        <v>4.9479609299509875</v>
      </c>
      <c r="E32" s="138"/>
      <c r="F32" s="138"/>
      <c r="G32" s="138"/>
      <c r="H32" s="138"/>
      <c r="I32" s="138"/>
      <c r="J32" s="138"/>
      <c r="K32" s="26"/>
      <c r="L32" s="850" t="s">
        <v>501</v>
      </c>
      <c r="M32" s="849">
        <v>12.681609999999999</v>
      </c>
      <c r="N32" s="849">
        <v>18.926960000000001</v>
      </c>
      <c r="O32" s="786"/>
    </row>
    <row r="33" spans="1:15" ht="19.5" customHeight="1">
      <c r="A33" s="584" t="s">
        <v>462</v>
      </c>
      <c r="B33" s="410">
        <v>20.00038</v>
      </c>
      <c r="C33" s="410">
        <v>6.3366600000000002</v>
      </c>
      <c r="D33" s="411">
        <f t="shared" si="0"/>
        <v>2.1562968503912154</v>
      </c>
      <c r="E33" s="138"/>
      <c r="F33" s="138"/>
      <c r="G33" s="138"/>
      <c r="H33" s="138"/>
      <c r="I33" s="138"/>
      <c r="J33" s="138"/>
      <c r="K33" s="26"/>
      <c r="L33" s="850" t="s">
        <v>107</v>
      </c>
      <c r="M33" s="849">
        <v>15.04555</v>
      </c>
      <c r="N33" s="849">
        <v>9.3284199999999995</v>
      </c>
      <c r="O33" s="786"/>
    </row>
    <row r="34" spans="1:15" ht="9.75" customHeight="1">
      <c r="A34" s="406" t="s">
        <v>121</v>
      </c>
      <c r="B34" s="407">
        <v>19.29279</v>
      </c>
      <c r="C34" s="407">
        <v>4.4659599999999999</v>
      </c>
      <c r="D34" s="408">
        <f t="shared" si="0"/>
        <v>3.3199648004012579</v>
      </c>
      <c r="E34" s="138"/>
      <c r="F34" s="138"/>
      <c r="G34" s="138"/>
      <c r="H34" s="138"/>
      <c r="I34" s="138"/>
      <c r="J34" s="138"/>
      <c r="K34" s="26"/>
      <c r="L34" s="850" t="s">
        <v>251</v>
      </c>
      <c r="M34" s="849">
        <v>15.62922</v>
      </c>
      <c r="N34" s="849">
        <v>16.409300000000002</v>
      </c>
      <c r="O34" s="786"/>
    </row>
    <row r="35" spans="1:15" ht="11.25" customHeight="1">
      <c r="A35" s="584" t="s">
        <v>104</v>
      </c>
      <c r="B35" s="410">
        <v>18.948140000000002</v>
      </c>
      <c r="C35" s="410">
        <v>17.431999999999999</v>
      </c>
      <c r="D35" s="411">
        <f t="shared" si="0"/>
        <v>8.6974529600734485E-2</v>
      </c>
      <c r="E35" s="138"/>
      <c r="F35" s="138"/>
      <c r="G35" s="138"/>
      <c r="H35" s="138"/>
      <c r="I35" s="138"/>
      <c r="J35" s="138"/>
      <c r="K35" s="26"/>
      <c r="L35" s="850" t="s">
        <v>104</v>
      </c>
      <c r="M35" s="849">
        <v>18.948140000000002</v>
      </c>
      <c r="N35" s="849">
        <v>17.431999999999999</v>
      </c>
      <c r="O35" s="786"/>
    </row>
    <row r="36" spans="1:15" ht="9.75" customHeight="1">
      <c r="A36" s="406" t="s">
        <v>251</v>
      </c>
      <c r="B36" s="407">
        <v>15.62922</v>
      </c>
      <c r="C36" s="407">
        <v>16.409300000000002</v>
      </c>
      <c r="D36" s="408">
        <f t="shared" si="0"/>
        <v>-4.7538895626260791E-2</v>
      </c>
      <c r="E36" s="138"/>
      <c r="F36" s="138"/>
      <c r="G36" s="138"/>
      <c r="H36" s="138"/>
      <c r="I36" s="138"/>
      <c r="J36" s="138"/>
      <c r="K36" s="34"/>
      <c r="L36" s="850" t="s">
        <v>121</v>
      </c>
      <c r="M36" s="849">
        <v>19.29279</v>
      </c>
      <c r="N36" s="849">
        <v>4.4659599999999999</v>
      </c>
      <c r="O36" s="786"/>
    </row>
    <row r="37" spans="1:15" ht="16.5" customHeight="1">
      <c r="A37" s="584" t="s">
        <v>107</v>
      </c>
      <c r="B37" s="410">
        <v>15.04555</v>
      </c>
      <c r="C37" s="410">
        <v>9.3284199999999995</v>
      </c>
      <c r="D37" s="411">
        <f t="shared" si="0"/>
        <v>0.61287227633404173</v>
      </c>
      <c r="E37" s="138"/>
      <c r="F37" s="138"/>
      <c r="G37" s="138"/>
      <c r="H37" s="138"/>
      <c r="I37" s="138"/>
      <c r="J37" s="138"/>
      <c r="K37" s="34"/>
      <c r="L37" s="850" t="s">
        <v>462</v>
      </c>
      <c r="M37" s="863">
        <v>20.00038</v>
      </c>
      <c r="N37" s="863">
        <v>6.3366600000000002</v>
      </c>
      <c r="O37" s="786"/>
    </row>
    <row r="38" spans="1:15" ht="18.75" customHeight="1">
      <c r="A38" s="839" t="s">
        <v>501</v>
      </c>
      <c r="B38" s="407">
        <v>12.681609999999999</v>
      </c>
      <c r="C38" s="407">
        <v>18.926960000000001</v>
      </c>
      <c r="D38" s="408">
        <f t="shared" si="0"/>
        <v>-0.3299711099933641</v>
      </c>
      <c r="E38" s="138"/>
      <c r="F38" s="138"/>
      <c r="G38" s="138"/>
      <c r="H38" s="138"/>
      <c r="I38" s="138"/>
      <c r="J38" s="138"/>
      <c r="K38" s="29"/>
      <c r="L38" s="850" t="s">
        <v>114</v>
      </c>
      <c r="M38" s="849">
        <v>20.43648</v>
      </c>
      <c r="N38" s="849">
        <v>3.43588</v>
      </c>
      <c r="O38" s="786"/>
    </row>
    <row r="39" spans="1:15" ht="20.25" customHeight="1">
      <c r="A39" s="584" t="s">
        <v>489</v>
      </c>
      <c r="B39" s="410">
        <v>11.063040000000001</v>
      </c>
      <c r="C39" s="410">
        <v>0</v>
      </c>
      <c r="D39" s="411" t="str">
        <f t="shared" si="0"/>
        <v/>
      </c>
      <c r="E39" s="138"/>
      <c r="F39" s="138"/>
      <c r="G39" s="138"/>
      <c r="H39" s="138"/>
      <c r="I39" s="138"/>
      <c r="J39" s="138"/>
      <c r="K39" s="29"/>
      <c r="L39" s="850" t="s">
        <v>605</v>
      </c>
      <c r="M39" s="849">
        <v>21.031730000000003</v>
      </c>
      <c r="N39" s="849">
        <v>60.228260000000006</v>
      </c>
      <c r="O39" s="786"/>
    </row>
    <row r="40" spans="1:15" ht="13.5" customHeight="1">
      <c r="A40" s="840" t="s">
        <v>618</v>
      </c>
      <c r="B40" s="407">
        <v>10.9375</v>
      </c>
      <c r="C40" s="407"/>
      <c r="D40" s="408" t="str">
        <f t="shared" si="0"/>
        <v/>
      </c>
      <c r="E40" s="138"/>
      <c r="F40" s="138"/>
      <c r="G40" s="138"/>
      <c r="H40" s="138"/>
      <c r="I40" s="138"/>
      <c r="J40" s="138"/>
      <c r="K40" s="29"/>
      <c r="L40" s="850" t="s">
        <v>102</v>
      </c>
      <c r="M40" s="849">
        <v>24.864000000000001</v>
      </c>
      <c r="N40" s="849">
        <v>48.050460000000001</v>
      </c>
      <c r="O40" s="786"/>
    </row>
    <row r="41" spans="1:15" ht="9.75" customHeight="1">
      <c r="A41" s="409" t="s">
        <v>559</v>
      </c>
      <c r="B41" s="410">
        <v>10.050419999999999</v>
      </c>
      <c r="C41" s="410"/>
      <c r="D41" s="411" t="str">
        <f t="shared" si="0"/>
        <v/>
      </c>
      <c r="E41" s="138"/>
      <c r="F41" s="138"/>
      <c r="G41" s="138"/>
      <c r="H41" s="138"/>
      <c r="I41" s="138"/>
      <c r="J41" s="138"/>
      <c r="K41" s="34"/>
      <c r="L41" s="850" t="s">
        <v>103</v>
      </c>
      <c r="M41" s="849">
        <v>28.075600000000001</v>
      </c>
      <c r="N41" s="849">
        <v>0</v>
      </c>
      <c r="O41" s="786"/>
    </row>
    <row r="42" spans="1:15" ht="9.75" customHeight="1">
      <c r="A42" s="406" t="s">
        <v>479</v>
      </c>
      <c r="B42" s="407">
        <v>9.6182999999999996</v>
      </c>
      <c r="C42" s="407">
        <v>6.7560599999999997</v>
      </c>
      <c r="D42" s="408">
        <f t="shared" si="0"/>
        <v>0.4236552073249793</v>
      </c>
      <c r="E42" s="138"/>
      <c r="F42" s="138"/>
      <c r="G42" s="138"/>
      <c r="H42" s="138"/>
      <c r="I42" s="138"/>
      <c r="J42" s="138"/>
      <c r="K42" s="34"/>
      <c r="L42" s="850" t="s">
        <v>109</v>
      </c>
      <c r="M42" s="849">
        <v>31.074109999999997</v>
      </c>
      <c r="N42" s="849">
        <v>6.4501600000000003</v>
      </c>
      <c r="O42" s="786"/>
    </row>
    <row r="43" spans="1:15" ht="9.75" customHeight="1">
      <c r="A43" s="409" t="s">
        <v>105</v>
      </c>
      <c r="B43" s="410">
        <v>9.44374</v>
      </c>
      <c r="C43" s="410">
        <v>3.1261299999999999</v>
      </c>
      <c r="D43" s="411">
        <f t="shared" si="0"/>
        <v>2.0209044409541512</v>
      </c>
      <c r="E43" s="138"/>
      <c r="F43" s="138"/>
      <c r="G43" s="138"/>
      <c r="H43" s="138"/>
      <c r="I43" s="138"/>
      <c r="J43" s="138"/>
      <c r="K43" s="34"/>
      <c r="L43" s="850" t="s">
        <v>253</v>
      </c>
      <c r="M43" s="849">
        <v>31.385619999999999</v>
      </c>
      <c r="N43" s="849">
        <v>29.639150000000001</v>
      </c>
      <c r="O43" s="786"/>
    </row>
    <row r="44" spans="1:15" ht="9.75" customHeight="1">
      <c r="A44" s="406" t="s">
        <v>520</v>
      </c>
      <c r="B44" s="407">
        <v>7.8860000000000001</v>
      </c>
      <c r="C44" s="407"/>
      <c r="D44" s="408" t="str">
        <f t="shared" si="0"/>
        <v/>
      </c>
      <c r="E44" s="138"/>
      <c r="F44" s="138"/>
      <c r="G44" s="138"/>
      <c r="H44" s="138"/>
      <c r="I44" s="138"/>
      <c r="J44" s="138"/>
      <c r="L44" s="850" t="s">
        <v>249</v>
      </c>
      <c r="M44" s="849">
        <v>47.267439999999993</v>
      </c>
      <c r="N44" s="849">
        <v>82.497349999999997</v>
      </c>
      <c r="O44" s="786"/>
    </row>
    <row r="45" spans="1:15" ht="9.75" customHeight="1">
      <c r="A45" s="409" t="s">
        <v>117</v>
      </c>
      <c r="B45" s="410">
        <v>3.6</v>
      </c>
      <c r="C45" s="410">
        <v>3.6</v>
      </c>
      <c r="D45" s="411">
        <f t="shared" si="0"/>
        <v>0</v>
      </c>
      <c r="E45" s="138"/>
      <c r="F45" s="138"/>
      <c r="G45" s="138"/>
      <c r="H45" s="138"/>
      <c r="I45" s="138"/>
      <c r="J45" s="138"/>
      <c r="L45" s="850" t="s">
        <v>519</v>
      </c>
      <c r="M45" s="849">
        <v>56.91836</v>
      </c>
      <c r="N45" s="849">
        <v>85.371499999999997</v>
      </c>
      <c r="O45" s="786"/>
    </row>
    <row r="46" spans="1:15" ht="9.75" customHeight="1">
      <c r="A46" s="406" t="s">
        <v>116</v>
      </c>
      <c r="B46" s="407">
        <v>2.3477800000000002</v>
      </c>
      <c r="C46" s="407">
        <v>2.5080900000000002</v>
      </c>
      <c r="D46" s="408">
        <f t="shared" si="0"/>
        <v>-6.391716405711112E-2</v>
      </c>
      <c r="E46" s="138"/>
      <c r="F46" s="138"/>
      <c r="G46" s="138"/>
      <c r="H46" s="138"/>
      <c r="I46" s="138"/>
      <c r="J46" s="138"/>
      <c r="L46" s="850" t="s">
        <v>106</v>
      </c>
      <c r="M46" s="849">
        <v>75.331770000000006</v>
      </c>
      <c r="N46" s="849">
        <v>0</v>
      </c>
      <c r="O46" s="786"/>
    </row>
    <row r="47" spans="1:15" ht="9.75" customHeight="1">
      <c r="A47" s="409" t="s">
        <v>115</v>
      </c>
      <c r="B47" s="410">
        <v>1.6198300000000001</v>
      </c>
      <c r="C47" s="410">
        <v>1.50709</v>
      </c>
      <c r="D47" s="411">
        <f t="shared" si="0"/>
        <v>7.4806415011711369E-2</v>
      </c>
      <c r="E47" s="138"/>
      <c r="F47" s="138"/>
      <c r="G47" s="138"/>
      <c r="H47" s="138"/>
      <c r="I47" s="138"/>
      <c r="J47" s="138"/>
      <c r="L47" s="850" t="s">
        <v>98</v>
      </c>
      <c r="M47" s="849">
        <v>82.920580000000001</v>
      </c>
      <c r="N47" s="849">
        <v>88.257440000000003</v>
      </c>
      <c r="O47" s="786"/>
    </row>
    <row r="48" spans="1:15" ht="9.75" customHeight="1">
      <c r="A48" s="406" t="s">
        <v>118</v>
      </c>
      <c r="B48" s="407">
        <v>1.3524</v>
      </c>
      <c r="C48" s="407">
        <v>1.7150000000000001</v>
      </c>
      <c r="D48" s="408">
        <f t="shared" si="0"/>
        <v>-0.21142857142857141</v>
      </c>
      <c r="E48" s="138"/>
      <c r="F48" s="138"/>
      <c r="G48" s="138"/>
      <c r="H48" s="138"/>
      <c r="I48" s="138"/>
      <c r="J48" s="138"/>
      <c r="L48" s="850" t="s">
        <v>97</v>
      </c>
      <c r="M48" s="849">
        <v>90.786299999999997</v>
      </c>
      <c r="N48" s="849">
        <v>90.94068</v>
      </c>
      <c r="O48" s="786"/>
    </row>
    <row r="49" spans="1:15" ht="21" customHeight="1">
      <c r="A49" s="584" t="s">
        <v>752</v>
      </c>
      <c r="B49" s="410">
        <v>0.86545000000000005</v>
      </c>
      <c r="C49" s="410">
        <v>0</v>
      </c>
      <c r="D49" s="411" t="str">
        <f t="shared" si="0"/>
        <v/>
      </c>
      <c r="E49" s="138"/>
      <c r="F49" s="138"/>
      <c r="G49" s="138"/>
      <c r="H49" s="138"/>
      <c r="I49" s="138"/>
      <c r="J49" s="138"/>
      <c r="L49" s="850" t="s">
        <v>100</v>
      </c>
      <c r="M49" s="849">
        <v>91.066339999999997</v>
      </c>
      <c r="N49" s="849">
        <v>85.351699999999994</v>
      </c>
      <c r="O49" s="786"/>
    </row>
    <row r="50" spans="1:15" ht="10.5" customHeight="1">
      <c r="A50" s="839" t="s">
        <v>101</v>
      </c>
      <c r="B50" s="407">
        <v>0.50978000000000001</v>
      </c>
      <c r="C50" s="407">
        <v>297.05750999999998</v>
      </c>
      <c r="D50" s="408">
        <f t="shared" si="0"/>
        <v>-0.99828390132267653</v>
      </c>
      <c r="E50" s="138"/>
      <c r="F50" s="138"/>
      <c r="G50" s="138"/>
      <c r="H50" s="138"/>
      <c r="I50" s="138"/>
      <c r="J50" s="138"/>
      <c r="L50" s="850" t="s">
        <v>93</v>
      </c>
      <c r="M50" s="849">
        <v>107.57561</v>
      </c>
      <c r="N50" s="849">
        <v>158.59775999999999</v>
      </c>
      <c r="O50" s="786"/>
    </row>
    <row r="51" spans="1:15" ht="9.75" customHeight="1">
      <c r="A51" s="584" t="s">
        <v>494</v>
      </c>
      <c r="B51" s="410">
        <v>8.8300000000000003E-2</v>
      </c>
      <c r="C51" s="410"/>
      <c r="D51" s="411" t="str">
        <f t="shared" si="0"/>
        <v/>
      </c>
      <c r="E51" s="138"/>
      <c r="F51" s="138"/>
      <c r="G51" s="138"/>
      <c r="H51" s="138"/>
      <c r="I51" s="138"/>
      <c r="J51" s="138"/>
      <c r="L51" s="850" t="s">
        <v>96</v>
      </c>
      <c r="M51" s="849">
        <v>108.10897</v>
      </c>
      <c r="N51" s="849">
        <v>111.07001</v>
      </c>
      <c r="O51" s="786"/>
    </row>
    <row r="52" spans="1:15" ht="9.75" customHeight="1">
      <c r="A52" s="406" t="s">
        <v>122</v>
      </c>
      <c r="B52" s="407">
        <v>0</v>
      </c>
      <c r="C52" s="407">
        <v>0</v>
      </c>
      <c r="D52" s="408" t="str">
        <f t="shared" si="0"/>
        <v/>
      </c>
      <c r="E52" s="138"/>
      <c r="F52" s="138"/>
      <c r="G52" s="138"/>
      <c r="H52" s="138"/>
      <c r="I52" s="138"/>
      <c r="J52" s="138"/>
      <c r="L52" s="850" t="s">
        <v>94</v>
      </c>
      <c r="M52" s="849">
        <v>115.81262</v>
      </c>
      <c r="N52" s="849">
        <v>190.61745999999999</v>
      </c>
      <c r="O52" s="786"/>
    </row>
    <row r="53" spans="1:15" ht="9.75" customHeight="1">
      <c r="A53" s="409" t="s">
        <v>247</v>
      </c>
      <c r="B53" s="410">
        <v>0</v>
      </c>
      <c r="C53" s="410">
        <v>0</v>
      </c>
      <c r="D53" s="411" t="str">
        <f t="shared" si="0"/>
        <v/>
      </c>
      <c r="E53" s="138"/>
      <c r="F53" s="138"/>
      <c r="G53" s="138"/>
      <c r="H53" s="138"/>
      <c r="I53" s="138"/>
      <c r="J53" s="138"/>
      <c r="L53" s="850" t="s">
        <v>99</v>
      </c>
      <c r="M53" s="849">
        <v>129.91175999999999</v>
      </c>
      <c r="N53" s="849">
        <v>129.21872999999999</v>
      </c>
      <c r="O53" s="786"/>
    </row>
    <row r="54" spans="1:15" ht="9.75" customHeight="1">
      <c r="A54" s="406" t="s">
        <v>112</v>
      </c>
      <c r="B54" s="407">
        <v>0</v>
      </c>
      <c r="C54" s="407">
        <v>0</v>
      </c>
      <c r="D54" s="408" t="str">
        <f t="shared" si="0"/>
        <v/>
      </c>
      <c r="E54" s="138"/>
      <c r="F54" s="138"/>
      <c r="G54" s="138"/>
      <c r="H54" s="138"/>
      <c r="I54" s="138"/>
      <c r="J54" s="138"/>
      <c r="L54" s="850" t="s">
        <v>92</v>
      </c>
      <c r="M54" s="849">
        <v>155.04728999999998</v>
      </c>
      <c r="N54" s="849">
        <v>160.10578999999998</v>
      </c>
      <c r="O54" s="786"/>
    </row>
    <row r="55" spans="1:15" ht="9.75" customHeight="1">
      <c r="A55" s="409" t="s">
        <v>113</v>
      </c>
      <c r="B55" s="410">
        <v>0</v>
      </c>
      <c r="C55" s="410">
        <v>0</v>
      </c>
      <c r="D55" s="411" t="str">
        <f t="shared" si="0"/>
        <v/>
      </c>
      <c r="E55" s="138"/>
      <c r="F55" s="138"/>
      <c r="G55" s="138"/>
      <c r="H55" s="138"/>
      <c r="I55" s="138"/>
      <c r="J55" s="138"/>
      <c r="L55" s="850" t="s">
        <v>95</v>
      </c>
      <c r="M55" s="849">
        <v>194.63587000000001</v>
      </c>
      <c r="N55" s="849">
        <v>152.41277000000002</v>
      </c>
      <c r="O55" s="786"/>
    </row>
    <row r="56" spans="1:15" ht="9.75" customHeight="1">
      <c r="A56" s="406" t="s">
        <v>481</v>
      </c>
      <c r="B56" s="407">
        <v>0</v>
      </c>
      <c r="C56" s="407">
        <v>0.09</v>
      </c>
      <c r="D56" s="408">
        <f t="shared" si="0"/>
        <v>-1</v>
      </c>
      <c r="E56" s="138"/>
      <c r="F56" s="138"/>
      <c r="G56" s="138"/>
      <c r="H56" s="138"/>
      <c r="I56" s="138"/>
      <c r="J56" s="138"/>
      <c r="L56" s="850" t="s">
        <v>252</v>
      </c>
      <c r="M56" s="849">
        <v>212.86322000000001</v>
      </c>
      <c r="N56" s="849">
        <v>131.76463999999999</v>
      </c>
      <c r="O56" s="786"/>
    </row>
    <row r="57" spans="1:15" ht="9.75" customHeight="1">
      <c r="A57" s="409" t="s">
        <v>119</v>
      </c>
      <c r="B57" s="410">
        <v>0</v>
      </c>
      <c r="C57" s="410">
        <v>0</v>
      </c>
      <c r="D57" s="411" t="str">
        <f t="shared" si="0"/>
        <v/>
      </c>
      <c r="E57" s="138"/>
      <c r="F57" s="138"/>
      <c r="G57" s="138"/>
      <c r="H57" s="138"/>
      <c r="I57" s="138"/>
      <c r="J57" s="138"/>
      <c r="L57" s="850" t="s">
        <v>91</v>
      </c>
      <c r="M57" s="849">
        <v>244.84998999999999</v>
      </c>
      <c r="N57" s="849">
        <v>228.13911000000004</v>
      </c>
      <c r="O57" s="786"/>
    </row>
    <row r="58" spans="1:15" ht="9.75" customHeight="1">
      <c r="A58" s="406" t="s">
        <v>111</v>
      </c>
      <c r="B58" s="407">
        <v>0</v>
      </c>
      <c r="C58" s="407">
        <v>0</v>
      </c>
      <c r="D58" s="408" t="str">
        <f t="shared" si="0"/>
        <v/>
      </c>
      <c r="E58" s="138"/>
      <c r="F58" s="138"/>
      <c r="G58" s="138"/>
      <c r="H58" s="138"/>
      <c r="I58" s="138"/>
      <c r="J58" s="138"/>
      <c r="L58" s="850" t="s">
        <v>250</v>
      </c>
      <c r="M58" s="849">
        <v>270.29468000000003</v>
      </c>
      <c r="N58" s="849">
        <v>547.74076000000002</v>
      </c>
      <c r="O58" s="786"/>
    </row>
    <row r="59" spans="1:15" ht="9.75" customHeight="1">
      <c r="A59" s="390" t="s">
        <v>108</v>
      </c>
      <c r="B59" s="391">
        <v>0</v>
      </c>
      <c r="C59" s="391">
        <v>0</v>
      </c>
      <c r="D59" s="411" t="str">
        <f t="shared" si="0"/>
        <v/>
      </c>
      <c r="E59" s="138"/>
      <c r="F59" s="138"/>
      <c r="G59" s="138"/>
      <c r="H59" s="138"/>
      <c r="I59" s="138"/>
      <c r="J59" s="138"/>
      <c r="L59" s="850" t="s">
        <v>248</v>
      </c>
      <c r="M59" s="849">
        <v>356.78033000000005</v>
      </c>
      <c r="N59" s="849">
        <v>449.53442000000001</v>
      </c>
      <c r="O59" s="786"/>
    </row>
    <row r="60" spans="1:15" ht="9.75" customHeight="1">
      <c r="A60" s="412" t="s">
        <v>254</v>
      </c>
      <c r="B60" s="413">
        <v>0</v>
      </c>
      <c r="C60" s="413">
        <v>0</v>
      </c>
      <c r="D60" s="414" t="str">
        <f t="shared" si="0"/>
        <v/>
      </c>
      <c r="E60" s="138"/>
      <c r="F60" s="138"/>
      <c r="G60" s="138"/>
      <c r="H60" s="138"/>
      <c r="I60" s="138"/>
      <c r="J60" s="138"/>
      <c r="L60" s="850" t="s">
        <v>90</v>
      </c>
      <c r="M60" s="849">
        <v>721.59647999999993</v>
      </c>
      <c r="N60" s="849">
        <v>853.33679999999993</v>
      </c>
      <c r="O60" s="786"/>
    </row>
    <row r="61" spans="1:15" ht="9.75" customHeight="1">
      <c r="A61" s="390" t="s">
        <v>255</v>
      </c>
      <c r="B61" s="391">
        <v>0</v>
      </c>
      <c r="C61" s="391">
        <v>0</v>
      </c>
      <c r="D61" s="402" t="str">
        <f t="shared" si="0"/>
        <v/>
      </c>
      <c r="E61" s="138"/>
      <c r="F61" s="138"/>
      <c r="G61" s="138"/>
      <c r="H61" s="138"/>
      <c r="I61" s="138"/>
      <c r="J61" s="138"/>
      <c r="L61" s="850" t="s">
        <v>88</v>
      </c>
      <c r="M61" s="849">
        <v>938.29721999999992</v>
      </c>
      <c r="N61" s="849">
        <v>799.47267000000011</v>
      </c>
      <c r="O61" s="786"/>
    </row>
    <row r="62" spans="1:15" ht="9.75" customHeight="1">
      <c r="A62" s="412" t="s">
        <v>120</v>
      </c>
      <c r="B62" s="413">
        <v>0</v>
      </c>
      <c r="C62" s="413">
        <v>0</v>
      </c>
      <c r="D62" s="414" t="str">
        <f t="shared" si="0"/>
        <v/>
      </c>
      <c r="E62" s="138"/>
      <c r="F62" s="138"/>
      <c r="G62" s="138"/>
      <c r="H62" s="138"/>
      <c r="I62" s="138"/>
      <c r="J62" s="138"/>
      <c r="L62" s="850" t="s">
        <v>89</v>
      </c>
      <c r="M62" s="849">
        <v>1184.59446</v>
      </c>
      <c r="N62" s="849">
        <v>800.94775000000016</v>
      </c>
      <c r="O62" s="786"/>
    </row>
    <row r="63" spans="1:15" s="819" customFormat="1" ht="9.75" customHeight="1">
      <c r="A63" s="860" t="s">
        <v>110</v>
      </c>
      <c r="B63" s="862">
        <v>0</v>
      </c>
      <c r="C63" s="862">
        <v>0</v>
      </c>
      <c r="D63" s="861" t="str">
        <f t="shared" si="0"/>
        <v/>
      </c>
      <c r="E63" s="138"/>
      <c r="F63" s="138"/>
      <c r="G63" s="138"/>
      <c r="H63" s="138"/>
      <c r="I63" s="138"/>
      <c r="J63" s="138"/>
      <c r="L63" s="850" t="s">
        <v>478</v>
      </c>
      <c r="M63" s="849">
        <v>1328.0607600000001</v>
      </c>
      <c r="N63" s="849">
        <v>975.18330000000003</v>
      </c>
      <c r="O63" s="786"/>
    </row>
    <row r="64" spans="1:15" ht="9.75" customHeight="1">
      <c r="A64" s="392" t="s">
        <v>43</v>
      </c>
      <c r="B64" s="676">
        <f>SUM(B7:B63)</f>
        <v>6840.5678199999993</v>
      </c>
      <c r="C64" s="676">
        <f>SUM(C7:C63)</f>
        <v>6657.6237300000003</v>
      </c>
      <c r="D64" s="393">
        <f>IF(C64=0,"",B64/C64-1)</f>
        <v>2.7478886975187855E-2</v>
      </c>
      <c r="E64" s="138"/>
      <c r="F64" s="138"/>
      <c r="G64" s="138"/>
      <c r="H64" s="138"/>
      <c r="I64" s="138"/>
      <c r="J64" s="138"/>
      <c r="L64" s="850"/>
      <c r="M64" s="851"/>
      <c r="N64" s="851"/>
      <c r="O64" s="786"/>
    </row>
    <row r="65" spans="1:14" ht="51.75" customHeight="1">
      <c r="A65" s="924" t="str">
        <f>"Cuadro N° 8: Participación de las empresas generadoras del COES en la máxima potencia coincidente (MW) en "&amp;'1. Resumen'!Q4</f>
        <v>Cuadro N° 8: Participación de las empresas generadoras del COES en la máxima potencia coincidente (MW) en octubre</v>
      </c>
      <c r="B65" s="924"/>
      <c r="C65" s="924"/>
      <c r="D65" s="924"/>
      <c r="E65" s="132"/>
      <c r="F65" s="924" t="str">
        <f>"Gráfico N° 12: Comparación de la máxima potencia coincidente  (MW) de las empresas generadoras del COES en "&amp;'1. Resumen'!Q4</f>
        <v>Gráfico N° 12: Comparación de la máxima potencia coincidente  (MW) de las empresas generadoras del COES en octubre</v>
      </c>
      <c r="G65" s="924"/>
      <c r="H65" s="924"/>
      <c r="I65" s="924"/>
      <c r="J65" s="924"/>
      <c r="L65" s="850"/>
      <c r="M65" s="852"/>
      <c r="N65" s="852"/>
    </row>
    <row r="66" spans="1:14" ht="25.5" customHeight="1">
      <c r="A66" s="927" t="s">
        <v>591</v>
      </c>
      <c r="B66" s="927"/>
      <c r="C66" s="927"/>
      <c r="D66" s="927"/>
      <c r="E66" s="927"/>
      <c r="F66" s="927"/>
      <c r="G66" s="927"/>
      <c r="H66" s="927"/>
      <c r="I66" s="927"/>
      <c r="J66" s="927"/>
    </row>
    <row r="67" spans="1:14" ht="17.25" customHeight="1">
      <c r="A67" s="926" t="s">
        <v>589</v>
      </c>
      <c r="B67" s="926"/>
      <c r="C67" s="926"/>
      <c r="D67" s="926"/>
      <c r="E67" s="926"/>
      <c r="F67" s="926"/>
      <c r="G67" s="926"/>
      <c r="H67" s="926"/>
      <c r="I67" s="926"/>
      <c r="J67" s="926"/>
    </row>
    <row r="68" spans="1:14" ht="15" customHeight="1">
      <c r="A68" s="926" t="s">
        <v>753</v>
      </c>
      <c r="B68" s="926"/>
      <c r="C68" s="926"/>
      <c r="D68" s="926"/>
      <c r="E68" s="926"/>
      <c r="F68" s="926"/>
      <c r="G68" s="926"/>
      <c r="H68" s="926"/>
      <c r="I68" s="926"/>
      <c r="J68" s="926"/>
    </row>
    <row r="69" spans="1:14">
      <c r="A69" s="926"/>
      <c r="B69" s="926"/>
      <c r="C69" s="926"/>
      <c r="D69" s="926"/>
      <c r="E69" s="926"/>
      <c r="F69" s="926"/>
      <c r="G69" s="926"/>
      <c r="H69" s="926"/>
      <c r="I69" s="926"/>
      <c r="J69" s="926"/>
    </row>
    <row r="70" spans="1:14">
      <c r="A70" s="919"/>
      <c r="B70" s="919"/>
      <c r="C70" s="919"/>
      <c r="D70" s="919"/>
      <c r="E70" s="919"/>
      <c r="F70" s="919"/>
      <c r="G70" s="919"/>
      <c r="H70" s="919"/>
      <c r="I70" s="919"/>
      <c r="J70" s="919"/>
    </row>
    <row r="71" spans="1:14">
      <c r="A71" s="918"/>
      <c r="B71" s="918"/>
      <c r="C71" s="918"/>
      <c r="D71" s="918"/>
      <c r="E71" s="918"/>
      <c r="F71" s="918"/>
      <c r="G71" s="918"/>
      <c r="H71" s="918"/>
      <c r="I71" s="918"/>
      <c r="J71" s="918"/>
    </row>
    <row r="72" spans="1:14">
      <c r="A72" s="939"/>
      <c r="B72" s="939"/>
      <c r="C72" s="939"/>
      <c r="D72" s="939"/>
      <c r="E72" s="939"/>
      <c r="F72" s="939"/>
      <c r="G72" s="939"/>
      <c r="H72" s="939"/>
      <c r="I72" s="939"/>
      <c r="J72" s="939"/>
    </row>
    <row r="73" spans="1:14">
      <c r="A73" s="938"/>
      <c r="B73" s="938"/>
      <c r="C73" s="938"/>
      <c r="D73" s="938"/>
      <c r="E73" s="938"/>
      <c r="F73" s="938"/>
      <c r="G73" s="938"/>
      <c r="H73" s="938"/>
      <c r="I73" s="938"/>
      <c r="J73" s="938"/>
    </row>
  </sheetData>
  <mergeCells count="15">
    <mergeCell ref="A66:J66"/>
    <mergeCell ref="A67:J67"/>
    <mergeCell ref="A65:D65"/>
    <mergeCell ref="F65:J65"/>
    <mergeCell ref="A1:J1"/>
    <mergeCell ref="A3:A6"/>
    <mergeCell ref="B3:D3"/>
    <mergeCell ref="G3:I3"/>
    <mergeCell ref="D4:D6"/>
    <mergeCell ref="A73:J73"/>
    <mergeCell ref="A68:J68"/>
    <mergeCell ref="A69:J69"/>
    <mergeCell ref="A70:J70"/>
    <mergeCell ref="A71:J71"/>
    <mergeCell ref="A72:J72"/>
  </mergeCells>
  <pageMargins left="0.70866141732283472" right="0.59055118110236227" top="1.0236220472440944" bottom="0.62992125984251968" header="0.31496062992125984" footer="0.31496062992125984"/>
  <pageSetup paperSize="9" scale="95" orientation="portrait" r:id="rId1"/>
  <headerFooter>
    <oddHeader>&amp;R&amp;7Informe de la Operación Mensual-Octubre 2019
INFSGI-MES-10-2019
18/10/2019
Versión: 01</oddHeader>
    <oddFooter>&amp;L&amp;7COES, 2019&amp;C9&amp;R&amp;7Dirección Ejecutiva
Sub Dirección de Gestión de Información</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tabColor theme="4"/>
  </sheetPr>
  <dimension ref="A1:AL65"/>
  <sheetViews>
    <sheetView showGridLines="0" view="pageBreakPreview" zoomScaleNormal="100" zoomScaleSheetLayoutView="100" zoomScalePageLayoutView="130" workbookViewId="0">
      <selection activeCell="M12" sqref="M12"/>
    </sheetView>
  </sheetViews>
  <sheetFormatPr defaultColWidth="9.33203125" defaultRowHeight="11.25"/>
  <cols>
    <col min="1" max="1" width="7.6640625" style="46" customWidth="1"/>
    <col min="2" max="2" width="9.83203125" style="46" customWidth="1"/>
    <col min="3" max="3" width="29.6640625" style="46" customWidth="1"/>
    <col min="4" max="5" width="12.6640625" style="46" customWidth="1"/>
    <col min="6" max="6" width="12.1640625" style="46" customWidth="1"/>
    <col min="7" max="8" width="9.33203125" style="46"/>
    <col min="9" max="9" width="9.33203125" style="46" customWidth="1"/>
    <col min="10" max="11" width="9.33203125" style="328" customWidth="1"/>
    <col min="12" max="31" width="9.33203125" style="328"/>
    <col min="32" max="16384" width="9.33203125" style="46"/>
  </cols>
  <sheetData>
    <row r="1" spans="1:38" ht="11.25" customHeight="1"/>
    <row r="2" spans="1:38" ht="17.25" customHeight="1">
      <c r="A2" s="930" t="s">
        <v>263</v>
      </c>
      <c r="B2" s="930"/>
      <c r="C2" s="930"/>
      <c r="D2" s="930"/>
      <c r="E2" s="930"/>
      <c r="F2" s="930"/>
      <c r="G2" s="930"/>
      <c r="H2" s="930"/>
    </row>
    <row r="3" spans="1:38" ht="11.25" customHeight="1">
      <c r="A3" s="77"/>
      <c r="B3" s="77"/>
      <c r="C3" s="77"/>
      <c r="D3" s="77"/>
      <c r="E3" s="77"/>
      <c r="F3" s="82"/>
      <c r="G3" s="82"/>
      <c r="H3" s="82"/>
      <c r="I3" s="36"/>
      <c r="J3" s="337"/>
    </row>
    <row r="4" spans="1:38" ht="15.75" customHeight="1">
      <c r="A4" s="948" t="s">
        <v>547</v>
      </c>
      <c r="B4" s="948"/>
      <c r="C4" s="948"/>
      <c r="D4" s="948"/>
      <c r="E4" s="948"/>
      <c r="F4" s="948"/>
      <c r="G4" s="948"/>
      <c r="H4" s="948"/>
      <c r="I4" s="36"/>
      <c r="J4" s="337"/>
    </row>
    <row r="5" spans="1:38" ht="11.25" customHeight="1">
      <c r="A5" s="77"/>
      <c r="B5" s="164"/>
      <c r="C5" s="79"/>
      <c r="D5" s="79"/>
      <c r="E5" s="80"/>
      <c r="F5" s="76"/>
      <c r="G5" s="76"/>
      <c r="H5" s="81"/>
      <c r="I5" s="165"/>
      <c r="J5" s="338"/>
    </row>
    <row r="6" spans="1:38" ht="42.75" customHeight="1">
      <c r="A6" s="77"/>
      <c r="C6" s="528" t="s">
        <v>125</v>
      </c>
      <c r="D6" s="529" t="s">
        <v>619</v>
      </c>
      <c r="E6" s="529" t="s">
        <v>620</v>
      </c>
      <c r="F6" s="530" t="s">
        <v>126</v>
      </c>
      <c r="G6" s="169"/>
      <c r="H6" s="170"/>
    </row>
    <row r="7" spans="1:38" ht="11.25" customHeight="1">
      <c r="A7" s="77"/>
      <c r="C7" s="586" t="s">
        <v>127</v>
      </c>
      <c r="D7" s="587">
        <v>23.058000564575199</v>
      </c>
      <c r="E7" s="588">
        <v>25.466000000000001</v>
      </c>
      <c r="F7" s="589">
        <f>IF(E7=0,"",(D7-E7)/E7)</f>
        <v>-9.4557426978119932E-2</v>
      </c>
      <c r="G7" s="137"/>
      <c r="H7" s="274"/>
    </row>
    <row r="8" spans="1:38" ht="11.25" customHeight="1">
      <c r="A8" s="77"/>
      <c r="C8" s="590" t="s">
        <v>128</v>
      </c>
      <c r="D8" s="591">
        <v>85.398002624511705</v>
      </c>
      <c r="E8" s="592">
        <v>90.42</v>
      </c>
      <c r="F8" s="593">
        <f t="shared" ref="F8:F20" si="0">IF(E8=0,"",(D8-E8)/E8)</f>
        <v>-5.554078052962063E-2</v>
      </c>
      <c r="G8" s="137"/>
      <c r="H8" s="274"/>
    </row>
    <row r="9" spans="1:38" ht="11.25" customHeight="1">
      <c r="A9" s="77"/>
      <c r="C9" s="594" t="s">
        <v>129</v>
      </c>
      <c r="D9" s="595">
        <v>57.792999267578097</v>
      </c>
      <c r="E9" s="596">
        <v>81.048000000000002</v>
      </c>
      <c r="F9" s="597">
        <f t="shared" si="0"/>
        <v>-0.28692874262686191</v>
      </c>
      <c r="G9" s="137"/>
      <c r="H9" s="274"/>
      <c r="M9" s="339" t="s">
        <v>269</v>
      </c>
      <c r="N9" s="340"/>
      <c r="O9" s="340"/>
      <c r="P9" s="340"/>
      <c r="Q9" s="340"/>
      <c r="R9" s="340"/>
      <c r="S9" s="340"/>
      <c r="T9" s="340"/>
      <c r="U9" s="340"/>
      <c r="V9" s="340"/>
      <c r="W9" s="340"/>
      <c r="X9" s="340"/>
      <c r="Y9" s="340"/>
      <c r="Z9" s="340"/>
      <c r="AA9" s="340"/>
      <c r="AB9" s="340"/>
      <c r="AC9" s="340"/>
      <c r="AD9" s="340"/>
      <c r="AE9" s="340"/>
      <c r="AF9" s="217"/>
      <c r="AG9" s="217"/>
      <c r="AH9" s="217"/>
      <c r="AI9" s="217"/>
      <c r="AJ9" s="217"/>
      <c r="AK9" s="217"/>
      <c r="AL9" s="217"/>
    </row>
    <row r="10" spans="1:38" ht="11.25" customHeight="1">
      <c r="A10" s="77"/>
      <c r="C10" s="590" t="s">
        <v>130</v>
      </c>
      <c r="D10" s="591">
        <v>50.472000122070298</v>
      </c>
      <c r="E10" s="592">
        <v>48.6</v>
      </c>
      <c r="F10" s="593">
        <f t="shared" si="0"/>
        <v>3.8518521030253022E-2</v>
      </c>
      <c r="G10" s="137"/>
      <c r="H10" s="274"/>
      <c r="M10" s="339" t="s">
        <v>270</v>
      </c>
      <c r="N10" s="340"/>
      <c r="O10" s="340"/>
      <c r="P10" s="340"/>
      <c r="Q10" s="340"/>
      <c r="R10" s="340"/>
      <c r="S10" s="340"/>
      <c r="T10" s="340"/>
      <c r="AD10" s="340"/>
      <c r="AE10" s="340"/>
      <c r="AF10" s="217"/>
      <c r="AG10" s="217"/>
      <c r="AH10" s="217"/>
      <c r="AI10" s="217"/>
      <c r="AJ10" s="217"/>
      <c r="AK10" s="217"/>
      <c r="AL10" s="217"/>
    </row>
    <row r="11" spans="1:38" ht="11.25" customHeight="1">
      <c r="A11" s="77"/>
      <c r="C11" s="594" t="s">
        <v>131</v>
      </c>
      <c r="D11" s="595">
        <v>13.789999961853001</v>
      </c>
      <c r="E11" s="596">
        <v>1.62</v>
      </c>
      <c r="F11" s="597">
        <f>IF(E11=0,"",(D11-E11)/E11)</f>
        <v>7.5123456554648156</v>
      </c>
      <c r="G11" s="137"/>
      <c r="H11" s="274"/>
      <c r="M11" s="340"/>
      <c r="N11" s="341">
        <v>2016</v>
      </c>
      <c r="O11" s="341">
        <v>2017</v>
      </c>
      <c r="P11" s="341">
        <v>2018</v>
      </c>
      <c r="Q11" s="341">
        <v>2019</v>
      </c>
      <c r="R11" s="340"/>
      <c r="S11" s="340"/>
      <c r="T11" s="340"/>
      <c r="AD11" s="340"/>
      <c r="AE11" s="340"/>
      <c r="AF11" s="217"/>
      <c r="AG11" s="217"/>
      <c r="AH11" s="217"/>
      <c r="AI11" s="217"/>
      <c r="AJ11" s="217"/>
      <c r="AK11" s="217"/>
      <c r="AL11" s="217"/>
    </row>
    <row r="12" spans="1:38" ht="11.25" customHeight="1">
      <c r="A12" s="77"/>
      <c r="C12" s="590" t="s">
        <v>132</v>
      </c>
      <c r="D12" s="591">
        <v>4.9250001907348597</v>
      </c>
      <c r="E12" s="592">
        <v>5.1879999999999997</v>
      </c>
      <c r="F12" s="593">
        <f t="shared" si="0"/>
        <v>-5.0693872256195066E-2</v>
      </c>
      <c r="G12" s="137"/>
      <c r="H12" s="274"/>
      <c r="M12" s="342">
        <v>1</v>
      </c>
      <c r="N12" s="343">
        <v>138.54</v>
      </c>
      <c r="O12" s="343">
        <v>93.1</v>
      </c>
      <c r="P12" s="343">
        <v>104.46</v>
      </c>
      <c r="Q12" s="610">
        <v>117.2900009</v>
      </c>
      <c r="R12" s="340"/>
      <c r="S12" s="340"/>
      <c r="T12" s="340"/>
      <c r="AD12" s="340"/>
      <c r="AE12" s="340"/>
      <c r="AF12" s="217"/>
      <c r="AG12" s="217"/>
      <c r="AH12" s="217"/>
      <c r="AI12" s="217"/>
      <c r="AJ12" s="217"/>
      <c r="AK12" s="217"/>
      <c r="AL12" s="217"/>
    </row>
    <row r="13" spans="1:38" ht="11.25" customHeight="1">
      <c r="A13" s="77"/>
      <c r="C13" s="594" t="s">
        <v>133</v>
      </c>
      <c r="D13" s="595">
        <v>39.099998474121001</v>
      </c>
      <c r="E13" s="596">
        <v>58.58</v>
      </c>
      <c r="F13" s="597">
        <f t="shared" si="0"/>
        <v>-0.33253672799383743</v>
      </c>
      <c r="G13" s="137"/>
      <c r="H13" s="274"/>
      <c r="M13" s="342">
        <v>2</v>
      </c>
      <c r="N13" s="343">
        <v>140.53</v>
      </c>
      <c r="O13" s="343">
        <v>93.1</v>
      </c>
      <c r="P13" s="343">
        <v>103.4720001</v>
      </c>
      <c r="Q13" s="610">
        <v>116.0110016</v>
      </c>
      <c r="R13" s="340"/>
      <c r="S13" s="340"/>
      <c r="T13" s="340"/>
      <c r="AD13" s="340"/>
      <c r="AE13" s="340"/>
      <c r="AF13" s="217"/>
      <c r="AG13" s="217"/>
      <c r="AH13" s="217"/>
      <c r="AI13" s="217"/>
      <c r="AJ13" s="217"/>
      <c r="AK13" s="217"/>
      <c r="AL13" s="217"/>
    </row>
    <row r="14" spans="1:38" ht="11.25" customHeight="1">
      <c r="A14" s="77"/>
      <c r="C14" s="590" t="s">
        <v>134</v>
      </c>
      <c r="D14" s="591">
        <v>221.427001953125</v>
      </c>
      <c r="E14" s="592">
        <v>213.012</v>
      </c>
      <c r="F14" s="593">
        <f t="shared" si="0"/>
        <v>3.9504825799133378E-2</v>
      </c>
      <c r="G14" s="137"/>
      <c r="H14" s="274"/>
      <c r="M14" s="342">
        <v>3</v>
      </c>
      <c r="N14" s="343">
        <v>140.53</v>
      </c>
      <c r="O14" s="343">
        <v>98.74</v>
      </c>
      <c r="P14" s="343">
        <v>106.08699799999999</v>
      </c>
      <c r="Q14" s="610">
        <v>117.6</v>
      </c>
      <c r="R14" s="340"/>
      <c r="S14" s="340"/>
      <c r="T14" s="340"/>
      <c r="AD14" s="340"/>
      <c r="AE14" s="340"/>
      <c r="AF14" s="217"/>
      <c r="AG14" s="217"/>
      <c r="AH14" s="217"/>
      <c r="AI14" s="217"/>
      <c r="AJ14" s="217"/>
      <c r="AK14" s="217"/>
      <c r="AL14" s="217"/>
    </row>
    <row r="15" spans="1:38" ht="11.25" customHeight="1">
      <c r="A15" s="77"/>
      <c r="C15" s="594" t="s">
        <v>135</v>
      </c>
      <c r="D15" s="595">
        <v>7.8709998130798304</v>
      </c>
      <c r="E15" s="596">
        <v>7.19</v>
      </c>
      <c r="F15" s="597">
        <f t="shared" si="0"/>
        <v>9.4714855783008339E-2</v>
      </c>
      <c r="G15" s="137"/>
      <c r="H15" s="274"/>
      <c r="M15" s="342">
        <v>4</v>
      </c>
      <c r="N15" s="343">
        <v>137.43800000000002</v>
      </c>
      <c r="O15" s="343">
        <v>98.74</v>
      </c>
      <c r="P15" s="343">
        <v>112.7200012</v>
      </c>
      <c r="Q15" s="610">
        <v>128.32000729999999</v>
      </c>
      <c r="R15" s="340"/>
      <c r="S15" s="340"/>
      <c r="T15" s="340"/>
      <c r="AD15" s="340"/>
      <c r="AE15" s="340"/>
      <c r="AF15" s="217"/>
      <c r="AG15" s="217"/>
      <c r="AH15" s="217"/>
      <c r="AI15" s="217"/>
      <c r="AJ15" s="217"/>
      <c r="AK15" s="217"/>
      <c r="AL15" s="217"/>
    </row>
    <row r="16" spans="1:38" ht="11.25" customHeight="1">
      <c r="A16" s="77"/>
      <c r="C16" s="590" t="s">
        <v>136</v>
      </c>
      <c r="D16" s="591">
        <v>90.838996887207003</v>
      </c>
      <c r="E16" s="592">
        <v>40.270000000000003</v>
      </c>
      <c r="F16" s="593">
        <f t="shared" si="0"/>
        <v>1.255748619001912</v>
      </c>
      <c r="G16" s="137"/>
      <c r="H16" s="274"/>
      <c r="M16" s="342">
        <v>5</v>
      </c>
      <c r="N16" s="343">
        <v>137.43800000000002</v>
      </c>
      <c r="O16" s="343">
        <v>125.15</v>
      </c>
      <c r="P16" s="343">
        <v>122.3190002</v>
      </c>
      <c r="Q16" s="610">
        <v>139.2400055</v>
      </c>
      <c r="R16" s="340"/>
      <c r="S16" s="340"/>
      <c r="T16" s="340"/>
      <c r="AD16" s="340"/>
      <c r="AE16" s="340"/>
      <c r="AF16" s="217"/>
      <c r="AG16" s="217"/>
      <c r="AH16" s="217"/>
      <c r="AI16" s="217"/>
      <c r="AJ16" s="217"/>
      <c r="AK16" s="217"/>
      <c r="AL16" s="217"/>
    </row>
    <row r="17" spans="1:38" ht="11.25" customHeight="1">
      <c r="A17" s="77"/>
      <c r="C17" s="594" t="s">
        <v>137</v>
      </c>
      <c r="D17" s="595">
        <v>35.900001525878899</v>
      </c>
      <c r="E17" s="596">
        <v>115.17</v>
      </c>
      <c r="F17" s="597">
        <f t="shared" si="0"/>
        <v>-0.68828686701503095</v>
      </c>
      <c r="G17" s="137"/>
      <c r="H17" s="274"/>
      <c r="M17" s="342">
        <v>6</v>
      </c>
      <c r="N17" s="343">
        <v>137.43800000000002</v>
      </c>
      <c r="O17" s="343">
        <v>125.15</v>
      </c>
      <c r="P17" s="343">
        <v>126.1559982</v>
      </c>
      <c r="Q17" s="610">
        <v>150.94</v>
      </c>
      <c r="R17" s="340"/>
      <c r="S17" s="340"/>
      <c r="T17" s="340"/>
      <c r="AD17" s="340"/>
      <c r="AE17" s="340"/>
      <c r="AF17" s="217"/>
      <c r="AG17" s="217"/>
      <c r="AH17" s="217"/>
      <c r="AI17" s="217"/>
      <c r="AJ17" s="217"/>
      <c r="AK17" s="217"/>
      <c r="AL17" s="217"/>
    </row>
    <row r="18" spans="1:38" ht="11.25" customHeight="1">
      <c r="A18" s="77"/>
      <c r="C18" s="590" t="s">
        <v>138</v>
      </c>
      <c r="D18" s="591">
        <v>2.7669999599456698</v>
      </c>
      <c r="E18" s="592">
        <v>0.33</v>
      </c>
      <c r="F18" s="593">
        <f t="shared" si="0"/>
        <v>7.3848483634717264</v>
      </c>
      <c r="G18" s="137"/>
      <c r="H18" s="274"/>
      <c r="M18" s="342">
        <v>7</v>
      </c>
      <c r="N18" s="343">
        <v>151.05499267578099</v>
      </c>
      <c r="O18" s="343">
        <v>142.99</v>
      </c>
      <c r="P18" s="343">
        <v>142.9900055</v>
      </c>
      <c r="Q18" s="610">
        <v>162.4909973</v>
      </c>
      <c r="R18" s="340"/>
      <c r="S18" s="340"/>
      <c r="T18" s="340"/>
      <c r="AD18" s="340"/>
      <c r="AE18" s="340"/>
      <c r="AF18" s="217"/>
      <c r="AG18" s="217"/>
      <c r="AH18" s="217"/>
      <c r="AI18" s="217"/>
      <c r="AJ18" s="217"/>
      <c r="AK18" s="217"/>
      <c r="AL18" s="217"/>
    </row>
    <row r="19" spans="1:38" ht="12.75" customHeight="1">
      <c r="A19" s="77"/>
      <c r="C19" s="594" t="s">
        <v>139</v>
      </c>
      <c r="D19" s="595">
        <v>10.0519199371337</v>
      </c>
      <c r="E19" s="596">
        <v>28.943000000000001</v>
      </c>
      <c r="F19" s="597">
        <f t="shared" si="0"/>
        <v>-0.65269944590630891</v>
      </c>
      <c r="G19" s="137"/>
      <c r="H19" s="274"/>
      <c r="M19" s="342">
        <v>8</v>
      </c>
      <c r="N19" s="343">
        <v>151.05499267578099</v>
      </c>
      <c r="O19" s="343">
        <v>142.99</v>
      </c>
      <c r="P19" s="343">
        <v>134.13600159999999</v>
      </c>
      <c r="Q19" s="610">
        <v>169.03700259999999</v>
      </c>
      <c r="R19" s="340"/>
      <c r="S19" s="340"/>
      <c r="T19" s="340"/>
      <c r="AD19" s="340"/>
      <c r="AE19" s="340"/>
      <c r="AF19" s="217"/>
      <c r="AG19" s="217"/>
      <c r="AH19" s="217"/>
      <c r="AI19" s="217"/>
      <c r="AJ19" s="217"/>
      <c r="AK19" s="217"/>
      <c r="AL19" s="217"/>
    </row>
    <row r="20" spans="1:38" ht="13.5" customHeight="1">
      <c r="A20" s="77"/>
      <c r="C20" s="590" t="s">
        <v>140</v>
      </c>
      <c r="D20" s="591">
        <v>9.4375</v>
      </c>
      <c r="E20" s="592">
        <v>12.651999999999999</v>
      </c>
      <c r="F20" s="593">
        <f t="shared" si="0"/>
        <v>-0.25407050268732212</v>
      </c>
      <c r="G20" s="137"/>
      <c r="H20" s="274"/>
      <c r="M20" s="342">
        <v>9</v>
      </c>
      <c r="N20" s="343">
        <v>165.00500489999999</v>
      </c>
      <c r="O20" s="343">
        <v>159.53</v>
      </c>
      <c r="P20" s="343">
        <v>153.34500120000001</v>
      </c>
      <c r="Q20" s="610">
        <v>182.64300539999999</v>
      </c>
      <c r="R20" s="340"/>
      <c r="S20" s="340"/>
      <c r="T20" s="340"/>
      <c r="AD20" s="340"/>
      <c r="AE20" s="340"/>
      <c r="AF20" s="217"/>
      <c r="AG20" s="217"/>
      <c r="AH20" s="217"/>
      <c r="AI20" s="217"/>
      <c r="AJ20" s="217"/>
      <c r="AK20" s="217"/>
      <c r="AL20" s="217"/>
    </row>
    <row r="21" spans="1:38" ht="11.25" customHeight="1">
      <c r="A21" s="77"/>
      <c r="C21" s="594" t="s">
        <v>141</v>
      </c>
      <c r="D21" s="595">
        <v>2.2160000801086399</v>
      </c>
      <c r="E21" s="596">
        <v>2.8479999999999999</v>
      </c>
      <c r="F21" s="597">
        <f t="shared" ref="F21:F27" si="1">IF(E21=0,"",(D21-E21)/E21)</f>
        <v>-0.22191008423151684</v>
      </c>
      <c r="M21" s="342">
        <v>10</v>
      </c>
      <c r="N21" s="343">
        <v>165.00500489999999</v>
      </c>
      <c r="O21" s="343">
        <v>159.53</v>
      </c>
      <c r="P21" s="343">
        <v>153.0590057</v>
      </c>
      <c r="Q21" s="610">
        <v>190.99600219999999</v>
      </c>
      <c r="R21" s="340"/>
      <c r="S21" s="340"/>
      <c r="T21" s="340"/>
      <c r="AD21" s="340"/>
      <c r="AE21" s="340"/>
      <c r="AF21" s="217"/>
      <c r="AG21" s="217"/>
      <c r="AH21" s="217"/>
      <c r="AI21" s="217"/>
      <c r="AJ21" s="217"/>
      <c r="AK21" s="217"/>
      <c r="AL21" s="217"/>
    </row>
    <row r="22" spans="1:38" ht="11.25" customHeight="1">
      <c r="A22" s="77"/>
      <c r="C22" s="590" t="s">
        <v>142</v>
      </c>
      <c r="D22" s="591">
        <v>0.38299998641014099</v>
      </c>
      <c r="E22" s="592">
        <v>1.69</v>
      </c>
      <c r="F22" s="593">
        <f t="shared" si="1"/>
        <v>-0.77337278910642548</v>
      </c>
      <c r="G22" s="137"/>
      <c r="H22" s="274"/>
      <c r="M22" s="342">
        <v>11</v>
      </c>
      <c r="N22" s="343">
        <v>186.45199584960901</v>
      </c>
      <c r="O22" s="343">
        <v>184.94</v>
      </c>
      <c r="P22" s="343">
        <v>162.93200680000001</v>
      </c>
      <c r="Q22" s="384">
        <v>200.89500427246</v>
      </c>
      <c r="AF22" s="275"/>
      <c r="AG22" s="275"/>
      <c r="AH22" s="275"/>
      <c r="AI22" s="275"/>
      <c r="AJ22" s="275"/>
      <c r="AK22" s="275"/>
      <c r="AL22" s="275"/>
    </row>
    <row r="23" spans="1:38" ht="11.25" customHeight="1">
      <c r="A23" s="77"/>
      <c r="C23" s="594" t="s">
        <v>487</v>
      </c>
      <c r="D23" s="595">
        <v>0.700999975204467</v>
      </c>
      <c r="E23" s="596">
        <v>0.17</v>
      </c>
      <c r="F23" s="597">
        <f t="shared" si="1"/>
        <v>3.1235292659086289</v>
      </c>
      <c r="G23" s="137"/>
      <c r="H23" s="274"/>
      <c r="M23" s="342">
        <v>12</v>
      </c>
      <c r="N23" s="343">
        <v>186.45199584960901</v>
      </c>
      <c r="O23" s="343">
        <v>184.94</v>
      </c>
      <c r="P23" s="343">
        <v>172.76199339999999</v>
      </c>
      <c r="Q23" s="384">
        <v>209.09500120000001</v>
      </c>
      <c r="AF23" s="275"/>
      <c r="AG23" s="275"/>
      <c r="AH23" s="275"/>
      <c r="AI23" s="275"/>
      <c r="AJ23" s="275"/>
      <c r="AK23" s="275"/>
      <c r="AL23" s="275"/>
    </row>
    <row r="24" spans="1:38" ht="11.25" customHeight="1">
      <c r="A24" s="77"/>
      <c r="C24" s="590" t="s">
        <v>143</v>
      </c>
      <c r="D24" s="592">
        <v>137.74000549316401</v>
      </c>
      <c r="E24" s="592">
        <v>142.339</v>
      </c>
      <c r="F24" s="593">
        <f t="shared" si="1"/>
        <v>-3.2310150463583369E-2</v>
      </c>
      <c r="G24" s="137"/>
      <c r="H24" s="274"/>
      <c r="M24" s="342">
        <v>13</v>
      </c>
      <c r="N24" s="343">
        <v>195.64999389648401</v>
      </c>
      <c r="O24" s="343">
        <v>203.73</v>
      </c>
      <c r="P24" s="343">
        <v>182.13900760000001</v>
      </c>
      <c r="Q24" s="384">
        <v>215.7310028</v>
      </c>
      <c r="AF24" s="275"/>
      <c r="AG24" s="275"/>
      <c r="AH24" s="275"/>
      <c r="AI24" s="275"/>
      <c r="AJ24" s="275"/>
      <c r="AK24" s="275"/>
      <c r="AL24" s="275"/>
    </row>
    <row r="25" spans="1:38" ht="11.25" customHeight="1">
      <c r="A25" s="77"/>
      <c r="C25" s="594" t="s">
        <v>144</v>
      </c>
      <c r="D25" s="596">
        <v>13.1180000305175</v>
      </c>
      <c r="E25" s="596">
        <v>12.545999999999999</v>
      </c>
      <c r="F25" s="597">
        <f t="shared" si="1"/>
        <v>4.5592223060537271E-2</v>
      </c>
      <c r="G25" s="137"/>
      <c r="H25" s="274"/>
      <c r="M25" s="342">
        <v>14</v>
      </c>
      <c r="N25" s="343">
        <v>195.64999389648401</v>
      </c>
      <c r="O25" s="343">
        <v>203.73</v>
      </c>
      <c r="P25" s="343">
        <v>191.4750061</v>
      </c>
      <c r="Q25" s="384">
        <v>219.1710052</v>
      </c>
      <c r="AF25" s="275"/>
      <c r="AG25" s="275"/>
      <c r="AH25" s="275"/>
      <c r="AI25" s="275"/>
      <c r="AJ25" s="275"/>
      <c r="AK25" s="275"/>
      <c r="AL25" s="275"/>
    </row>
    <row r="26" spans="1:38" ht="11.25" customHeight="1">
      <c r="A26" s="77"/>
      <c r="C26" s="590" t="s">
        <v>145</v>
      </c>
      <c r="D26" s="592">
        <v>22.85</v>
      </c>
      <c r="E26" s="592">
        <v>14.917</v>
      </c>
      <c r="F26" s="593">
        <f t="shared" si="1"/>
        <v>0.53180934504256905</v>
      </c>
      <c r="G26" s="137"/>
      <c r="H26" s="137"/>
      <c r="M26" s="342">
        <v>15</v>
      </c>
      <c r="N26" s="343">
        <v>201.93600463867099</v>
      </c>
      <c r="O26" s="343">
        <v>203.73</v>
      </c>
      <c r="P26" s="343">
        <v>198.43899540000001</v>
      </c>
      <c r="Q26" s="384">
        <v>220.17399599999999</v>
      </c>
      <c r="AF26" s="275"/>
      <c r="AG26" s="275"/>
      <c r="AH26" s="275"/>
      <c r="AI26" s="275"/>
      <c r="AJ26" s="275"/>
      <c r="AK26" s="275"/>
      <c r="AL26" s="275"/>
    </row>
    <row r="27" spans="1:38" ht="11.25" customHeight="1">
      <c r="A27" s="77"/>
      <c r="C27" s="594" t="s">
        <v>146</v>
      </c>
      <c r="D27" s="595">
        <v>280.14300537109301</v>
      </c>
      <c r="E27" s="596">
        <v>275.185</v>
      </c>
      <c r="F27" s="597">
        <f t="shared" si="1"/>
        <v>1.8016989919846679E-2</v>
      </c>
      <c r="G27" s="137"/>
      <c r="H27" s="137"/>
      <c r="M27" s="342">
        <v>16</v>
      </c>
      <c r="N27" s="343">
        <v>201.93600463867099</v>
      </c>
      <c r="O27" s="343">
        <v>222.8</v>
      </c>
      <c r="P27" s="343">
        <v>201.52999879999999</v>
      </c>
      <c r="Q27" s="384">
        <v>220.3150024</v>
      </c>
      <c r="AF27" s="275"/>
      <c r="AG27" s="275"/>
      <c r="AH27" s="275"/>
      <c r="AI27" s="275"/>
      <c r="AJ27" s="275"/>
      <c r="AK27" s="275"/>
      <c r="AL27" s="275"/>
    </row>
    <row r="28" spans="1:38" ht="26.25" customHeight="1">
      <c r="A28" s="77"/>
      <c r="C28" s="949" t="str">
        <f>"Cuadro N°9: Volumen útil de los principales embalses y lagunas del SEIN al término del periodo mensual ("&amp;'1. Resumen'!Q7&amp;" de "&amp;'1. Resumen'!Q4&amp;") "</f>
        <v xml:space="preserve">Cuadro N°9: Volumen útil de los principales embalses y lagunas del SEIN al término del periodo mensual (31 de octubre) </v>
      </c>
      <c r="D28" s="949"/>
      <c r="E28" s="949"/>
      <c r="F28" s="949"/>
      <c r="G28" s="137"/>
      <c r="H28" s="137"/>
      <c r="M28" s="342">
        <v>17</v>
      </c>
      <c r="N28" s="343">
        <v>201.93600463867099</v>
      </c>
      <c r="O28" s="343">
        <v>222.8</v>
      </c>
      <c r="P28" s="343">
        <v>206.03700259999999</v>
      </c>
      <c r="Q28" s="384">
        <v>220.56</v>
      </c>
      <c r="AF28" s="275"/>
      <c r="AG28" s="275"/>
      <c r="AH28" s="275"/>
      <c r="AI28" s="275"/>
      <c r="AJ28" s="275"/>
      <c r="AK28" s="275"/>
      <c r="AL28" s="275"/>
    </row>
    <row r="29" spans="1:38" ht="12" customHeight="1">
      <c r="A29" s="75"/>
      <c r="G29" s="137"/>
      <c r="H29" s="137"/>
      <c r="I29" s="167"/>
      <c r="J29" s="344"/>
      <c r="M29" s="342">
        <v>18</v>
      </c>
      <c r="N29" s="343">
        <v>207.58900451660099</v>
      </c>
      <c r="O29" s="343">
        <v>225.58</v>
      </c>
      <c r="P29" s="343">
        <v>213.67399599999999</v>
      </c>
      <c r="Q29" s="811">
        <v>224.15199279999999</v>
      </c>
      <c r="AF29" s="275"/>
      <c r="AG29" s="275"/>
      <c r="AH29" s="275"/>
      <c r="AI29" s="275"/>
      <c r="AJ29" s="275"/>
      <c r="AK29" s="275"/>
      <c r="AL29" s="275"/>
    </row>
    <row r="30" spans="1:38" ht="11.25" customHeight="1">
      <c r="A30" s="75"/>
      <c r="B30" s="173"/>
      <c r="C30" s="173"/>
      <c r="D30" s="173"/>
      <c r="E30" s="173"/>
      <c r="F30" s="171"/>
      <c r="G30" s="137"/>
      <c r="H30" s="137"/>
      <c r="M30" s="342">
        <v>19</v>
      </c>
      <c r="N30" s="343">
        <v>207.58900451660099</v>
      </c>
      <c r="O30" s="343">
        <v>225.58</v>
      </c>
      <c r="P30" s="343">
        <v>216.75700380000001</v>
      </c>
      <c r="Q30" s="811">
        <v>224.378006</v>
      </c>
      <c r="AF30" s="275"/>
      <c r="AG30" s="275"/>
      <c r="AH30" s="275"/>
      <c r="AI30" s="275"/>
      <c r="AJ30" s="275"/>
      <c r="AK30" s="275"/>
      <c r="AL30" s="275"/>
    </row>
    <row r="31" spans="1:38" ht="11.25" customHeight="1">
      <c r="A31" s="75"/>
      <c r="B31" s="173"/>
      <c r="C31" s="173"/>
      <c r="D31" s="173"/>
      <c r="E31" s="173"/>
      <c r="F31" s="171"/>
      <c r="G31" s="171"/>
      <c r="H31" s="171"/>
      <c r="I31" s="167"/>
      <c r="J31" s="344"/>
      <c r="M31" s="342">
        <v>20</v>
      </c>
      <c r="N31" s="343">
        <v>205.7</v>
      </c>
      <c r="O31" s="343">
        <v>226.61</v>
      </c>
      <c r="P31" s="343">
        <v>217.29400630000001</v>
      </c>
      <c r="Q31" s="811">
        <v>224.60401920000001</v>
      </c>
      <c r="AF31" s="275"/>
      <c r="AG31" s="275"/>
      <c r="AH31" s="275"/>
      <c r="AI31" s="275"/>
      <c r="AJ31" s="275"/>
      <c r="AK31" s="275"/>
      <c r="AL31" s="275"/>
    </row>
    <row r="32" spans="1:38" ht="13.5" customHeight="1">
      <c r="A32" s="948" t="s">
        <v>546</v>
      </c>
      <c r="B32" s="948"/>
      <c r="C32" s="948"/>
      <c r="D32" s="948"/>
      <c r="E32" s="948"/>
      <c r="F32" s="948"/>
      <c r="G32" s="948"/>
      <c r="H32" s="948"/>
      <c r="I32" s="56"/>
      <c r="J32" s="344"/>
      <c r="M32" s="342">
        <v>21</v>
      </c>
      <c r="N32" s="343">
        <v>205.7</v>
      </c>
      <c r="O32" s="343">
        <v>226.61</v>
      </c>
      <c r="P32" s="343">
        <v>218.3190002</v>
      </c>
      <c r="Q32" s="811">
        <v>223.4909973</v>
      </c>
      <c r="AF32" s="275"/>
      <c r="AG32" s="275"/>
      <c r="AH32" s="275"/>
      <c r="AI32" s="275"/>
      <c r="AJ32" s="275"/>
      <c r="AK32" s="275"/>
      <c r="AL32" s="275"/>
    </row>
    <row r="33" spans="1:38" ht="11.25" customHeight="1">
      <c r="A33" s="75"/>
      <c r="B33" s="82"/>
      <c r="C33" s="82"/>
      <c r="D33" s="82"/>
      <c r="E33" s="82"/>
      <c r="F33" s="82"/>
      <c r="G33" s="82"/>
      <c r="H33" s="82"/>
      <c r="I33" s="56"/>
      <c r="J33" s="344"/>
      <c r="M33" s="342">
        <v>22</v>
      </c>
      <c r="N33" s="343">
        <v>204.65</v>
      </c>
      <c r="O33" s="343">
        <v>227.42</v>
      </c>
      <c r="P33" s="343">
        <v>218.79899599999999</v>
      </c>
      <c r="Q33" s="811">
        <v>222.62600710000001</v>
      </c>
      <c r="AF33" s="275"/>
      <c r="AG33" s="275"/>
      <c r="AH33" s="275"/>
      <c r="AI33" s="275"/>
      <c r="AJ33" s="275"/>
      <c r="AK33" s="275"/>
      <c r="AL33" s="275"/>
    </row>
    <row r="34" spans="1:38" ht="11.25" customHeight="1">
      <c r="A34" s="75"/>
      <c r="B34" s="82"/>
      <c r="C34" s="82"/>
      <c r="D34" s="82"/>
      <c r="E34" s="82"/>
      <c r="F34" s="82"/>
      <c r="G34" s="82"/>
      <c r="H34" s="82"/>
      <c r="I34" s="56"/>
      <c r="J34" s="344"/>
      <c r="M34" s="342">
        <v>23</v>
      </c>
      <c r="N34" s="343">
        <v>204.65</v>
      </c>
      <c r="O34" s="343">
        <v>227.42</v>
      </c>
      <c r="P34" s="343">
        <v>217.8880005</v>
      </c>
      <c r="Q34" s="811">
        <v>221.62399289999999</v>
      </c>
      <c r="AF34" s="275"/>
      <c r="AG34" s="275"/>
      <c r="AH34" s="275"/>
      <c r="AI34" s="275"/>
      <c r="AJ34" s="275"/>
      <c r="AK34" s="275"/>
      <c r="AL34" s="275"/>
    </row>
    <row r="35" spans="1:38" ht="11.25" customHeight="1">
      <c r="A35" s="75"/>
      <c r="B35" s="82"/>
      <c r="C35" s="82"/>
      <c r="D35" s="82"/>
      <c r="E35" s="82"/>
      <c r="F35" s="82"/>
      <c r="G35" s="82"/>
      <c r="H35" s="82"/>
      <c r="I35" s="168"/>
      <c r="J35" s="344"/>
      <c r="M35" s="342">
        <v>24</v>
      </c>
      <c r="N35" s="343">
        <v>200.38</v>
      </c>
      <c r="O35" s="343">
        <v>227.45</v>
      </c>
      <c r="P35" s="343">
        <v>216.04899599999999</v>
      </c>
      <c r="Q35" s="811">
        <v>218.3840027</v>
      </c>
      <c r="AF35" s="275"/>
      <c r="AG35" s="275"/>
      <c r="AH35" s="275"/>
      <c r="AI35" s="275"/>
      <c r="AJ35" s="275"/>
      <c r="AK35" s="275"/>
      <c r="AL35" s="275"/>
    </row>
    <row r="36" spans="1:38" ht="11.25" customHeight="1">
      <c r="A36" s="75"/>
      <c r="B36" s="82"/>
      <c r="C36" s="82"/>
      <c r="D36" s="82"/>
      <c r="E36" s="82"/>
      <c r="F36" s="82"/>
      <c r="G36" s="82"/>
      <c r="H36" s="82"/>
      <c r="I36" s="56"/>
      <c r="J36" s="344"/>
      <c r="M36" s="342">
        <v>25</v>
      </c>
      <c r="N36" s="343">
        <v>200.38</v>
      </c>
      <c r="O36" s="343">
        <v>227.45</v>
      </c>
      <c r="P36" s="343">
        <v>212.24600219999999</v>
      </c>
      <c r="Q36" s="811">
        <v>215.08099369999999</v>
      </c>
      <c r="AF36" s="275"/>
      <c r="AG36" s="275"/>
      <c r="AH36" s="275"/>
      <c r="AI36" s="275"/>
      <c r="AJ36" s="275"/>
      <c r="AK36" s="275"/>
      <c r="AL36" s="275"/>
    </row>
    <row r="37" spans="1:38" ht="11.25" customHeight="1">
      <c r="A37" s="75"/>
      <c r="B37" s="82"/>
      <c r="C37" s="82"/>
      <c r="D37" s="82"/>
      <c r="E37" s="82"/>
      <c r="F37" s="82"/>
      <c r="G37" s="82"/>
      <c r="H37" s="82"/>
      <c r="I37" s="56"/>
      <c r="J37" s="345"/>
      <c r="M37" s="342">
        <v>26</v>
      </c>
      <c r="N37" s="343">
        <v>193.55099487304599</v>
      </c>
      <c r="O37" s="343">
        <v>225.56</v>
      </c>
      <c r="P37" s="343">
        <v>210.22099299999999</v>
      </c>
      <c r="Q37" s="811">
        <v>210.41900630000001</v>
      </c>
      <c r="AF37" s="275"/>
      <c r="AG37" s="275"/>
      <c r="AH37" s="275"/>
      <c r="AI37" s="275"/>
      <c r="AJ37" s="275"/>
      <c r="AK37" s="275"/>
      <c r="AL37" s="275"/>
    </row>
    <row r="38" spans="1:38" ht="11.25" customHeight="1">
      <c r="A38" s="75"/>
      <c r="B38" s="82"/>
      <c r="C38" s="82"/>
      <c r="D38" s="82"/>
      <c r="E38" s="82"/>
      <c r="F38" s="82"/>
      <c r="G38" s="82"/>
      <c r="H38" s="82"/>
      <c r="I38" s="56"/>
      <c r="J38" s="345"/>
      <c r="M38" s="342">
        <v>27</v>
      </c>
      <c r="N38" s="343">
        <v>193.55099487304599</v>
      </c>
      <c r="O38" s="343">
        <v>225.56</v>
      </c>
      <c r="P38" s="343">
        <v>209.85200499999999</v>
      </c>
      <c r="Q38" s="811">
        <v>204.23</v>
      </c>
      <c r="AF38" s="275"/>
      <c r="AG38" s="275"/>
      <c r="AH38" s="275"/>
      <c r="AI38" s="275"/>
      <c r="AJ38" s="275"/>
      <c r="AK38" s="275"/>
      <c r="AL38" s="275"/>
    </row>
    <row r="39" spans="1:38" ht="11.25" customHeight="1">
      <c r="A39" s="75"/>
      <c r="B39" s="82"/>
      <c r="C39" s="82"/>
      <c r="D39" s="82"/>
      <c r="E39" s="82"/>
      <c r="F39" s="82"/>
      <c r="G39" s="82"/>
      <c r="H39" s="82"/>
      <c r="I39" s="56"/>
      <c r="J39" s="346"/>
      <c r="M39" s="342">
        <v>28</v>
      </c>
      <c r="N39" s="343">
        <v>186.01199339999999</v>
      </c>
      <c r="O39" s="347">
        <v>225.56</v>
      </c>
      <c r="P39" s="347">
        <v>203.92900090000001</v>
      </c>
      <c r="Q39" s="811">
        <v>201.1309967</v>
      </c>
      <c r="AF39" s="275"/>
      <c r="AG39" s="275"/>
      <c r="AH39" s="275"/>
      <c r="AI39" s="275"/>
      <c r="AJ39" s="275"/>
      <c r="AK39" s="275"/>
      <c r="AL39" s="275"/>
    </row>
    <row r="40" spans="1:38" ht="11.25" customHeight="1">
      <c r="A40" s="75"/>
      <c r="B40" s="82"/>
      <c r="C40" s="82"/>
      <c r="D40" s="82"/>
      <c r="E40" s="82"/>
      <c r="F40" s="82"/>
      <c r="G40" s="82"/>
      <c r="H40" s="82"/>
      <c r="I40" s="56"/>
      <c r="J40" s="346"/>
      <c r="M40" s="342">
        <v>29</v>
      </c>
      <c r="N40" s="343">
        <v>186.01199339999999</v>
      </c>
      <c r="O40" s="343">
        <v>222.04</v>
      </c>
      <c r="P40" s="343">
        <v>200.56300350000001</v>
      </c>
      <c r="Q40" s="811">
        <v>196.16000366210901</v>
      </c>
      <c r="AF40" s="275"/>
      <c r="AG40" s="275"/>
      <c r="AH40" s="275"/>
      <c r="AI40" s="275"/>
      <c r="AJ40" s="275"/>
      <c r="AK40" s="275"/>
      <c r="AL40" s="275"/>
    </row>
    <row r="41" spans="1:38" ht="11.25" customHeight="1">
      <c r="A41" s="75"/>
      <c r="B41" s="82"/>
      <c r="C41" s="82"/>
      <c r="D41" s="82"/>
      <c r="E41" s="82"/>
      <c r="F41" s="82"/>
      <c r="G41" s="82"/>
      <c r="H41" s="82"/>
      <c r="I41" s="56"/>
      <c r="J41" s="346"/>
      <c r="M41" s="342">
        <v>30</v>
      </c>
      <c r="N41" s="343">
        <v>186.01199339999999</v>
      </c>
      <c r="O41" s="343">
        <v>222.04</v>
      </c>
      <c r="P41" s="343">
        <v>194.94900509999999</v>
      </c>
      <c r="Q41" s="811">
        <v>193.86</v>
      </c>
      <c r="AF41" s="275"/>
      <c r="AG41" s="275"/>
      <c r="AH41" s="275"/>
      <c r="AI41" s="275"/>
      <c r="AJ41" s="275"/>
      <c r="AK41" s="275"/>
      <c r="AL41" s="275"/>
    </row>
    <row r="42" spans="1:38" ht="11.25" customHeight="1">
      <c r="A42" s="75"/>
      <c r="B42" s="82"/>
      <c r="C42" s="82"/>
      <c r="D42" s="82"/>
      <c r="E42" s="82"/>
      <c r="F42" s="82"/>
      <c r="G42" s="82"/>
      <c r="H42" s="82"/>
      <c r="I42" s="168"/>
      <c r="J42" s="345"/>
      <c r="M42" s="342">
        <v>31</v>
      </c>
      <c r="N42" s="343">
        <v>178.58200070000001</v>
      </c>
      <c r="O42" s="343">
        <v>213.13</v>
      </c>
      <c r="P42" s="343">
        <v>188.386</v>
      </c>
      <c r="Q42" s="811">
        <v>186.24800110000001</v>
      </c>
      <c r="AF42" s="275"/>
      <c r="AG42" s="275"/>
      <c r="AH42" s="275"/>
      <c r="AI42" s="275"/>
      <c r="AJ42" s="275"/>
      <c r="AK42" s="275"/>
      <c r="AL42" s="275"/>
    </row>
    <row r="43" spans="1:38" ht="11.25" customHeight="1">
      <c r="A43" s="75"/>
      <c r="B43" s="82"/>
      <c r="C43" s="82"/>
      <c r="D43" s="82"/>
      <c r="E43" s="82"/>
      <c r="F43" s="82"/>
      <c r="G43" s="82"/>
      <c r="H43" s="82"/>
      <c r="I43" s="56"/>
      <c r="J43" s="345"/>
      <c r="M43" s="342">
        <v>32</v>
      </c>
      <c r="N43" s="343">
        <v>178.58200070000001</v>
      </c>
      <c r="O43" s="343">
        <v>213.13</v>
      </c>
      <c r="P43" s="343">
        <v>184.72900390000001</v>
      </c>
      <c r="Q43" s="328">
        <v>182.40899659999999</v>
      </c>
      <c r="AF43" s="275"/>
      <c r="AG43" s="275"/>
      <c r="AH43" s="275"/>
      <c r="AI43" s="275"/>
      <c r="AJ43" s="275"/>
      <c r="AK43" s="275"/>
      <c r="AL43" s="275"/>
    </row>
    <row r="44" spans="1:38" ht="11.25" customHeight="1">
      <c r="A44" s="75"/>
      <c r="B44" s="82"/>
      <c r="C44" s="82"/>
      <c r="D44" s="82"/>
      <c r="E44" s="82"/>
      <c r="F44" s="82"/>
      <c r="G44" s="82"/>
      <c r="H44" s="82"/>
      <c r="I44" s="56"/>
      <c r="J44" s="345"/>
      <c r="M44" s="342">
        <v>33</v>
      </c>
      <c r="N44" s="343">
        <v>169.01100159999999</v>
      </c>
      <c r="O44" s="343">
        <v>205.97</v>
      </c>
      <c r="P44" s="343">
        <v>178.8809967</v>
      </c>
      <c r="Q44" s="328">
        <v>178.6940002</v>
      </c>
      <c r="AF44" s="275"/>
      <c r="AG44" s="275"/>
      <c r="AH44" s="275"/>
      <c r="AI44" s="275"/>
      <c r="AJ44" s="275"/>
      <c r="AK44" s="275"/>
      <c r="AL44" s="275"/>
    </row>
    <row r="45" spans="1:38" ht="11.25" customHeight="1">
      <c r="A45" s="75"/>
      <c r="B45" s="82"/>
      <c r="C45" s="82"/>
      <c r="D45" s="82"/>
      <c r="E45" s="82"/>
      <c r="F45" s="82"/>
      <c r="G45" s="82"/>
      <c r="H45" s="82"/>
      <c r="I45" s="59"/>
      <c r="J45" s="348"/>
      <c r="M45" s="342">
        <v>34</v>
      </c>
      <c r="N45" s="343">
        <v>169.01100159999999</v>
      </c>
      <c r="O45" s="343">
        <v>199.49</v>
      </c>
      <c r="P45" s="343">
        <v>176.98599239999999</v>
      </c>
      <c r="Q45" s="328">
        <v>173.61300660000001</v>
      </c>
      <c r="AF45" s="275"/>
      <c r="AG45" s="275"/>
      <c r="AH45" s="275"/>
      <c r="AI45" s="275"/>
      <c r="AJ45" s="275"/>
      <c r="AK45" s="275"/>
      <c r="AL45" s="275"/>
    </row>
    <row r="46" spans="1:38" ht="11.25" customHeight="1">
      <c r="A46" s="75"/>
      <c r="B46" s="82"/>
      <c r="C46" s="82"/>
      <c r="D46" s="82"/>
      <c r="E46" s="82"/>
      <c r="F46" s="82"/>
      <c r="G46" s="82"/>
      <c r="H46" s="82"/>
      <c r="I46" s="59"/>
      <c r="J46" s="348"/>
      <c r="M46" s="342">
        <v>35</v>
      </c>
      <c r="N46" s="349">
        <v>158.09199523925699</v>
      </c>
      <c r="O46" s="343">
        <v>193.4</v>
      </c>
      <c r="P46" s="343">
        <v>173.36999510000001</v>
      </c>
      <c r="Q46" s="328">
        <v>170.0189972</v>
      </c>
      <c r="AF46" s="275"/>
      <c r="AG46" s="275"/>
      <c r="AH46" s="275"/>
      <c r="AI46" s="275"/>
      <c r="AJ46" s="275"/>
      <c r="AK46" s="275"/>
      <c r="AL46" s="275"/>
    </row>
    <row r="47" spans="1:38" ht="11.25" customHeight="1">
      <c r="A47" s="75"/>
      <c r="B47" s="82"/>
      <c r="C47" s="82"/>
      <c r="D47" s="82"/>
      <c r="E47" s="82"/>
      <c r="F47" s="82"/>
      <c r="G47" s="82"/>
      <c r="H47" s="82"/>
      <c r="I47" s="59"/>
      <c r="J47" s="348"/>
      <c r="M47" s="342">
        <v>36</v>
      </c>
      <c r="N47" s="349">
        <v>158.09199523925699</v>
      </c>
      <c r="O47" s="343">
        <v>187.93</v>
      </c>
      <c r="P47" s="343">
        <v>167.63</v>
      </c>
      <c r="Q47" s="328">
        <v>166.0690002</v>
      </c>
      <c r="AF47" s="275"/>
      <c r="AG47" s="275"/>
      <c r="AH47" s="275"/>
      <c r="AI47" s="275"/>
      <c r="AJ47" s="275"/>
      <c r="AK47" s="275"/>
      <c r="AL47" s="275"/>
    </row>
    <row r="48" spans="1:38" ht="11.25" customHeight="1">
      <c r="A48" s="75"/>
      <c r="B48" s="82"/>
      <c r="C48" s="82"/>
      <c r="D48" s="82"/>
      <c r="E48" s="82"/>
      <c r="F48" s="82"/>
      <c r="G48" s="82"/>
      <c r="H48" s="82"/>
      <c r="I48" s="59"/>
      <c r="J48" s="348"/>
      <c r="M48" s="342">
        <v>37</v>
      </c>
      <c r="N48" s="343">
        <v>147.0650024</v>
      </c>
      <c r="O48" s="343">
        <v>182.85</v>
      </c>
      <c r="P48" s="343">
        <v>162.30700680000001</v>
      </c>
      <c r="Q48" s="328">
        <v>159.17399599999999</v>
      </c>
      <c r="AF48" s="275"/>
      <c r="AG48" s="275"/>
      <c r="AH48" s="275"/>
      <c r="AI48" s="275"/>
      <c r="AJ48" s="275"/>
      <c r="AK48" s="275"/>
      <c r="AL48" s="275"/>
    </row>
    <row r="49" spans="1:38" ht="11.25" customHeight="1">
      <c r="A49" s="75"/>
      <c r="B49" s="82"/>
      <c r="C49" s="82"/>
      <c r="D49" s="82"/>
      <c r="E49" s="82"/>
      <c r="F49" s="82"/>
      <c r="G49" s="82"/>
      <c r="H49" s="82"/>
      <c r="I49" s="59"/>
      <c r="J49" s="348"/>
      <c r="M49" s="342">
        <v>38</v>
      </c>
      <c r="N49" s="343">
        <v>147.0650024</v>
      </c>
      <c r="O49" s="343">
        <v>179.77</v>
      </c>
      <c r="P49" s="343">
        <v>159.02699279999999</v>
      </c>
      <c r="Q49" s="328">
        <v>157.84</v>
      </c>
      <c r="AF49" s="275"/>
      <c r="AG49" s="275"/>
      <c r="AH49" s="275"/>
      <c r="AI49" s="275"/>
      <c r="AJ49" s="275"/>
      <c r="AK49" s="275"/>
      <c r="AL49" s="275"/>
    </row>
    <row r="50" spans="1:38" ht="12.75">
      <c r="A50" s="75"/>
      <c r="B50" s="82"/>
      <c r="C50" s="82"/>
      <c r="D50" s="82"/>
      <c r="E50" s="82"/>
      <c r="F50" s="82"/>
      <c r="G50" s="82"/>
      <c r="H50" s="82"/>
      <c r="I50" s="59"/>
      <c r="J50" s="348"/>
      <c r="M50" s="342">
        <v>39</v>
      </c>
      <c r="N50" s="343">
        <v>139.11000060000001</v>
      </c>
      <c r="O50" s="343">
        <v>173.62</v>
      </c>
      <c r="P50" s="343">
        <v>153.61700440000001</v>
      </c>
      <c r="Q50" s="328">
        <v>156.28199768066401</v>
      </c>
      <c r="AF50" s="275"/>
      <c r="AG50" s="275"/>
      <c r="AH50" s="275"/>
      <c r="AI50" s="275"/>
      <c r="AJ50" s="275"/>
      <c r="AK50" s="275"/>
      <c r="AL50" s="275"/>
    </row>
    <row r="51" spans="1:38" ht="10.5" customHeight="1">
      <c r="A51" s="75"/>
      <c r="B51" s="82"/>
      <c r="C51" s="82"/>
      <c r="D51" s="82"/>
      <c r="E51" s="82"/>
      <c r="F51" s="82"/>
      <c r="G51" s="82"/>
      <c r="H51" s="82"/>
      <c r="I51" s="59"/>
      <c r="J51" s="348"/>
      <c r="M51" s="342">
        <v>40</v>
      </c>
      <c r="N51" s="343">
        <v>139.11000060000001</v>
      </c>
      <c r="O51" s="343">
        <v>163</v>
      </c>
      <c r="P51" s="343">
        <v>151.72999569999999</v>
      </c>
      <c r="Q51" s="328">
        <v>148.3529968</v>
      </c>
      <c r="AF51" s="275"/>
      <c r="AG51" s="275"/>
      <c r="AH51" s="275"/>
      <c r="AI51" s="275"/>
      <c r="AJ51" s="275"/>
      <c r="AK51" s="275"/>
      <c r="AL51" s="275"/>
    </row>
    <row r="52" spans="1:38" ht="12.75">
      <c r="A52" s="75"/>
      <c r="B52" s="82"/>
      <c r="C52" s="82"/>
      <c r="D52" s="82"/>
      <c r="E52" s="82"/>
      <c r="F52" s="82"/>
      <c r="G52" s="82"/>
      <c r="H52" s="82"/>
      <c r="I52" s="59"/>
      <c r="J52" s="348"/>
      <c r="M52" s="342">
        <v>41</v>
      </c>
      <c r="N52" s="343">
        <v>139.11000060000001</v>
      </c>
      <c r="O52" s="343">
        <v>156.5</v>
      </c>
      <c r="P52" s="343">
        <v>147.996002197265</v>
      </c>
      <c r="Q52" s="328">
        <v>151.04400630000001</v>
      </c>
      <c r="AF52" s="275"/>
      <c r="AG52" s="275"/>
      <c r="AH52" s="275"/>
      <c r="AI52" s="275"/>
      <c r="AJ52" s="275"/>
      <c r="AK52" s="275"/>
      <c r="AL52" s="275"/>
    </row>
    <row r="53" spans="1:38" ht="12.75">
      <c r="A53" s="75"/>
      <c r="B53" s="82"/>
      <c r="C53" s="82"/>
      <c r="D53" s="82"/>
      <c r="E53" s="82"/>
      <c r="F53" s="82"/>
      <c r="G53" s="82"/>
      <c r="H53" s="82"/>
      <c r="I53" s="59"/>
      <c r="J53" s="348"/>
      <c r="M53" s="342">
        <v>42</v>
      </c>
      <c r="N53" s="343">
        <v>128.34500120000001</v>
      </c>
      <c r="O53" s="343">
        <v>152.78</v>
      </c>
      <c r="P53" s="343">
        <v>144.53999328613199</v>
      </c>
      <c r="Q53" s="328">
        <v>146.53</v>
      </c>
      <c r="AF53" s="275"/>
      <c r="AG53" s="275"/>
      <c r="AH53" s="275"/>
      <c r="AI53" s="275"/>
      <c r="AJ53" s="275"/>
      <c r="AK53" s="275"/>
      <c r="AL53" s="275"/>
    </row>
    <row r="54" spans="1:38" ht="12.75">
      <c r="A54" s="75"/>
      <c r="B54" s="82"/>
      <c r="C54" s="82"/>
      <c r="D54" s="82"/>
      <c r="E54" s="82"/>
      <c r="F54" s="82"/>
      <c r="G54" s="82"/>
      <c r="H54" s="82"/>
      <c r="I54" s="59"/>
      <c r="J54" s="348"/>
      <c r="M54" s="342">
        <v>43</v>
      </c>
      <c r="N54" s="343">
        <v>128.34500120000001</v>
      </c>
      <c r="O54" s="343">
        <v>148.63</v>
      </c>
      <c r="P54" s="343">
        <v>143.72300720214801</v>
      </c>
      <c r="Q54" s="328">
        <v>137.7400055</v>
      </c>
      <c r="AF54" s="275"/>
      <c r="AG54" s="275"/>
      <c r="AH54" s="275"/>
      <c r="AI54" s="275"/>
      <c r="AJ54" s="275"/>
      <c r="AK54" s="275"/>
      <c r="AL54" s="275"/>
    </row>
    <row r="55" spans="1:38" ht="12.75">
      <c r="A55" s="75"/>
      <c r="B55" s="82"/>
      <c r="C55" s="82"/>
      <c r="D55" s="82"/>
      <c r="E55" s="82"/>
      <c r="F55" s="82"/>
      <c r="G55" s="82"/>
      <c r="H55" s="82"/>
      <c r="I55" s="59"/>
      <c r="J55" s="348"/>
      <c r="M55" s="342">
        <v>44</v>
      </c>
      <c r="N55" s="343">
        <v>121.20099639999999</v>
      </c>
      <c r="O55" s="343">
        <v>142.91</v>
      </c>
      <c r="P55" s="343">
        <v>142.33900449999999</v>
      </c>
      <c r="Q55" s="328">
        <v>133.1380005</v>
      </c>
      <c r="AF55" s="275"/>
      <c r="AG55" s="275"/>
      <c r="AH55" s="275"/>
      <c r="AI55" s="275"/>
      <c r="AJ55" s="275"/>
      <c r="AK55" s="275"/>
      <c r="AL55" s="275"/>
    </row>
    <row r="56" spans="1:38" ht="12.75">
      <c r="A56" s="75"/>
      <c r="B56" s="82"/>
      <c r="C56" s="82"/>
      <c r="D56" s="82"/>
      <c r="E56" s="82"/>
      <c r="F56" s="82"/>
      <c r="G56" s="82"/>
      <c r="H56" s="82"/>
      <c r="I56" s="59"/>
      <c r="J56" s="348"/>
      <c r="M56" s="342">
        <v>45</v>
      </c>
      <c r="N56" s="343">
        <v>121.20099639999999</v>
      </c>
      <c r="O56" s="343">
        <v>137.04</v>
      </c>
      <c r="P56" s="343">
        <v>143.13200380000001</v>
      </c>
      <c r="AF56" s="275"/>
      <c r="AG56" s="275"/>
      <c r="AH56" s="275"/>
      <c r="AI56" s="275"/>
      <c r="AJ56" s="275"/>
      <c r="AK56" s="275"/>
      <c r="AL56" s="275"/>
    </row>
    <row r="57" spans="1:38" ht="12.75">
      <c r="A57" s="75"/>
      <c r="B57" s="82"/>
      <c r="C57" s="82"/>
      <c r="D57" s="82"/>
      <c r="E57" s="82"/>
      <c r="F57" s="82"/>
      <c r="G57" s="82"/>
      <c r="H57" s="82"/>
      <c r="M57" s="342">
        <v>46</v>
      </c>
      <c r="N57" s="343">
        <v>112.1429977</v>
      </c>
      <c r="O57" s="343">
        <v>131.22999999999999</v>
      </c>
      <c r="P57" s="343">
        <v>141.37</v>
      </c>
      <c r="AF57" s="275"/>
      <c r="AG57" s="275"/>
      <c r="AH57" s="275"/>
      <c r="AI57" s="275"/>
      <c r="AJ57" s="275"/>
      <c r="AK57" s="275"/>
      <c r="AL57" s="275"/>
    </row>
    <row r="58" spans="1:38" ht="12.75">
      <c r="A58" s="75"/>
      <c r="B58" s="82"/>
      <c r="C58" s="82"/>
      <c r="D58" s="82"/>
      <c r="E58" s="82"/>
      <c r="F58" s="82"/>
      <c r="G58" s="82"/>
      <c r="H58" s="82"/>
      <c r="M58" s="342">
        <v>47</v>
      </c>
      <c r="N58" s="343">
        <v>112.1429977</v>
      </c>
      <c r="O58" s="343">
        <v>125.5</v>
      </c>
      <c r="P58" s="343">
        <v>140.33900449999999</v>
      </c>
      <c r="AF58" s="275"/>
      <c r="AG58" s="275"/>
      <c r="AH58" s="275"/>
      <c r="AI58" s="275"/>
      <c r="AJ58" s="275"/>
      <c r="AK58" s="275"/>
      <c r="AL58" s="275"/>
    </row>
    <row r="59" spans="1:38" ht="12.75">
      <c r="A59" s="272" t="s">
        <v>506</v>
      </c>
      <c r="B59" s="82"/>
      <c r="C59" s="82"/>
      <c r="D59" s="82"/>
      <c r="E59" s="82"/>
      <c r="F59" s="82"/>
      <c r="G59" s="82"/>
      <c r="H59" s="82"/>
      <c r="M59" s="342">
        <v>48</v>
      </c>
      <c r="N59" s="343">
        <v>101.13500209999999</v>
      </c>
      <c r="O59" s="343">
        <v>120.41</v>
      </c>
      <c r="P59" s="343">
        <v>137.8150024</v>
      </c>
      <c r="AF59" s="275"/>
      <c r="AG59" s="275"/>
      <c r="AH59" s="275"/>
      <c r="AI59" s="275"/>
      <c r="AJ59" s="275"/>
      <c r="AK59" s="275"/>
      <c r="AL59" s="275"/>
    </row>
    <row r="60" spans="1:38" ht="12.75">
      <c r="A60" s="54"/>
      <c r="B60" s="82"/>
      <c r="C60" s="82"/>
      <c r="D60" s="82"/>
      <c r="E60" s="82"/>
      <c r="F60" s="82"/>
      <c r="G60" s="82"/>
      <c r="H60" s="82"/>
      <c r="M60" s="342">
        <v>49</v>
      </c>
      <c r="N60" s="343">
        <v>101.13500209999999</v>
      </c>
      <c r="O60" s="343">
        <v>115.91300200000001</v>
      </c>
      <c r="P60" s="343">
        <v>129.0279999</v>
      </c>
      <c r="AF60" s="275"/>
      <c r="AG60" s="275"/>
      <c r="AH60" s="275"/>
      <c r="AI60" s="275"/>
      <c r="AJ60" s="275"/>
      <c r="AK60" s="275"/>
      <c r="AL60" s="275"/>
    </row>
    <row r="61" spans="1:38">
      <c r="M61" s="342">
        <v>50</v>
      </c>
      <c r="N61" s="343">
        <v>96.752998349999999</v>
      </c>
      <c r="O61" s="343">
        <v>110.0599976</v>
      </c>
      <c r="P61" s="343">
        <v>129.30000000000001</v>
      </c>
      <c r="AD61" s="340"/>
      <c r="AE61" s="340"/>
      <c r="AF61" s="217"/>
      <c r="AG61" s="217"/>
      <c r="AH61" s="217"/>
      <c r="AI61" s="217"/>
      <c r="AJ61" s="217"/>
      <c r="AK61" s="217"/>
      <c r="AL61" s="217"/>
    </row>
    <row r="62" spans="1:38">
      <c r="M62" s="342">
        <v>51</v>
      </c>
      <c r="N62" s="343">
        <v>96.752998349999999</v>
      </c>
      <c r="O62" s="343">
        <v>107.5970001</v>
      </c>
      <c r="P62" s="343">
        <v>129</v>
      </c>
      <c r="AD62" s="340"/>
      <c r="AE62" s="340"/>
      <c r="AF62" s="217"/>
      <c r="AG62" s="217"/>
      <c r="AH62" s="217"/>
      <c r="AI62" s="217"/>
      <c r="AJ62" s="217"/>
      <c r="AK62" s="217"/>
      <c r="AL62" s="217"/>
    </row>
    <row r="63" spans="1:38">
      <c r="M63" s="342">
        <v>52</v>
      </c>
      <c r="N63" s="343">
        <v>96.752998349999999</v>
      </c>
      <c r="O63" s="343">
        <v>104.4029999</v>
      </c>
      <c r="P63" s="343">
        <v>130.4810028</v>
      </c>
      <c r="AD63" s="340"/>
      <c r="AE63" s="340"/>
      <c r="AF63" s="217"/>
      <c r="AG63" s="217"/>
      <c r="AH63" s="217"/>
      <c r="AI63" s="217"/>
      <c r="AJ63" s="217"/>
      <c r="AK63" s="217"/>
      <c r="AL63" s="217"/>
    </row>
    <row r="64" spans="1:38">
      <c r="M64" s="342">
        <v>53</v>
      </c>
      <c r="N64" s="343"/>
      <c r="O64" s="343"/>
      <c r="P64" s="350"/>
      <c r="AD64" s="340"/>
      <c r="AE64" s="340"/>
      <c r="AF64" s="217"/>
      <c r="AG64" s="217"/>
      <c r="AH64" s="217"/>
      <c r="AI64" s="217"/>
      <c r="AJ64" s="217"/>
      <c r="AK64" s="217"/>
      <c r="AL64" s="217"/>
    </row>
    <row r="65" spans="13:38">
      <c r="M65" s="340"/>
      <c r="N65" s="340"/>
      <c r="O65" s="340"/>
      <c r="P65" s="340"/>
      <c r="Q65" s="340"/>
      <c r="R65" s="340"/>
      <c r="S65" s="340"/>
      <c r="T65" s="340"/>
      <c r="AD65" s="340"/>
      <c r="AE65" s="340"/>
      <c r="AF65" s="217"/>
      <c r="AG65" s="217"/>
      <c r="AH65" s="217"/>
      <c r="AI65" s="217"/>
      <c r="AJ65" s="217"/>
      <c r="AK65" s="217"/>
      <c r="AL65" s="217"/>
    </row>
  </sheetData>
  <mergeCells count="4">
    <mergeCell ref="A2:H2"/>
    <mergeCell ref="A4:H4"/>
    <mergeCell ref="C28:F28"/>
    <mergeCell ref="A32:H32"/>
  </mergeCells>
  <pageMargins left="0.70866141732283472" right="0.70866141732283472" top="1.0236220472440944" bottom="0.62992125984251968" header="0.31496062992125984" footer="0.31496062992125984"/>
  <pageSetup paperSize="9" scale="95" orientation="portrait" r:id="rId1"/>
  <headerFooter>
    <oddHeader>&amp;R&amp;7Informe de la Operación Mensual-Octubre 2019
INFSGI-MES-10-2019
18/10/2019
Versión: 01</oddHeader>
    <oddFooter>&amp;L&amp;7COES, 2019&amp;C10&amp;R&amp;7Dirección Ejecutiva
Sub Dirección de Gestión de Información</oddFooter>
  </headerFooter>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3">
    <tabColor theme="4"/>
  </sheetPr>
  <dimension ref="A1:AE63"/>
  <sheetViews>
    <sheetView showGridLines="0" view="pageBreakPreview" topLeftCell="E10" zoomScale="85" zoomScaleNormal="100" zoomScaleSheetLayoutView="85" zoomScalePageLayoutView="115" workbookViewId="0">
      <selection activeCell="M12" sqref="M12"/>
    </sheetView>
  </sheetViews>
  <sheetFormatPr defaultColWidth="9.33203125" defaultRowHeight="11.25"/>
  <cols>
    <col min="10" max="11" width="9.33203125" customWidth="1"/>
    <col min="14" max="28" width="9.33203125" style="448"/>
    <col min="29" max="31" width="9.33203125" style="438"/>
  </cols>
  <sheetData>
    <row r="1" spans="1:23" ht="11.25" customHeight="1"/>
    <row r="2" spans="1:23" ht="11.25" customHeight="1">
      <c r="A2" s="318"/>
      <c r="B2" s="325"/>
      <c r="C2" s="325"/>
      <c r="D2" s="325"/>
      <c r="E2" s="325"/>
      <c r="F2" s="325"/>
      <c r="G2" s="326"/>
      <c r="H2" s="326"/>
      <c r="I2" s="17"/>
    </row>
    <row r="3" spans="1:23" ht="11.25" customHeight="1">
      <c r="A3" s="17"/>
      <c r="B3" s="17"/>
      <c r="C3" s="17"/>
      <c r="D3" s="17"/>
      <c r="E3" s="17"/>
      <c r="F3" s="17"/>
      <c r="G3" s="73"/>
      <c r="H3" s="73"/>
      <c r="I3" s="73"/>
      <c r="J3" s="36"/>
      <c r="K3" s="36"/>
      <c r="L3" s="36"/>
    </row>
    <row r="4" spans="1:23" ht="11.25" customHeight="1">
      <c r="A4" s="17"/>
      <c r="B4" s="17"/>
      <c r="C4" s="17"/>
      <c r="D4" s="17"/>
      <c r="E4" s="17"/>
      <c r="F4" s="17"/>
      <c r="G4" s="73"/>
      <c r="H4" s="73"/>
      <c r="I4" s="73"/>
      <c r="J4" s="36"/>
      <c r="K4" s="36"/>
      <c r="L4" s="36"/>
      <c r="N4" s="451" t="s">
        <v>271</v>
      </c>
      <c r="T4" s="452" t="s">
        <v>272</v>
      </c>
    </row>
    <row r="5" spans="1:23" ht="11.25" customHeight="1">
      <c r="A5" s="950"/>
      <c r="B5" s="950"/>
      <c r="C5" s="950"/>
      <c r="D5" s="950"/>
      <c r="E5" s="950"/>
      <c r="F5" s="950"/>
      <c r="G5" s="950"/>
      <c r="H5" s="950"/>
      <c r="I5" s="950"/>
      <c r="J5" s="12"/>
      <c r="K5" s="12"/>
      <c r="L5" s="8"/>
      <c r="O5" s="453">
        <v>2016</v>
      </c>
      <c r="P5" s="453">
        <v>2017</v>
      </c>
      <c r="Q5" s="453">
        <v>2018</v>
      </c>
      <c r="R5" s="453">
        <v>2019</v>
      </c>
      <c r="T5" s="453">
        <v>2016</v>
      </c>
      <c r="U5" s="453">
        <v>2017</v>
      </c>
      <c r="V5" s="453">
        <v>2018</v>
      </c>
      <c r="W5" s="453">
        <v>2019</v>
      </c>
    </row>
    <row r="6" spans="1:23" ht="11.25" customHeight="1">
      <c r="A6" s="17"/>
      <c r="B6" s="159"/>
      <c r="C6" s="68"/>
      <c r="D6" s="69"/>
      <c r="E6" s="69"/>
      <c r="F6" s="70"/>
      <c r="G6" s="66"/>
      <c r="H6" s="66"/>
      <c r="I6" s="71"/>
      <c r="J6" s="12"/>
      <c r="K6" s="12"/>
      <c r="L6" s="5"/>
      <c r="N6" s="454">
        <v>1</v>
      </c>
      <c r="O6" s="455">
        <v>119.86</v>
      </c>
      <c r="P6" s="455">
        <v>27.559000019999999</v>
      </c>
      <c r="Q6" s="456">
        <v>34.76</v>
      </c>
      <c r="R6" s="448">
        <v>71.125</v>
      </c>
      <c r="S6" s="454">
        <v>1</v>
      </c>
      <c r="T6" s="455">
        <v>150.22999999999999</v>
      </c>
      <c r="U6" s="455">
        <v>122.19600180599998</v>
      </c>
      <c r="V6" s="456">
        <v>210.20000000000002</v>
      </c>
      <c r="W6" s="448">
        <v>190.20000426299998</v>
      </c>
    </row>
    <row r="7" spans="1:23" ht="11.25" customHeight="1">
      <c r="A7" s="17"/>
      <c r="B7" s="951"/>
      <c r="C7" s="951"/>
      <c r="D7" s="160"/>
      <c r="E7" s="160"/>
      <c r="F7" s="70"/>
      <c r="G7" s="66"/>
      <c r="H7" s="66"/>
      <c r="I7" s="71"/>
      <c r="J7" s="3"/>
      <c r="K7" s="3"/>
      <c r="L7" s="15"/>
      <c r="N7" s="454">
        <v>2</v>
      </c>
      <c r="O7" s="455">
        <v>113.21</v>
      </c>
      <c r="P7" s="455">
        <v>36.5890007</v>
      </c>
      <c r="Q7" s="456">
        <v>47.749000549999998</v>
      </c>
      <c r="R7" s="448">
        <v>79.228996280000004</v>
      </c>
      <c r="S7" s="454">
        <v>2</v>
      </c>
      <c r="T7" s="455">
        <v>145.21</v>
      </c>
      <c r="U7" s="455">
        <v>136.535000822</v>
      </c>
      <c r="V7" s="456">
        <v>216.70300435500002</v>
      </c>
      <c r="W7" s="448">
        <v>185.80498987600001</v>
      </c>
    </row>
    <row r="8" spans="1:23" ht="11.25" customHeight="1">
      <c r="A8" s="17"/>
      <c r="B8" s="161"/>
      <c r="C8" s="39"/>
      <c r="D8" s="162"/>
      <c r="E8" s="162"/>
      <c r="F8" s="70"/>
      <c r="G8" s="66"/>
      <c r="H8" s="66"/>
      <c r="I8" s="71"/>
      <c r="J8" s="4"/>
      <c r="K8" s="4"/>
      <c r="L8" s="12"/>
      <c r="N8" s="454">
        <v>3</v>
      </c>
      <c r="O8" s="455">
        <v>117.64</v>
      </c>
      <c r="P8" s="455">
        <v>63.17599869</v>
      </c>
      <c r="Q8" s="456">
        <v>67.130996699999997</v>
      </c>
      <c r="R8" s="448">
        <v>106.65</v>
      </c>
      <c r="S8" s="454">
        <v>3</v>
      </c>
      <c r="T8" s="455">
        <v>143.88</v>
      </c>
      <c r="U8" s="455">
        <v>170.80799961000002</v>
      </c>
      <c r="V8" s="456">
        <v>232.83600043999999</v>
      </c>
      <c r="W8" s="448">
        <v>190.06000000000003</v>
      </c>
    </row>
    <row r="9" spans="1:23" ht="11.25" customHeight="1">
      <c r="A9" s="17"/>
      <c r="B9" s="161"/>
      <c r="C9" s="39"/>
      <c r="D9" s="162"/>
      <c r="E9" s="162"/>
      <c r="F9" s="70"/>
      <c r="G9" s="66"/>
      <c r="H9" s="66"/>
      <c r="I9" s="71"/>
      <c r="J9" s="3"/>
      <c r="K9" s="6"/>
      <c r="L9" s="15"/>
      <c r="N9" s="454">
        <v>4</v>
      </c>
      <c r="O9" s="455">
        <v>117.64</v>
      </c>
      <c r="P9" s="455">
        <v>113.2139969</v>
      </c>
      <c r="Q9" s="456">
        <v>93.789001459999994</v>
      </c>
      <c r="R9" s="448">
        <v>140.34500120000001</v>
      </c>
      <c r="S9" s="454">
        <v>4</v>
      </c>
      <c r="T9" s="455">
        <v>139.38200000000001</v>
      </c>
      <c r="U9" s="455">
        <v>186.385000214</v>
      </c>
      <c r="V9" s="456">
        <v>271.78000545999998</v>
      </c>
      <c r="W9" s="448">
        <v>198.06799936900001</v>
      </c>
    </row>
    <row r="10" spans="1:23" ht="11.25" customHeight="1">
      <c r="A10" s="17"/>
      <c r="B10" s="161"/>
      <c r="C10" s="39"/>
      <c r="D10" s="162"/>
      <c r="E10" s="162"/>
      <c r="F10" s="70"/>
      <c r="G10" s="66"/>
      <c r="H10" s="66"/>
      <c r="I10" s="71"/>
      <c r="J10" s="3"/>
      <c r="K10" s="3"/>
      <c r="L10" s="15"/>
      <c r="N10" s="454">
        <v>5</v>
      </c>
      <c r="O10" s="455">
        <v>133.43</v>
      </c>
      <c r="P10" s="455">
        <v>156.8220062</v>
      </c>
      <c r="Q10" s="456">
        <v>111.01599880000001</v>
      </c>
      <c r="R10" s="448">
        <v>186.18299870000001</v>
      </c>
      <c r="S10" s="454">
        <v>5</v>
      </c>
      <c r="T10" s="455">
        <v>135.79099490000002</v>
      </c>
      <c r="U10" s="455">
        <v>204.80799868699998</v>
      </c>
      <c r="V10" s="456">
        <v>269.07999802</v>
      </c>
      <c r="W10" s="448">
        <v>217.55805158600003</v>
      </c>
    </row>
    <row r="11" spans="1:23" ht="11.25" customHeight="1">
      <c r="A11" s="17"/>
      <c r="B11" s="162"/>
      <c r="C11" s="39"/>
      <c r="D11" s="162"/>
      <c r="E11" s="162"/>
      <c r="F11" s="70"/>
      <c r="G11" s="66"/>
      <c r="H11" s="66"/>
      <c r="I11" s="71"/>
      <c r="J11" s="3"/>
      <c r="K11" s="3"/>
      <c r="L11" s="15"/>
      <c r="N11" s="454">
        <v>6</v>
      </c>
      <c r="O11" s="455">
        <v>159.2149963</v>
      </c>
      <c r="P11" s="455">
        <v>168.8840027</v>
      </c>
      <c r="Q11" s="456">
        <v>126.6029968</v>
      </c>
      <c r="R11" s="448">
        <v>222.22</v>
      </c>
      <c r="S11" s="454">
        <v>6</v>
      </c>
      <c r="T11" s="455">
        <v>150.04800029899999</v>
      </c>
      <c r="U11" s="455">
        <v>201.82999366799999</v>
      </c>
      <c r="V11" s="456">
        <v>273.52000047000001</v>
      </c>
      <c r="W11" s="448">
        <v>279.10000000000002</v>
      </c>
    </row>
    <row r="12" spans="1:23" ht="11.25" customHeight="1">
      <c r="A12" s="17"/>
      <c r="B12" s="162"/>
      <c r="C12" s="39"/>
      <c r="D12" s="162"/>
      <c r="E12" s="162"/>
      <c r="F12" s="70"/>
      <c r="G12" s="66"/>
      <c r="H12" s="66"/>
      <c r="I12" s="71"/>
      <c r="J12" s="3"/>
      <c r="K12" s="3"/>
      <c r="L12" s="15"/>
      <c r="N12" s="454">
        <v>7</v>
      </c>
      <c r="O12" s="455">
        <v>186.18299870000001</v>
      </c>
      <c r="P12" s="455">
        <v>196.28300479999999</v>
      </c>
      <c r="Q12" s="456">
        <v>135.7250061</v>
      </c>
      <c r="R12" s="448">
        <v>277.02099609999999</v>
      </c>
      <c r="S12" s="454">
        <v>7</v>
      </c>
      <c r="T12" s="455">
        <v>174.31999966699999</v>
      </c>
      <c r="U12" s="455">
        <v>199.59600258</v>
      </c>
      <c r="V12" s="456">
        <v>302.63299941999998</v>
      </c>
      <c r="W12" s="448">
        <v>338.21854399</v>
      </c>
    </row>
    <row r="13" spans="1:23" ht="11.25" customHeight="1">
      <c r="A13" s="17"/>
      <c r="B13" s="162"/>
      <c r="C13" s="39"/>
      <c r="D13" s="162"/>
      <c r="E13" s="162"/>
      <c r="F13" s="70"/>
      <c r="G13" s="66"/>
      <c r="H13" s="66"/>
      <c r="I13" s="71"/>
      <c r="J13" s="4"/>
      <c r="K13" s="4"/>
      <c r="L13" s="12"/>
      <c r="N13" s="454">
        <v>8</v>
      </c>
      <c r="O13" s="455">
        <v>206.53900150000001</v>
      </c>
      <c r="P13" s="455">
        <v>230.18899540000001</v>
      </c>
      <c r="Q13" s="456">
        <v>159.2149963</v>
      </c>
      <c r="R13" s="448">
        <v>293.06698610000001</v>
      </c>
      <c r="S13" s="454">
        <v>8</v>
      </c>
      <c r="T13" s="455">
        <v>262.93500039999998</v>
      </c>
      <c r="U13" s="455">
        <v>214.34299659800001</v>
      </c>
      <c r="V13" s="456">
        <v>328.23703</v>
      </c>
      <c r="W13" s="448">
        <v>388.64800643000001</v>
      </c>
    </row>
    <row r="14" spans="1:23" ht="11.25" customHeight="1">
      <c r="A14" s="17"/>
      <c r="B14" s="162"/>
      <c r="C14" s="39"/>
      <c r="D14" s="162"/>
      <c r="E14" s="162"/>
      <c r="F14" s="70"/>
      <c r="G14" s="66"/>
      <c r="H14" s="66"/>
      <c r="I14" s="71"/>
      <c r="J14" s="3"/>
      <c r="K14" s="6"/>
      <c r="L14" s="15"/>
      <c r="N14" s="454">
        <v>9</v>
      </c>
      <c r="O14" s="455">
        <v>240.9539948</v>
      </c>
      <c r="P14" s="455">
        <v>249.13000489999999</v>
      </c>
      <c r="Q14" s="456">
        <v>186.18299870000001</v>
      </c>
      <c r="R14" s="448">
        <v>294.29501340000002</v>
      </c>
      <c r="S14" s="454">
        <v>9</v>
      </c>
      <c r="T14" s="455">
        <v>279.08800121000002</v>
      </c>
      <c r="U14" s="455">
        <v>250.89400288000002</v>
      </c>
      <c r="V14" s="456">
        <v>343.54049999999995</v>
      </c>
      <c r="W14" s="448">
        <v>377.13099283000003</v>
      </c>
    </row>
    <row r="15" spans="1:23" ht="11.25" customHeight="1">
      <c r="A15" s="17"/>
      <c r="B15" s="162"/>
      <c r="C15" s="39"/>
      <c r="D15" s="162"/>
      <c r="E15" s="162"/>
      <c r="F15" s="70"/>
      <c r="G15" s="66"/>
      <c r="H15" s="66"/>
      <c r="I15" s="71"/>
      <c r="J15" s="3"/>
      <c r="K15" s="6"/>
      <c r="L15" s="15"/>
      <c r="N15" s="454">
        <v>10</v>
      </c>
      <c r="O15" s="455">
        <v>279.86401369999999</v>
      </c>
      <c r="P15" s="455">
        <v>311.77999999999997</v>
      </c>
      <c r="Q15" s="456">
        <v>203.96099849999999</v>
      </c>
      <c r="R15" s="448">
        <v>291.91101070000002</v>
      </c>
      <c r="S15" s="454">
        <v>10</v>
      </c>
      <c r="T15" s="455">
        <v>283.79400062561007</v>
      </c>
      <c r="U15" s="455">
        <v>298.99899296000001</v>
      </c>
      <c r="V15" s="456">
        <v>371.29100467000001</v>
      </c>
      <c r="W15" s="448">
        <v>385.62499995999997</v>
      </c>
    </row>
    <row r="16" spans="1:23" ht="11.25" customHeight="1">
      <c r="A16" s="17"/>
      <c r="B16" s="162"/>
      <c r="C16" s="39"/>
      <c r="D16" s="162"/>
      <c r="E16" s="162"/>
      <c r="F16" s="70"/>
      <c r="G16" s="66"/>
      <c r="H16" s="66"/>
      <c r="I16" s="71"/>
      <c r="J16" s="3"/>
      <c r="K16" s="6"/>
      <c r="L16" s="15"/>
      <c r="N16" s="454">
        <v>11</v>
      </c>
      <c r="O16" s="455">
        <v>308.83</v>
      </c>
      <c r="P16" s="455">
        <v>332.70800000000003</v>
      </c>
      <c r="Q16" s="456">
        <v>230.18899540000001</v>
      </c>
      <c r="R16" s="457">
        <v>301.204986572265</v>
      </c>
      <c r="S16" s="454">
        <v>11</v>
      </c>
      <c r="T16" s="455">
        <v>286.24</v>
      </c>
      <c r="U16" s="455">
        <v>321.03300188000003</v>
      </c>
      <c r="V16" s="456">
        <v>390.38299555999998</v>
      </c>
      <c r="W16" s="448">
        <v>389.38100242614604</v>
      </c>
    </row>
    <row r="17" spans="1:23" ht="11.25" customHeight="1">
      <c r="A17" s="17"/>
      <c r="B17" s="162"/>
      <c r="C17" s="39"/>
      <c r="D17" s="162"/>
      <c r="E17" s="162"/>
      <c r="F17" s="70"/>
      <c r="G17" s="66"/>
      <c r="H17" s="66"/>
      <c r="I17" s="71"/>
      <c r="J17" s="3"/>
      <c r="K17" s="6"/>
      <c r="L17" s="15"/>
      <c r="N17" s="454">
        <v>12</v>
      </c>
      <c r="O17" s="455">
        <v>308.829986572265</v>
      </c>
      <c r="P17" s="455">
        <v>344.881012</v>
      </c>
      <c r="Q17" s="456">
        <v>282.71701050000001</v>
      </c>
      <c r="R17" s="457">
        <v>310.0090027</v>
      </c>
      <c r="S17" s="454">
        <v>12</v>
      </c>
      <c r="T17" s="455">
        <v>285.01299476623473</v>
      </c>
      <c r="U17" s="455">
        <v>332.34900279999999</v>
      </c>
      <c r="V17" s="456">
        <v>412.41217171999995</v>
      </c>
      <c r="W17" s="448">
        <v>386.27799791999996</v>
      </c>
    </row>
    <row r="18" spans="1:23" ht="11.25" customHeight="1">
      <c r="A18" s="17"/>
      <c r="B18" s="162"/>
      <c r="C18" s="39"/>
      <c r="D18" s="162"/>
      <c r="E18" s="162"/>
      <c r="F18" s="70"/>
      <c r="G18" s="66"/>
      <c r="H18" s="66"/>
      <c r="I18" s="71"/>
      <c r="J18" s="3"/>
      <c r="K18" s="6"/>
      <c r="L18" s="15"/>
      <c r="N18" s="454">
        <v>13</v>
      </c>
      <c r="O18" s="455">
        <v>308.829986572265</v>
      </c>
      <c r="P18" s="455">
        <v>338.77499390000003</v>
      </c>
      <c r="Q18" s="456">
        <v>329.68899540000001</v>
      </c>
      <c r="R18" s="457">
        <v>333.91799930000002</v>
      </c>
      <c r="S18" s="454">
        <v>13</v>
      </c>
      <c r="T18" s="455">
        <v>279.96900081634436</v>
      </c>
      <c r="U18" s="455">
        <v>366.02899361000004</v>
      </c>
      <c r="V18" s="456">
        <v>410.83199501000001</v>
      </c>
      <c r="W18" s="448">
        <v>388.98099517000003</v>
      </c>
    </row>
    <row r="19" spans="1:23" ht="11.25" customHeight="1">
      <c r="A19" s="17"/>
      <c r="B19" s="162"/>
      <c r="C19" s="39"/>
      <c r="D19" s="162"/>
      <c r="E19" s="162"/>
      <c r="F19" s="70"/>
      <c r="G19" s="66"/>
      <c r="H19" s="66"/>
      <c r="I19" s="71"/>
      <c r="J19" s="3"/>
      <c r="K19" s="6"/>
      <c r="L19" s="15"/>
      <c r="N19" s="454">
        <v>14</v>
      </c>
      <c r="O19" s="455">
        <v>302.95901489257801</v>
      </c>
      <c r="P19" s="455">
        <v>338.77999390000002</v>
      </c>
      <c r="Q19" s="456">
        <v>329.68899540000001</v>
      </c>
      <c r="R19" s="457">
        <v>335.73699950000002</v>
      </c>
      <c r="S19" s="454">
        <v>14</v>
      </c>
      <c r="T19" s="455">
        <v>286.54100227355917</v>
      </c>
      <c r="U19" s="455">
        <v>382.58400344</v>
      </c>
      <c r="V19" s="456">
        <v>403.70400233999999</v>
      </c>
      <c r="W19" s="448">
        <v>393.36499596000004</v>
      </c>
    </row>
    <row r="20" spans="1:23" ht="11.25" customHeight="1">
      <c r="A20" s="17"/>
      <c r="B20" s="162"/>
      <c r="C20" s="39"/>
      <c r="D20" s="162"/>
      <c r="E20" s="162"/>
      <c r="F20" s="70"/>
      <c r="G20" s="66"/>
      <c r="H20" s="66"/>
      <c r="I20" s="71"/>
      <c r="J20" s="3"/>
      <c r="K20" s="6"/>
      <c r="L20" s="15"/>
      <c r="N20" s="454">
        <v>15</v>
      </c>
      <c r="O20" s="455">
        <v>311.781005859375</v>
      </c>
      <c r="P20" s="455">
        <v>347.94900510000002</v>
      </c>
      <c r="Q20" s="456">
        <v>326.67999270000001</v>
      </c>
      <c r="R20" s="457">
        <v>335.73699950000002</v>
      </c>
      <c r="S20" s="454">
        <v>15</v>
      </c>
      <c r="T20" s="455">
        <v>288.78499984741165</v>
      </c>
      <c r="U20" s="455">
        <v>385.29699126999998</v>
      </c>
      <c r="V20" s="456">
        <v>399.27400204999998</v>
      </c>
      <c r="W20" s="448">
        <v>385.77799804</v>
      </c>
    </row>
    <row r="21" spans="1:23" ht="11.25" customHeight="1">
      <c r="A21" s="17"/>
      <c r="B21" s="162"/>
      <c r="C21" s="39"/>
      <c r="D21" s="162"/>
      <c r="E21" s="162"/>
      <c r="F21" s="70"/>
      <c r="G21" s="66"/>
      <c r="H21" s="66"/>
      <c r="I21" s="71"/>
      <c r="J21" s="3"/>
      <c r="K21" s="7"/>
      <c r="L21" s="16"/>
      <c r="N21" s="454">
        <v>16</v>
      </c>
      <c r="O21" s="455">
        <v>320.69100952148398</v>
      </c>
      <c r="P21" s="455">
        <v>354.11401369999999</v>
      </c>
      <c r="Q21" s="456">
        <v>314.7409973</v>
      </c>
      <c r="R21" s="457">
        <v>335.73699950000002</v>
      </c>
      <c r="S21" s="454">
        <v>16</v>
      </c>
      <c r="T21" s="455">
        <v>293.26400000000001</v>
      </c>
      <c r="U21" s="455">
        <v>384.95899003</v>
      </c>
      <c r="V21" s="456">
        <v>394.58499913000003</v>
      </c>
      <c r="W21" s="448">
        <v>385.72399323999997</v>
      </c>
    </row>
    <row r="22" spans="1:23" ht="11.25" customHeight="1">
      <c r="A22" s="77"/>
      <c r="B22" s="162"/>
      <c r="C22" s="39"/>
      <c r="D22" s="162"/>
      <c r="E22" s="162"/>
      <c r="F22" s="70"/>
      <c r="G22" s="66"/>
      <c r="H22" s="66"/>
      <c r="I22" s="71"/>
      <c r="J22" s="3"/>
      <c r="K22" s="6"/>
      <c r="L22" s="15"/>
      <c r="N22" s="454">
        <v>17</v>
      </c>
      <c r="O22" s="455">
        <v>326.67999267578102</v>
      </c>
      <c r="P22" s="455">
        <v>351.02700809999999</v>
      </c>
      <c r="Q22" s="456">
        <v>305.89001459999997</v>
      </c>
      <c r="R22" s="457">
        <v>335.73699950000002</v>
      </c>
      <c r="S22" s="454">
        <v>17</v>
      </c>
      <c r="T22" s="455">
        <v>292.87300071716299</v>
      </c>
      <c r="U22" s="455">
        <v>381.86699488000005</v>
      </c>
      <c r="V22" s="456">
        <v>392.29800030000007</v>
      </c>
      <c r="W22" s="448">
        <v>388.74200823000001</v>
      </c>
    </row>
    <row r="23" spans="1:23" ht="11.25" customHeight="1">
      <c r="A23" s="77"/>
      <c r="B23" s="162"/>
      <c r="C23" s="39"/>
      <c r="D23" s="162"/>
      <c r="E23" s="162"/>
      <c r="F23" s="70"/>
      <c r="G23" s="66"/>
      <c r="H23" s="66"/>
      <c r="I23" s="71"/>
      <c r="J23" s="3"/>
      <c r="K23" s="6"/>
      <c r="L23" s="15"/>
      <c r="N23" s="454">
        <v>18</v>
      </c>
      <c r="O23" s="455">
        <v>314.74099731445301</v>
      </c>
      <c r="P23" s="455">
        <v>354.11401369999999</v>
      </c>
      <c r="Q23" s="456">
        <v>314.7409973</v>
      </c>
      <c r="R23" s="457">
        <v>335.73699950000002</v>
      </c>
      <c r="S23" s="454">
        <v>18</v>
      </c>
      <c r="T23" s="455">
        <v>289.06400012969908</v>
      </c>
      <c r="U23" s="455">
        <v>382.77999115</v>
      </c>
      <c r="V23" s="456">
        <v>390.15600400999995</v>
      </c>
      <c r="W23" s="448">
        <v>386.49800113000003</v>
      </c>
    </row>
    <row r="24" spans="1:23" ht="11.25" customHeight="1">
      <c r="A24" s="77"/>
      <c r="B24" s="162"/>
      <c r="C24" s="39"/>
      <c r="D24" s="162"/>
      <c r="E24" s="162"/>
      <c r="F24" s="70"/>
      <c r="G24" s="66"/>
      <c r="H24" s="66"/>
      <c r="I24" s="71"/>
      <c r="J24" s="6"/>
      <c r="K24" s="6"/>
      <c r="L24" s="15"/>
      <c r="N24" s="454">
        <v>19</v>
      </c>
      <c r="O24" s="455">
        <v>308.829986572265</v>
      </c>
      <c r="P24" s="455">
        <v>363.43499759999997</v>
      </c>
      <c r="Q24" s="456">
        <v>314.7409973</v>
      </c>
      <c r="R24" s="457">
        <v>314.7409973</v>
      </c>
      <c r="S24" s="454">
        <v>19</v>
      </c>
      <c r="T24" s="455">
        <v>283.7310012817382</v>
      </c>
      <c r="U24" s="455">
        <v>381.91700169999996</v>
      </c>
      <c r="V24" s="456">
        <v>386.47099490999994</v>
      </c>
      <c r="W24" s="448">
        <v>384.38200000000001</v>
      </c>
    </row>
    <row r="25" spans="1:23" ht="11.25" customHeight="1">
      <c r="A25" s="273" t="s">
        <v>507</v>
      </c>
      <c r="B25" s="162"/>
      <c r="C25" s="39"/>
      <c r="D25" s="162"/>
      <c r="E25" s="162"/>
      <c r="F25" s="70"/>
      <c r="G25" s="66"/>
      <c r="H25" s="66"/>
      <c r="I25" s="71"/>
      <c r="J25" s="3"/>
      <c r="K25" s="7"/>
      <c r="L25" s="16"/>
      <c r="N25" s="812">
        <v>20</v>
      </c>
      <c r="O25" s="813">
        <v>308.8</v>
      </c>
      <c r="P25" s="813">
        <v>366.56100459999999</v>
      </c>
      <c r="Q25" s="814">
        <v>314.7409973</v>
      </c>
      <c r="R25" s="815">
        <v>315.3340149</v>
      </c>
      <c r="S25" s="454">
        <v>20</v>
      </c>
      <c r="T25" s="455">
        <v>278.90000000000003</v>
      </c>
      <c r="U25" s="455">
        <v>379.35699083999998</v>
      </c>
      <c r="V25" s="456">
        <v>382.00799562999993</v>
      </c>
      <c r="W25" s="817">
        <v>381.56399727000002</v>
      </c>
    </row>
    <row r="26" spans="1:23" ht="11.25" customHeight="1">
      <c r="A26" s="54"/>
      <c r="B26" s="162"/>
      <c r="C26" s="39"/>
      <c r="D26" s="162"/>
      <c r="E26" s="162"/>
      <c r="F26" s="70"/>
      <c r="G26" s="66"/>
      <c r="H26" s="66"/>
      <c r="I26" s="71"/>
      <c r="J26" s="4"/>
      <c r="K26" s="6"/>
      <c r="L26" s="15"/>
      <c r="N26" s="454">
        <v>21</v>
      </c>
      <c r="O26" s="455">
        <v>311.781005859375</v>
      </c>
      <c r="P26" s="455">
        <v>357.21099850000002</v>
      </c>
      <c r="Q26" s="456">
        <v>314.7409973</v>
      </c>
      <c r="R26" s="816">
        <v>311.78100590000003</v>
      </c>
      <c r="S26" s="454">
        <v>21</v>
      </c>
      <c r="T26" s="455">
        <v>274.65599975585928</v>
      </c>
      <c r="U26" s="455">
        <v>375.59600258</v>
      </c>
      <c r="V26" s="456">
        <v>378.52099610999994</v>
      </c>
      <c r="W26" s="448">
        <v>376.47088237999998</v>
      </c>
    </row>
    <row r="27" spans="1:23" ht="11.25" customHeight="1">
      <c r="A27" s="77"/>
      <c r="B27" s="162"/>
      <c r="C27" s="39"/>
      <c r="D27" s="162"/>
      <c r="E27" s="162"/>
      <c r="F27" s="73"/>
      <c r="G27" s="73"/>
      <c r="H27" s="73"/>
      <c r="I27" s="73"/>
      <c r="J27" s="4"/>
      <c r="K27" s="6"/>
      <c r="L27" s="15"/>
      <c r="N27" s="454">
        <v>22</v>
      </c>
      <c r="O27" s="455">
        <v>314.74</v>
      </c>
      <c r="P27" s="455">
        <v>341.82</v>
      </c>
      <c r="Q27" s="456">
        <v>311.78100590000003</v>
      </c>
      <c r="R27" s="816">
        <v>310.60000609999997</v>
      </c>
      <c r="S27" s="454">
        <v>22</v>
      </c>
      <c r="T27" s="455">
        <v>269.74</v>
      </c>
      <c r="U27" s="455">
        <v>373.52000000000004</v>
      </c>
      <c r="V27" s="456">
        <v>375.20999716</v>
      </c>
      <c r="W27" s="448">
        <v>370.73099807</v>
      </c>
    </row>
    <row r="28" spans="1:23" ht="11.25" customHeight="1">
      <c r="A28" s="77"/>
      <c r="B28" s="162"/>
      <c r="C28" s="39"/>
      <c r="D28" s="162"/>
      <c r="E28" s="162"/>
      <c r="F28" s="73"/>
      <c r="G28" s="73"/>
      <c r="H28" s="73"/>
      <c r="I28" s="73"/>
      <c r="J28" s="4"/>
      <c r="K28" s="6"/>
      <c r="L28" s="15"/>
      <c r="N28" s="454">
        <v>23</v>
      </c>
      <c r="O28" s="455">
        <v>308.83</v>
      </c>
      <c r="P28" s="455">
        <v>326.67999270000001</v>
      </c>
      <c r="Q28" s="456">
        <v>308.82998659999998</v>
      </c>
      <c r="R28" s="816">
        <v>307.06500240000003</v>
      </c>
      <c r="S28" s="454">
        <v>23</v>
      </c>
      <c r="T28" s="455">
        <v>265.4609997</v>
      </c>
      <c r="U28" s="455">
        <v>369.22100255000004</v>
      </c>
      <c r="V28" s="456">
        <v>374.07600211999994</v>
      </c>
      <c r="W28" s="448">
        <v>363.24299430999997</v>
      </c>
    </row>
    <row r="29" spans="1:23" ht="11.25" customHeight="1">
      <c r="A29" s="77"/>
      <c r="B29" s="162"/>
      <c r="C29" s="39"/>
      <c r="D29" s="162"/>
      <c r="E29" s="162"/>
      <c r="F29" s="73"/>
      <c r="G29" s="73"/>
      <c r="H29" s="73"/>
      <c r="I29" s="73"/>
      <c r="J29" s="4"/>
      <c r="K29" s="6"/>
      <c r="L29" s="15"/>
      <c r="N29" s="454">
        <v>24</v>
      </c>
      <c r="O29" s="455">
        <v>300.04000000000002</v>
      </c>
      <c r="P29" s="455">
        <v>308.82998659999998</v>
      </c>
      <c r="Q29" s="456">
        <v>300.0379944</v>
      </c>
      <c r="R29" s="816">
        <v>302.9590149</v>
      </c>
      <c r="S29" s="454">
        <v>24</v>
      </c>
      <c r="T29" s="455">
        <v>261.10000000000002</v>
      </c>
      <c r="U29" s="455">
        <v>364.44200138999997</v>
      </c>
      <c r="V29" s="456">
        <v>370.89200402</v>
      </c>
      <c r="W29" s="448">
        <v>357.21200376000002</v>
      </c>
    </row>
    <row r="30" spans="1:23" ht="11.25" customHeight="1">
      <c r="A30" s="74"/>
      <c r="B30" s="73"/>
      <c r="C30" s="73"/>
      <c r="D30" s="73"/>
      <c r="E30" s="73"/>
      <c r="F30" s="73"/>
      <c r="G30" s="73"/>
      <c r="H30" s="73"/>
      <c r="I30" s="73"/>
      <c r="J30" s="3"/>
      <c r="K30" s="6"/>
      <c r="L30" s="15"/>
      <c r="N30" s="454">
        <v>25</v>
      </c>
      <c r="O30" s="455">
        <v>282.71701050000001</v>
      </c>
      <c r="P30" s="455">
        <v>291.33300780000002</v>
      </c>
      <c r="Q30" s="456">
        <v>294.22500609999997</v>
      </c>
      <c r="R30" s="816">
        <v>300.0379944</v>
      </c>
      <c r="S30" s="454">
        <v>25</v>
      </c>
      <c r="T30" s="455">
        <v>256.25999989000002</v>
      </c>
      <c r="U30" s="455">
        <v>359.61999897999999</v>
      </c>
      <c r="V30" s="456">
        <v>366.71700096999996</v>
      </c>
      <c r="W30" s="448">
        <v>352.1909981</v>
      </c>
    </row>
    <row r="31" spans="1:23" ht="11.25" customHeight="1">
      <c r="A31" s="74"/>
      <c r="B31" s="73"/>
      <c r="C31" s="73"/>
      <c r="D31" s="73"/>
      <c r="E31" s="73"/>
      <c r="F31" s="73"/>
      <c r="G31" s="73"/>
      <c r="H31" s="73"/>
      <c r="I31" s="73"/>
      <c r="J31" s="3"/>
      <c r="K31" s="6"/>
      <c r="L31" s="15"/>
      <c r="N31" s="454">
        <v>26</v>
      </c>
      <c r="O31" s="455">
        <v>262.95300292968699</v>
      </c>
      <c r="P31" s="455">
        <v>268.55099489999998</v>
      </c>
      <c r="Q31" s="456">
        <v>282.71701050000001</v>
      </c>
      <c r="R31" s="816">
        <v>296.06698610000001</v>
      </c>
      <c r="S31" s="454">
        <v>26</v>
      </c>
      <c r="T31" s="455">
        <v>252.54899978637627</v>
      </c>
      <c r="U31" s="455">
        <v>354.77499773999995</v>
      </c>
      <c r="V31" s="456">
        <v>361.43599508999995</v>
      </c>
      <c r="W31" s="448">
        <v>346.62612917400003</v>
      </c>
    </row>
    <row r="32" spans="1:23" ht="11.25" customHeight="1">
      <c r="A32" s="74"/>
      <c r="B32" s="73"/>
      <c r="C32" s="73"/>
      <c r="D32" s="73"/>
      <c r="E32" s="73"/>
      <c r="F32" s="73"/>
      <c r="G32" s="73"/>
      <c r="H32" s="73"/>
      <c r="I32" s="73"/>
      <c r="J32" s="3"/>
      <c r="K32" s="6"/>
      <c r="L32" s="15"/>
      <c r="N32" s="454">
        <v>27</v>
      </c>
      <c r="O32" s="455">
        <v>254.63000489999999</v>
      </c>
      <c r="P32" s="455">
        <v>265.7470093</v>
      </c>
      <c r="Q32" s="456">
        <v>271.36</v>
      </c>
      <c r="R32" s="816">
        <v>275.89</v>
      </c>
      <c r="S32" s="454">
        <v>27</v>
      </c>
      <c r="T32" s="455">
        <v>248.26700022</v>
      </c>
      <c r="U32" s="455">
        <v>349.77999684000002</v>
      </c>
      <c r="V32" s="456">
        <v>355.34</v>
      </c>
      <c r="W32" s="448">
        <v>341.25900444999996</v>
      </c>
    </row>
    <row r="33" spans="1:23" ht="11.25" customHeight="1">
      <c r="A33" s="74"/>
      <c r="B33" s="73"/>
      <c r="C33" s="73"/>
      <c r="D33" s="73"/>
      <c r="E33" s="73"/>
      <c r="F33" s="73"/>
      <c r="G33" s="73"/>
      <c r="H33" s="73"/>
      <c r="I33" s="73"/>
      <c r="J33" s="3"/>
      <c r="K33" s="6"/>
      <c r="L33" s="15"/>
      <c r="N33" s="454">
        <v>28</v>
      </c>
      <c r="O33" s="455">
        <v>240.9539948</v>
      </c>
      <c r="P33" s="458">
        <v>243.66999820000001</v>
      </c>
      <c r="Q33" s="456">
        <v>260.16900629999998</v>
      </c>
      <c r="R33" s="816">
        <v>248.58200070000001</v>
      </c>
      <c r="S33" s="454">
        <v>28</v>
      </c>
      <c r="T33" s="455">
        <v>243.86400222</v>
      </c>
      <c r="U33" s="455">
        <v>344.32400322999996</v>
      </c>
      <c r="V33" s="456">
        <v>349.01599981000004</v>
      </c>
      <c r="W33" s="448">
        <v>337.18899436699996</v>
      </c>
    </row>
    <row r="34" spans="1:23" ht="11.25" customHeight="1">
      <c r="A34" s="74"/>
      <c r="B34" s="73"/>
      <c r="C34" s="73"/>
      <c r="D34" s="73"/>
      <c r="E34" s="73"/>
      <c r="F34" s="73"/>
      <c r="G34" s="73"/>
      <c r="H34" s="73"/>
      <c r="I34" s="73"/>
      <c r="J34" s="3"/>
      <c r="K34" s="6"/>
      <c r="L34" s="15"/>
      <c r="N34" s="454">
        <v>29</v>
      </c>
      <c r="O34" s="455">
        <v>227.5220032</v>
      </c>
      <c r="P34" s="455">
        <v>227.5220032</v>
      </c>
      <c r="Q34" s="456">
        <v>251.88</v>
      </c>
      <c r="R34" s="816">
        <v>238.787994384765</v>
      </c>
      <c r="S34" s="454">
        <v>29</v>
      </c>
      <c r="T34" s="455">
        <v>239.07999988</v>
      </c>
      <c r="U34" s="455">
        <v>338.60699847999996</v>
      </c>
      <c r="V34" s="456">
        <v>343.97999999999996</v>
      </c>
      <c r="W34" s="448">
        <v>333.50600986443789</v>
      </c>
    </row>
    <row r="35" spans="1:23" ht="11.25" customHeight="1">
      <c r="A35" s="74"/>
      <c r="B35" s="73"/>
      <c r="C35" s="73"/>
      <c r="D35" s="73"/>
      <c r="E35" s="73"/>
      <c r="F35" s="73"/>
      <c r="G35" s="73"/>
      <c r="H35" s="73"/>
      <c r="I35" s="73"/>
      <c r="J35" s="6"/>
      <c r="K35" s="6"/>
      <c r="L35" s="15"/>
      <c r="N35" s="454">
        <v>30</v>
      </c>
      <c r="O35" s="455">
        <v>216.95199584960901</v>
      </c>
      <c r="P35" s="455">
        <v>216.95199579999999</v>
      </c>
      <c r="Q35" s="456">
        <v>232.8650055</v>
      </c>
      <c r="R35" s="816">
        <v>229.12</v>
      </c>
      <c r="S35" s="454">
        <v>30</v>
      </c>
      <c r="T35" s="455">
        <v>234.2539968490598</v>
      </c>
      <c r="U35" s="455">
        <v>332.49400331000004</v>
      </c>
      <c r="V35" s="456">
        <v>342.06599807739167</v>
      </c>
      <c r="W35" s="448">
        <v>324.04999999999995</v>
      </c>
    </row>
    <row r="36" spans="1:23" ht="11.25" customHeight="1">
      <c r="A36" s="74"/>
      <c r="B36" s="73"/>
      <c r="C36" s="73"/>
      <c r="D36" s="73"/>
      <c r="E36" s="73"/>
      <c r="F36" s="73"/>
      <c r="G36" s="73"/>
      <c r="H36" s="73"/>
      <c r="I36" s="73"/>
      <c r="J36" s="3"/>
      <c r="K36" s="6"/>
      <c r="L36" s="15"/>
      <c r="N36" s="454">
        <v>31</v>
      </c>
      <c r="O36" s="455">
        <v>216.95199579999999</v>
      </c>
      <c r="P36" s="455">
        <v>209.128006</v>
      </c>
      <c r="Q36" s="456">
        <v>211.726</v>
      </c>
      <c r="R36" s="816">
        <v>219.05400090000001</v>
      </c>
      <c r="S36" s="454">
        <v>31</v>
      </c>
      <c r="T36" s="455">
        <v>229.68000125999998</v>
      </c>
      <c r="U36" s="455">
        <v>324</v>
      </c>
      <c r="V36" s="456">
        <v>335.23199999999997</v>
      </c>
      <c r="W36" s="448">
        <v>318.10600236499999</v>
      </c>
    </row>
    <row r="37" spans="1:23" ht="11.25" customHeight="1">
      <c r="A37" s="74"/>
      <c r="B37" s="73"/>
      <c r="C37" s="73"/>
      <c r="D37" s="73"/>
      <c r="E37" s="73"/>
      <c r="F37" s="73"/>
      <c r="G37" s="73"/>
      <c r="H37" s="73"/>
      <c r="I37" s="73"/>
      <c r="J37" s="3"/>
      <c r="K37" s="10"/>
      <c r="L37" s="15"/>
      <c r="N37" s="454">
        <v>32</v>
      </c>
      <c r="O37" s="455">
        <v>201.39199830000001</v>
      </c>
      <c r="P37" s="455">
        <v>198.83200070000001</v>
      </c>
      <c r="Q37" s="456">
        <v>181.19200129999999</v>
      </c>
      <c r="R37" s="457">
        <v>209.128006</v>
      </c>
      <c r="S37" s="454">
        <v>32</v>
      </c>
      <c r="T37" s="455">
        <v>224.73799990999998</v>
      </c>
      <c r="U37" s="455">
        <v>320.73399734000003</v>
      </c>
      <c r="V37" s="456">
        <v>329.56800555999996</v>
      </c>
      <c r="W37" s="448">
        <v>312.078003352</v>
      </c>
    </row>
    <row r="38" spans="1:23" ht="11.25" customHeight="1">
      <c r="A38" s="74"/>
      <c r="B38" s="73"/>
      <c r="C38" s="73"/>
      <c r="D38" s="73"/>
      <c r="E38" s="73"/>
      <c r="F38" s="73"/>
      <c r="G38" s="73"/>
      <c r="H38" s="73"/>
      <c r="I38" s="73"/>
      <c r="J38" s="3"/>
      <c r="K38" s="10"/>
      <c r="L38" s="38"/>
      <c r="N38" s="454">
        <v>33</v>
      </c>
      <c r="O38" s="455">
        <v>193.74299621582</v>
      </c>
      <c r="P38" s="455">
        <v>188.69299319999999</v>
      </c>
      <c r="Q38" s="456">
        <v>152.0650024</v>
      </c>
      <c r="R38" s="457">
        <v>199.85499569999999</v>
      </c>
      <c r="S38" s="454">
        <v>33</v>
      </c>
      <c r="T38" s="455">
        <v>219.00299835205058</v>
      </c>
      <c r="U38" s="455">
        <v>314.19900131999998</v>
      </c>
      <c r="V38" s="456">
        <v>323.79099748000004</v>
      </c>
      <c r="W38" s="448">
        <v>312.078003352</v>
      </c>
    </row>
    <row r="39" spans="1:23" ht="11.25" customHeight="1">
      <c r="A39" s="74"/>
      <c r="B39" s="73"/>
      <c r="C39" s="73"/>
      <c r="D39" s="73"/>
      <c r="E39" s="73"/>
      <c r="F39" s="73"/>
      <c r="G39" s="73"/>
      <c r="H39" s="73"/>
      <c r="I39" s="73"/>
      <c r="J39" s="3"/>
      <c r="K39" s="7"/>
      <c r="L39" s="15"/>
      <c r="N39" s="454">
        <v>34</v>
      </c>
      <c r="O39" s="455">
        <v>181.19200129999999</v>
      </c>
      <c r="P39" s="455">
        <v>183.68200680000001</v>
      </c>
      <c r="Q39" s="456">
        <v>156.8220062</v>
      </c>
      <c r="R39" s="457">
        <v>188.69299319999999</v>
      </c>
      <c r="S39" s="454">
        <v>34</v>
      </c>
      <c r="T39" s="455">
        <v>214.38699817</v>
      </c>
      <c r="U39" s="455">
        <v>307.85200500000002</v>
      </c>
      <c r="V39" s="456">
        <v>317.64699750999995</v>
      </c>
      <c r="W39" s="448">
        <v>299.58200316099999</v>
      </c>
    </row>
    <row r="40" spans="1:23" ht="11.25" customHeight="1">
      <c r="A40" s="74"/>
      <c r="B40" s="73"/>
      <c r="C40" s="73"/>
      <c r="D40" s="73"/>
      <c r="E40" s="73"/>
      <c r="F40" s="73"/>
      <c r="G40" s="73"/>
      <c r="H40" s="73"/>
      <c r="I40" s="73"/>
      <c r="J40" s="3"/>
      <c r="K40" s="7"/>
      <c r="L40" s="15"/>
      <c r="N40" s="454">
        <v>35</v>
      </c>
      <c r="O40" s="455">
        <v>171.32600400000001</v>
      </c>
      <c r="P40" s="459">
        <v>176.23899840000001</v>
      </c>
      <c r="Q40" s="456">
        <v>156.82</v>
      </c>
      <c r="R40" s="457">
        <v>177.72099299999999</v>
      </c>
      <c r="S40" s="454">
        <v>35</v>
      </c>
      <c r="T40" s="455">
        <v>208.95000171000001</v>
      </c>
      <c r="U40" s="455">
        <v>300.83900069999999</v>
      </c>
      <c r="V40" s="456">
        <v>311.42</v>
      </c>
      <c r="W40" s="448">
        <v>292.71899843200003</v>
      </c>
    </row>
    <row r="41" spans="1:23" ht="11.25" customHeight="1">
      <c r="A41" s="74"/>
      <c r="B41" s="73"/>
      <c r="C41" s="73"/>
      <c r="D41" s="73"/>
      <c r="E41" s="73"/>
      <c r="F41" s="73"/>
      <c r="G41" s="73"/>
      <c r="H41" s="73"/>
      <c r="I41" s="73"/>
      <c r="J41" s="3"/>
      <c r="K41" s="7"/>
      <c r="L41" s="15"/>
      <c r="N41" s="454">
        <v>36</v>
      </c>
      <c r="O41" s="455">
        <v>164.02999879999999</v>
      </c>
      <c r="P41" s="459">
        <v>168.8840027</v>
      </c>
      <c r="Q41" s="456">
        <v>159.21</v>
      </c>
      <c r="R41" s="457">
        <v>164.99800110000001</v>
      </c>
      <c r="S41" s="454">
        <v>36</v>
      </c>
      <c r="T41" s="455">
        <v>202.97300145000003</v>
      </c>
      <c r="U41" s="455">
        <v>293.46100233999999</v>
      </c>
      <c r="V41" s="456">
        <v>305.20999999999998</v>
      </c>
      <c r="W41" s="448">
        <v>286.64699412499999</v>
      </c>
    </row>
    <row r="42" spans="1:23" ht="11.25" customHeight="1">
      <c r="A42" s="74"/>
      <c r="B42" s="73"/>
      <c r="C42" s="73"/>
      <c r="D42" s="73"/>
      <c r="E42" s="73"/>
      <c r="F42" s="73"/>
      <c r="G42" s="73"/>
      <c r="H42" s="73"/>
      <c r="I42" s="73"/>
      <c r="J42" s="6"/>
      <c r="K42" s="10"/>
      <c r="L42" s="15"/>
      <c r="N42" s="454">
        <v>37</v>
      </c>
      <c r="O42" s="455">
        <v>147.34800720000001</v>
      </c>
      <c r="P42" s="459">
        <v>159.2149963</v>
      </c>
      <c r="Q42" s="456">
        <v>159.2149963</v>
      </c>
      <c r="R42" s="457">
        <v>154.53400055</v>
      </c>
      <c r="S42" s="454">
        <v>37</v>
      </c>
      <c r="T42" s="455">
        <v>196.95000080099999</v>
      </c>
      <c r="U42" s="455">
        <v>287.76599501999999</v>
      </c>
      <c r="V42" s="456">
        <v>299.17000225600003</v>
      </c>
      <c r="W42" s="448">
        <v>280.605003845</v>
      </c>
    </row>
    <row r="43" spans="1:23" ht="11.25" customHeight="1">
      <c r="A43" s="74"/>
      <c r="B43" s="73"/>
      <c r="C43" s="73"/>
      <c r="D43" s="73"/>
      <c r="E43" s="73"/>
      <c r="F43" s="73"/>
      <c r="G43" s="73"/>
      <c r="H43" s="73"/>
      <c r="I43" s="73"/>
      <c r="J43" s="3"/>
      <c r="K43" s="10"/>
      <c r="L43" s="15"/>
      <c r="N43" s="454">
        <v>38</v>
      </c>
      <c r="O43" s="455">
        <v>131.14500430000001</v>
      </c>
      <c r="P43" s="459">
        <v>149.70199579999999</v>
      </c>
      <c r="Q43" s="456">
        <v>149.70199579999999</v>
      </c>
      <c r="R43" s="457">
        <v>144.07</v>
      </c>
      <c r="S43" s="454">
        <v>38</v>
      </c>
      <c r="T43" s="455">
        <v>190.78400421900002</v>
      </c>
      <c r="U43" s="455">
        <v>282.07300377000001</v>
      </c>
      <c r="V43" s="456">
        <v>292.45899891799996</v>
      </c>
      <c r="W43" s="448">
        <v>274.21999999999997</v>
      </c>
    </row>
    <row r="44" spans="1:23" ht="11.25" customHeight="1">
      <c r="A44" s="74"/>
      <c r="B44" s="73"/>
      <c r="C44" s="73"/>
      <c r="D44" s="73"/>
      <c r="E44" s="73"/>
      <c r="F44" s="73"/>
      <c r="G44" s="73"/>
      <c r="H44" s="73"/>
      <c r="I44" s="73"/>
      <c r="J44" s="3"/>
      <c r="K44" s="10"/>
      <c r="L44" s="15"/>
      <c r="N44" s="454">
        <v>39</v>
      </c>
      <c r="O44" s="455">
        <v>119.8639984</v>
      </c>
      <c r="P44" s="459">
        <v>138.02999879999999</v>
      </c>
      <c r="Q44" s="456">
        <v>117.6380005</v>
      </c>
      <c r="R44" s="457">
        <v>135.725006103515</v>
      </c>
      <c r="S44" s="454">
        <v>39</v>
      </c>
      <c r="T44" s="455">
        <v>184.44099947499998</v>
      </c>
      <c r="U44" s="455">
        <v>275.53000069000001</v>
      </c>
      <c r="V44" s="456">
        <v>286.11999916000002</v>
      </c>
      <c r="W44" s="448">
        <v>267.58499765396107</v>
      </c>
    </row>
    <row r="45" spans="1:23" ht="11.25" customHeight="1">
      <c r="A45" s="74"/>
      <c r="B45" s="73"/>
      <c r="C45" s="73"/>
      <c r="D45" s="73"/>
      <c r="E45" s="73"/>
      <c r="F45" s="73"/>
      <c r="G45" s="73"/>
      <c r="H45" s="73"/>
      <c r="I45" s="73"/>
      <c r="J45" s="11"/>
      <c r="K45" s="11"/>
      <c r="L45" s="11"/>
      <c r="N45" s="454">
        <v>40</v>
      </c>
      <c r="O45" s="455">
        <v>119.8639984</v>
      </c>
      <c r="P45" s="455">
        <v>131.14500430000001</v>
      </c>
      <c r="Q45" s="456">
        <v>91.680000309999997</v>
      </c>
      <c r="R45" s="457">
        <v>127.0559998</v>
      </c>
      <c r="S45" s="454">
        <v>40</v>
      </c>
      <c r="T45" s="455">
        <v>177.93399906500002</v>
      </c>
      <c r="U45" s="455">
        <v>268.25699615000002</v>
      </c>
      <c r="V45" s="456">
        <v>278.57999837699998</v>
      </c>
      <c r="W45" s="448">
        <v>260.96199703900004</v>
      </c>
    </row>
    <row r="46" spans="1:23" ht="11.25" customHeight="1">
      <c r="A46" s="74"/>
      <c r="B46" s="73"/>
      <c r="C46" s="73"/>
      <c r="D46" s="73"/>
      <c r="E46" s="73"/>
      <c r="F46" s="73"/>
      <c r="G46" s="73"/>
      <c r="H46" s="73"/>
      <c r="I46" s="73"/>
      <c r="J46" s="11"/>
      <c r="K46" s="11"/>
      <c r="L46" s="11"/>
      <c r="N46" s="454">
        <v>41</v>
      </c>
      <c r="O46" s="455">
        <v>113.213996887207</v>
      </c>
      <c r="P46" s="455">
        <v>108.82900239999999</v>
      </c>
      <c r="Q46" s="456">
        <v>71.125</v>
      </c>
      <c r="R46" s="457">
        <v>110.13999939999999</v>
      </c>
      <c r="S46" s="454">
        <v>41</v>
      </c>
      <c r="T46" s="455">
        <v>171.68900227546672</v>
      </c>
      <c r="U46" s="455">
        <v>261.21399689000003</v>
      </c>
      <c r="V46" s="456">
        <v>271.23250496387476</v>
      </c>
      <c r="W46" s="448">
        <v>253.29600046600001</v>
      </c>
    </row>
    <row r="47" spans="1:23" ht="11.25" customHeight="1">
      <c r="A47" s="74"/>
      <c r="B47" s="73"/>
      <c r="C47" s="73"/>
      <c r="D47" s="73"/>
      <c r="E47" s="73"/>
      <c r="F47" s="73"/>
      <c r="G47" s="73"/>
      <c r="H47" s="73"/>
      <c r="I47" s="73"/>
      <c r="J47" s="11"/>
      <c r="K47" s="11"/>
      <c r="L47" s="11"/>
      <c r="N47" s="454">
        <v>42</v>
      </c>
      <c r="O47" s="455">
        <v>100.1760025</v>
      </c>
      <c r="P47" s="455">
        <v>95.908996579999993</v>
      </c>
      <c r="Q47" s="456">
        <v>59.261001586913999</v>
      </c>
      <c r="R47" s="457">
        <v>100.61</v>
      </c>
      <c r="S47" s="454">
        <v>42</v>
      </c>
      <c r="T47" s="455">
        <v>165.69499874400003</v>
      </c>
      <c r="U47" s="455">
        <v>255.58900451</v>
      </c>
      <c r="V47" s="456">
        <v>256.27199935913058</v>
      </c>
      <c r="W47" s="448">
        <v>246.06</v>
      </c>
    </row>
    <row r="48" spans="1:23" ht="11.25" customHeight="1">
      <c r="A48" s="74"/>
      <c r="B48" s="73"/>
      <c r="C48" s="73"/>
      <c r="D48" s="73"/>
      <c r="E48" s="73"/>
      <c r="F48" s="73"/>
      <c r="G48" s="73"/>
      <c r="H48" s="73"/>
      <c r="I48" s="73"/>
      <c r="J48" s="11"/>
      <c r="K48" s="11"/>
      <c r="L48" s="11"/>
      <c r="N48" s="454">
        <v>43</v>
      </c>
      <c r="O48" s="455">
        <v>89.581001279999995</v>
      </c>
      <c r="P48" s="455">
        <v>83.341003420000007</v>
      </c>
      <c r="Q48" s="456">
        <v>47.749000549316399</v>
      </c>
      <c r="R48" s="457">
        <v>95.484001160000005</v>
      </c>
      <c r="S48" s="454">
        <v>43</v>
      </c>
      <c r="T48" s="455">
        <v>160.397996525</v>
      </c>
      <c r="U48" s="455">
        <v>249.85500335</v>
      </c>
      <c r="V48" s="456">
        <v>249.67099761962871</v>
      </c>
      <c r="W48" s="448">
        <v>241.02699661899999</v>
      </c>
    </row>
    <row r="49" spans="1:23" ht="11.25" customHeight="1">
      <c r="A49" s="74"/>
      <c r="B49" s="73"/>
      <c r="C49" s="73"/>
      <c r="D49" s="73"/>
      <c r="E49" s="73"/>
      <c r="F49" s="73"/>
      <c r="G49" s="73"/>
      <c r="H49" s="73"/>
      <c r="I49" s="73"/>
      <c r="J49" s="11"/>
      <c r="K49" s="11"/>
      <c r="L49" s="11"/>
      <c r="N49" s="454">
        <v>44</v>
      </c>
      <c r="O49" s="455">
        <v>75.156997680000003</v>
      </c>
      <c r="P49" s="455">
        <v>75.16</v>
      </c>
      <c r="Q49" s="456">
        <v>38.424999239999998</v>
      </c>
      <c r="R49" s="457">
        <v>89.581001279999995</v>
      </c>
      <c r="S49" s="454">
        <v>44</v>
      </c>
      <c r="T49" s="455">
        <v>154.79199918699999</v>
      </c>
      <c r="U49" s="455">
        <v>242.79000000000002</v>
      </c>
      <c r="V49" s="456">
        <v>249.67099761962871</v>
      </c>
      <c r="W49" s="448">
        <v>234.19399833099999</v>
      </c>
    </row>
    <row r="50" spans="1:23" ht="12.75">
      <c r="A50" s="74"/>
      <c r="B50" s="73"/>
      <c r="C50" s="73"/>
      <c r="D50" s="73"/>
      <c r="E50" s="73"/>
      <c r="F50" s="73"/>
      <c r="G50" s="73"/>
      <c r="H50" s="73"/>
      <c r="I50" s="73"/>
      <c r="J50" s="11"/>
      <c r="K50" s="11"/>
      <c r="L50" s="11"/>
      <c r="N50" s="454">
        <v>45</v>
      </c>
      <c r="O50" s="455">
        <v>61.2140007</v>
      </c>
      <c r="P50" s="455">
        <v>65.149002080000002</v>
      </c>
      <c r="Q50" s="456">
        <v>31.142000199999998</v>
      </c>
      <c r="R50" s="457"/>
      <c r="S50" s="454">
        <v>45</v>
      </c>
      <c r="T50" s="455">
        <v>149.715000041</v>
      </c>
      <c r="U50" s="455">
        <v>235.60499572000001</v>
      </c>
      <c r="V50" s="456">
        <v>243.378839739</v>
      </c>
    </row>
    <row r="51" spans="1:23" ht="12.75">
      <c r="A51" s="74"/>
      <c r="B51" s="73"/>
      <c r="C51" s="73"/>
      <c r="D51" s="73"/>
      <c r="E51" s="73"/>
      <c r="F51" s="73"/>
      <c r="G51" s="73"/>
      <c r="H51" s="73"/>
      <c r="I51" s="73"/>
      <c r="J51" s="11"/>
      <c r="K51" s="11"/>
      <c r="L51" s="11"/>
      <c r="N51" s="454">
        <v>46</v>
      </c>
      <c r="O51" s="455">
        <v>43.990001679999999</v>
      </c>
      <c r="P51" s="455">
        <v>47.749000549999998</v>
      </c>
      <c r="Q51" s="456">
        <v>22.26</v>
      </c>
      <c r="R51" s="457"/>
      <c r="S51" s="454">
        <v>46</v>
      </c>
      <c r="T51" s="455">
        <v>144.11800040400001</v>
      </c>
      <c r="U51" s="455">
        <v>230.54900361099999</v>
      </c>
      <c r="V51" s="456">
        <v>236.34</v>
      </c>
    </row>
    <row r="52" spans="1:23" ht="12.75">
      <c r="A52" s="74"/>
      <c r="B52" s="73"/>
      <c r="C52" s="73"/>
      <c r="D52" s="73"/>
      <c r="E52" s="73"/>
      <c r="F52" s="73"/>
      <c r="G52" s="73"/>
      <c r="H52" s="73"/>
      <c r="I52" s="73"/>
      <c r="J52" s="11"/>
      <c r="K52" s="11"/>
      <c r="L52" s="11"/>
      <c r="N52" s="454">
        <v>47</v>
      </c>
      <c r="O52" s="455">
        <v>25.781999590000002</v>
      </c>
      <c r="P52" s="455">
        <v>34.763999939999998</v>
      </c>
      <c r="Q52" s="456">
        <v>17.044000629999999</v>
      </c>
      <c r="R52" s="457"/>
      <c r="S52" s="454">
        <v>47</v>
      </c>
      <c r="T52" s="455">
        <v>138.82499813000001</v>
      </c>
      <c r="U52" s="455">
        <v>223.60000467499998</v>
      </c>
      <c r="V52" s="456">
        <v>227.62000255999999</v>
      </c>
    </row>
    <row r="53" spans="1:23" ht="12.75">
      <c r="A53" s="74"/>
      <c r="B53" s="73"/>
      <c r="C53" s="73"/>
      <c r="D53" s="73"/>
      <c r="E53" s="73"/>
      <c r="F53" s="73"/>
      <c r="G53" s="73"/>
      <c r="H53" s="73"/>
      <c r="I53" s="73"/>
      <c r="J53" s="11"/>
      <c r="K53" s="11"/>
      <c r="L53" s="11"/>
      <c r="N53" s="454">
        <v>48</v>
      </c>
      <c r="O53" s="455">
        <v>29.344999309999999</v>
      </c>
      <c r="P53" s="455">
        <v>13.618000029999999</v>
      </c>
      <c r="Q53" s="456">
        <v>36.5890007</v>
      </c>
      <c r="R53" s="457"/>
      <c r="S53" s="454">
        <v>48</v>
      </c>
      <c r="T53" s="455">
        <v>133.112998957</v>
      </c>
      <c r="U53" s="455">
        <v>217.17600035300001</v>
      </c>
      <c r="V53" s="456">
        <v>220.01436420799999</v>
      </c>
    </row>
    <row r="54" spans="1:23" ht="13.5">
      <c r="A54" s="74"/>
      <c r="B54" s="73"/>
      <c r="C54" s="73"/>
      <c r="D54" s="73"/>
      <c r="E54" s="73"/>
      <c r="F54" s="73"/>
      <c r="G54" s="73"/>
      <c r="H54" s="73"/>
      <c r="I54" s="73"/>
      <c r="J54" s="11"/>
      <c r="K54" s="11"/>
      <c r="L54" s="11"/>
      <c r="N54" s="454">
        <v>49</v>
      </c>
      <c r="O54" s="460">
        <v>34.763999939999998</v>
      </c>
      <c r="P54" s="455">
        <v>8.5520000459999999</v>
      </c>
      <c r="Q54" s="456">
        <v>36.590000000000003</v>
      </c>
      <c r="R54" s="457"/>
      <c r="S54" s="454">
        <v>49</v>
      </c>
      <c r="T54" s="455">
        <v>128.370002666</v>
      </c>
      <c r="U54" s="455">
        <v>210.45100211699997</v>
      </c>
      <c r="V54" s="456">
        <v>212.37999999999997</v>
      </c>
    </row>
    <row r="55" spans="1:23" ht="12.75">
      <c r="A55" s="74"/>
      <c r="B55" s="73"/>
      <c r="C55" s="73"/>
      <c r="D55" s="73"/>
      <c r="E55" s="73"/>
      <c r="F55" s="73"/>
      <c r="G55" s="73"/>
      <c r="H55" s="73"/>
      <c r="I55" s="73"/>
      <c r="J55" s="11"/>
      <c r="K55" s="11"/>
      <c r="L55" s="11"/>
      <c r="N55" s="454">
        <v>50</v>
      </c>
      <c r="O55" s="455">
        <v>32.948001859999998</v>
      </c>
      <c r="P55" s="455">
        <v>13.618000029999999</v>
      </c>
      <c r="Q55" s="456">
        <v>34.763999939999998</v>
      </c>
      <c r="R55" s="457"/>
      <c r="S55" s="454">
        <v>50</v>
      </c>
      <c r="T55" s="455">
        <v>122.71499820000001</v>
      </c>
      <c r="U55" s="455">
        <v>203.37099885499998</v>
      </c>
      <c r="V55" s="456">
        <v>205.46782675599999</v>
      </c>
    </row>
    <row r="56" spans="1:23" ht="12.75">
      <c r="A56" s="74"/>
      <c r="B56" s="73"/>
      <c r="C56" s="73"/>
      <c r="D56" s="73"/>
      <c r="E56" s="73"/>
      <c r="F56" s="73"/>
      <c r="G56" s="73"/>
      <c r="H56" s="73"/>
      <c r="I56" s="73"/>
      <c r="J56" s="11"/>
      <c r="K56" s="11"/>
      <c r="L56" s="11"/>
      <c r="N56" s="454">
        <v>51</v>
      </c>
      <c r="O56" s="455">
        <v>25.781999590000002</v>
      </c>
      <c r="P56" s="455">
        <v>18.771999359999999</v>
      </c>
      <c r="Q56" s="456">
        <v>38.4</v>
      </c>
      <c r="R56" s="457"/>
      <c r="S56" s="454">
        <v>51</v>
      </c>
      <c r="T56" s="455">
        <v>120.15600296300001</v>
      </c>
      <c r="U56" s="455">
        <v>202.35899971500001</v>
      </c>
      <c r="V56" s="456">
        <v>199</v>
      </c>
    </row>
    <row r="57" spans="1:23" ht="12.75">
      <c r="A57" s="74"/>
      <c r="B57" s="73"/>
      <c r="C57" s="73"/>
      <c r="D57" s="73"/>
      <c r="E57" s="73"/>
      <c r="F57" s="73"/>
      <c r="G57" s="73"/>
      <c r="H57" s="73"/>
      <c r="I57" s="73"/>
      <c r="N57" s="454">
        <v>52</v>
      </c>
      <c r="O57" s="455">
        <v>22.256999969999999</v>
      </c>
      <c r="P57" s="455">
        <v>25.781999590000002</v>
      </c>
      <c r="Q57" s="456">
        <v>59.261001589999999</v>
      </c>
      <c r="R57" s="457"/>
      <c r="S57" s="454">
        <v>52</v>
      </c>
      <c r="T57" s="455">
        <v>116.12899696700001</v>
      </c>
      <c r="U57" s="455">
        <v>201.25199794899999</v>
      </c>
      <c r="V57" s="456">
        <v>192.88799664499999</v>
      </c>
    </row>
    <row r="58" spans="1:23" ht="12.75">
      <c r="A58" s="74"/>
      <c r="B58" s="73"/>
      <c r="C58" s="73"/>
      <c r="D58" s="73"/>
      <c r="E58" s="73"/>
      <c r="F58" s="73"/>
      <c r="G58" s="73"/>
      <c r="H58" s="73"/>
      <c r="I58" s="73"/>
      <c r="N58" s="454">
        <v>53</v>
      </c>
      <c r="O58" s="457"/>
      <c r="P58" s="457"/>
      <c r="Q58" s="457"/>
      <c r="R58" s="457"/>
      <c r="S58" s="454">
        <v>53</v>
      </c>
      <c r="T58" s="455"/>
      <c r="U58" s="455"/>
      <c r="V58" s="456"/>
    </row>
    <row r="59" spans="1:23" ht="12.75">
      <c r="B59" s="73"/>
      <c r="C59" s="73"/>
      <c r="D59" s="73"/>
      <c r="E59" s="73"/>
      <c r="F59" s="73"/>
      <c r="G59" s="73"/>
      <c r="H59" s="73"/>
      <c r="I59" s="73"/>
    </row>
    <row r="60" spans="1:23" ht="12.75">
      <c r="A60" s="74"/>
      <c r="B60" s="73"/>
      <c r="C60" s="73"/>
      <c r="D60" s="73"/>
      <c r="E60" s="73"/>
      <c r="F60" s="73"/>
      <c r="G60" s="73"/>
      <c r="H60" s="73"/>
      <c r="I60" s="73"/>
    </row>
    <row r="63" spans="1:23">
      <c r="A63" s="273" t="s">
        <v>508</v>
      </c>
    </row>
  </sheetData>
  <mergeCells count="2">
    <mergeCell ref="A5:I5"/>
    <mergeCell ref="B7:C7"/>
  </mergeCells>
  <pageMargins left="0.70866141732283472" right="0.70866141732283472" top="1.0236220472440944" bottom="0.62992125984251968" header="0.31496062992125984" footer="0.31496062992125984"/>
  <pageSetup paperSize="9" scale="95" orientation="portrait" r:id="rId1"/>
  <headerFooter>
    <oddHeader>&amp;R&amp;7Informe de la Operación Mensual-Octubre 2019
INFSGI-MES-10-2019
18/10/2019
Versión: 01</oddHeader>
    <oddFooter>&amp;L&amp;7COES, 2019&amp;C11&amp;R&amp;7Dirección Ejecutiva
Sub Dirección de Gestión de Información</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4">
    <tabColor theme="4"/>
  </sheetPr>
  <dimension ref="A1:U213"/>
  <sheetViews>
    <sheetView showGridLines="0" view="pageBreakPreview" topLeftCell="A42" zoomScale="115" zoomScaleNormal="100" zoomScaleSheetLayoutView="115" zoomScalePageLayoutView="130" workbookViewId="0">
      <selection activeCell="M12" sqref="M12"/>
    </sheetView>
  </sheetViews>
  <sheetFormatPr defaultColWidth="9.33203125" defaultRowHeight="11.25"/>
  <cols>
    <col min="3" max="3" width="28.5" customWidth="1"/>
    <col min="4" max="5" width="12" customWidth="1"/>
    <col min="6" max="6" width="12.33203125" customWidth="1"/>
    <col min="8" max="9" width="9.33203125" customWidth="1"/>
    <col min="10" max="10" width="9.33203125" style="25"/>
    <col min="11" max="11" width="9.33203125" style="448"/>
    <col min="12" max="12" width="3.1640625" style="449" bestFit="1" customWidth="1"/>
    <col min="13" max="21" width="9.33203125" style="448"/>
  </cols>
  <sheetData>
    <row r="1" spans="1:15" ht="11.25" customHeight="1"/>
    <row r="2" spans="1:15" ht="11.25" customHeight="1">
      <c r="A2" s="17"/>
      <c r="B2" s="17"/>
      <c r="C2" s="17"/>
      <c r="D2" s="17"/>
      <c r="E2" s="73"/>
      <c r="F2" s="73"/>
      <c r="G2" s="73"/>
    </row>
    <row r="3" spans="1:15" ht="17.25" customHeight="1">
      <c r="A3" s="952" t="s">
        <v>442</v>
      </c>
      <c r="B3" s="952"/>
      <c r="C3" s="952"/>
      <c r="D3" s="952"/>
      <c r="E3" s="952"/>
      <c r="F3" s="952"/>
      <c r="G3" s="952"/>
      <c r="H3" s="36"/>
      <c r="I3" s="36"/>
      <c r="K3" s="448" t="s">
        <v>273</v>
      </c>
      <c r="M3" s="448" t="s">
        <v>274</v>
      </c>
      <c r="N3" s="448" t="s">
        <v>275</v>
      </c>
      <c r="O3" s="448" t="s">
        <v>276</v>
      </c>
    </row>
    <row r="4" spans="1:15" ht="11.25" customHeight="1">
      <c r="A4" s="74"/>
      <c r="B4" s="73"/>
      <c r="C4" s="73"/>
      <c r="D4" s="73"/>
      <c r="E4" s="73"/>
      <c r="F4" s="73"/>
      <c r="G4" s="73"/>
      <c r="H4" s="36"/>
      <c r="I4" s="36"/>
      <c r="J4" s="25">
        <v>2016</v>
      </c>
      <c r="K4" s="448">
        <v>1</v>
      </c>
      <c r="L4" s="449">
        <v>1</v>
      </c>
      <c r="M4" s="450">
        <v>40.61</v>
      </c>
      <c r="N4" s="450">
        <v>96.75</v>
      </c>
      <c r="O4" s="450">
        <v>16.37</v>
      </c>
    </row>
    <row r="5" spans="1:15" ht="11.25" customHeight="1">
      <c r="A5" s="74"/>
      <c r="B5" s="73"/>
      <c r="C5" s="73"/>
      <c r="D5" s="73"/>
      <c r="E5" s="73"/>
      <c r="F5" s="73"/>
      <c r="G5" s="73"/>
      <c r="H5" s="12"/>
      <c r="I5" s="12"/>
      <c r="L5" s="449">
        <v>2</v>
      </c>
      <c r="M5" s="450">
        <v>29.82</v>
      </c>
      <c r="N5" s="450">
        <v>76.510000000000005</v>
      </c>
      <c r="O5" s="450">
        <v>15.9</v>
      </c>
    </row>
    <row r="6" spans="1:15" ht="29.25" customHeight="1">
      <c r="A6" s="136"/>
      <c r="C6" s="528" t="s">
        <v>147</v>
      </c>
      <c r="D6" s="531" t="str">
        <f>UPPER('1. Resumen'!Q4)&amp;"
 "&amp;'1. Resumen'!Q5</f>
        <v>OCTUBRE
 2019</v>
      </c>
      <c r="E6" s="532" t="str">
        <f>UPPER('1. Resumen'!Q4)&amp;"
 "&amp;'1. Resumen'!Q5-1</f>
        <v>OCTUBRE
 2018</v>
      </c>
      <c r="F6" s="533" t="s">
        <v>548</v>
      </c>
      <c r="G6" s="138"/>
      <c r="H6" s="24"/>
      <c r="I6" s="12"/>
      <c r="L6" s="449">
        <v>3</v>
      </c>
      <c r="M6" s="450">
        <v>27.06</v>
      </c>
      <c r="N6" s="450">
        <v>80.096000000000004</v>
      </c>
      <c r="O6" s="450">
        <v>29.21</v>
      </c>
    </row>
    <row r="7" spans="1:15" ht="11.25" customHeight="1">
      <c r="A7" s="174"/>
      <c r="C7" s="598" t="s">
        <v>148</v>
      </c>
      <c r="D7" s="599">
        <v>8.402354824927535</v>
      </c>
      <c r="E7" s="599">
        <v>17.688680000000002</v>
      </c>
      <c r="F7" s="600">
        <f>IF(E7=0,"",(D7-E7)/E7)</f>
        <v>-0.52498689416465594</v>
      </c>
      <c r="G7" s="138"/>
      <c r="H7" s="25"/>
      <c r="I7" s="3"/>
      <c r="K7" s="448">
        <v>4</v>
      </c>
      <c r="L7" s="449">
        <v>4</v>
      </c>
      <c r="M7" s="450">
        <v>27.93</v>
      </c>
      <c r="N7" s="450">
        <v>77.09</v>
      </c>
      <c r="O7" s="450">
        <v>20.7</v>
      </c>
    </row>
    <row r="8" spans="1:15" ht="11.25" customHeight="1">
      <c r="A8" s="174"/>
      <c r="C8" s="601" t="s">
        <v>154</v>
      </c>
      <c r="D8" s="602">
        <v>10.074258004465396</v>
      </c>
      <c r="E8" s="602">
        <v>19.79016</v>
      </c>
      <c r="F8" s="603">
        <f t="shared" ref="F8:F30" si="0">IF(E8=0,"",(D8-E8)/E8)</f>
        <v>-0.49094610632428465</v>
      </c>
      <c r="G8" s="138"/>
      <c r="H8" s="23"/>
      <c r="I8" s="3"/>
      <c r="L8" s="449">
        <v>5</v>
      </c>
      <c r="M8" s="450">
        <v>49.585999999999999</v>
      </c>
      <c r="N8" s="450">
        <v>140.12</v>
      </c>
      <c r="O8" s="450">
        <v>74.02</v>
      </c>
    </row>
    <row r="9" spans="1:15" ht="11.25" customHeight="1">
      <c r="A9" s="174"/>
      <c r="C9" s="604" t="s">
        <v>155</v>
      </c>
      <c r="D9" s="605">
        <v>47.894935238745845</v>
      </c>
      <c r="E9" s="605">
        <v>94.633260000000007</v>
      </c>
      <c r="F9" s="606">
        <f t="shared" si="0"/>
        <v>-0.49388898534462577</v>
      </c>
      <c r="G9" s="138"/>
      <c r="H9" s="25"/>
      <c r="I9" s="3"/>
      <c r="L9" s="449">
        <v>6</v>
      </c>
      <c r="M9" s="450">
        <v>57</v>
      </c>
      <c r="N9" s="450">
        <v>144.66999999999999</v>
      </c>
      <c r="O9" s="450">
        <v>78.08</v>
      </c>
    </row>
    <row r="10" spans="1:15" ht="11.25" customHeight="1">
      <c r="A10" s="174"/>
      <c r="C10" s="601" t="s">
        <v>162</v>
      </c>
      <c r="D10" s="602">
        <v>35.936774100026732</v>
      </c>
      <c r="E10" s="602">
        <v>42.741100000000003</v>
      </c>
      <c r="F10" s="603">
        <f t="shared" si="0"/>
        <v>-0.15919866124113022</v>
      </c>
      <c r="G10" s="138"/>
      <c r="H10" s="25"/>
      <c r="I10" s="3"/>
      <c r="L10" s="449">
        <v>7</v>
      </c>
      <c r="M10" s="450">
        <v>52.31</v>
      </c>
      <c r="N10" s="450">
        <v>117.32</v>
      </c>
      <c r="O10" s="450">
        <v>41.34</v>
      </c>
    </row>
    <row r="11" spans="1:15" ht="11.25" customHeight="1">
      <c r="A11" s="174"/>
      <c r="C11" s="604" t="s">
        <v>163</v>
      </c>
      <c r="D11" s="605">
        <v>12.279322793406811</v>
      </c>
      <c r="E11" s="605">
        <v>8.2215810000000005</v>
      </c>
      <c r="F11" s="606">
        <f t="shared" si="0"/>
        <v>0.49354762708131322</v>
      </c>
      <c r="G11" s="138"/>
      <c r="H11" s="25"/>
      <c r="I11" s="3"/>
      <c r="K11" s="448">
        <v>8</v>
      </c>
      <c r="L11" s="449">
        <v>8</v>
      </c>
      <c r="M11" s="450">
        <v>57.96</v>
      </c>
      <c r="N11" s="450">
        <v>140.31</v>
      </c>
      <c r="O11" s="450">
        <v>96.52</v>
      </c>
    </row>
    <row r="12" spans="1:15" ht="11.25" customHeight="1">
      <c r="A12" s="174"/>
      <c r="C12" s="601" t="s">
        <v>165</v>
      </c>
      <c r="D12" s="602">
        <v>4.7640967522897997</v>
      </c>
      <c r="E12" s="602">
        <v>2.3778060000000001</v>
      </c>
      <c r="F12" s="603">
        <f t="shared" si="0"/>
        <v>1.0035683114138829</v>
      </c>
      <c r="G12" s="138"/>
      <c r="H12" s="25"/>
      <c r="I12" s="3"/>
      <c r="L12" s="449">
        <v>9</v>
      </c>
      <c r="M12" s="450">
        <v>100.51885660000001</v>
      </c>
      <c r="N12" s="450">
        <v>268.94750210000001</v>
      </c>
      <c r="O12" s="450">
        <v>150.104332</v>
      </c>
    </row>
    <row r="13" spans="1:15" ht="11.25" customHeight="1">
      <c r="A13" s="174"/>
      <c r="C13" s="604" t="s">
        <v>153</v>
      </c>
      <c r="D13" s="605">
        <v>9.513440860215054</v>
      </c>
      <c r="E13" s="605">
        <v>10.061827956989248</v>
      </c>
      <c r="F13" s="606">
        <f t="shared" si="0"/>
        <v>-5.4501736574939924E-2</v>
      </c>
      <c r="G13" s="138"/>
      <c r="H13" s="23"/>
      <c r="I13" s="3"/>
      <c r="L13" s="449">
        <v>10</v>
      </c>
      <c r="M13" s="450">
        <v>75.15657152448378</v>
      </c>
      <c r="N13" s="450">
        <v>243.71150207519463</v>
      </c>
      <c r="O13" s="450">
        <v>181.79733530680286</v>
      </c>
    </row>
    <row r="14" spans="1:15" ht="11.25" customHeight="1">
      <c r="A14" s="174"/>
      <c r="C14" s="601" t="s">
        <v>264</v>
      </c>
      <c r="D14" s="602">
        <v>27.751158314366457</v>
      </c>
      <c r="E14" s="602">
        <v>46.005339999999997</v>
      </c>
      <c r="F14" s="603">
        <f t="shared" si="0"/>
        <v>-0.39678397520012987</v>
      </c>
      <c r="G14" s="138"/>
      <c r="H14" s="25"/>
      <c r="I14" s="3"/>
      <c r="L14" s="449">
        <v>11</v>
      </c>
      <c r="M14" s="450">
        <v>52.24</v>
      </c>
      <c r="N14" s="450">
        <v>154.21</v>
      </c>
      <c r="O14" s="450">
        <v>79.12</v>
      </c>
    </row>
    <row r="15" spans="1:15" ht="11.25" customHeight="1">
      <c r="A15" s="174"/>
      <c r="C15" s="604" t="s">
        <v>265</v>
      </c>
      <c r="D15" s="605">
        <v>41.826774474113186</v>
      </c>
      <c r="E15" s="605">
        <v>70.997259999999997</v>
      </c>
      <c r="F15" s="606">
        <f t="shared" si="0"/>
        <v>-0.41086776483890802</v>
      </c>
      <c r="G15" s="138"/>
      <c r="H15" s="25"/>
      <c r="I15" s="3"/>
      <c r="K15" s="448">
        <v>12</v>
      </c>
      <c r="L15" s="449">
        <v>12</v>
      </c>
      <c r="M15" s="450">
        <v>44.628571101597331</v>
      </c>
      <c r="N15" s="450">
        <v>116.62271445138057</v>
      </c>
      <c r="O15" s="450">
        <v>41.373285293579045</v>
      </c>
    </row>
    <row r="16" spans="1:15" ht="11.25" customHeight="1">
      <c r="A16" s="174"/>
      <c r="C16" s="601" t="s">
        <v>160</v>
      </c>
      <c r="D16" s="602">
        <v>15.204225724743205</v>
      </c>
      <c r="E16" s="602">
        <v>16.09348</v>
      </c>
      <c r="F16" s="603">
        <f t="shared" si="0"/>
        <v>-5.5255561584989357E-2</v>
      </c>
      <c r="G16" s="138"/>
      <c r="H16" s="25"/>
      <c r="I16" s="3"/>
      <c r="L16" s="449">
        <v>13</v>
      </c>
      <c r="M16" s="450">
        <v>42.599998474121001</v>
      </c>
      <c r="N16" s="450">
        <v>120.78800201416</v>
      </c>
      <c r="O16" s="450">
        <v>93.665000915527301</v>
      </c>
    </row>
    <row r="17" spans="1:17" ht="11.25" customHeight="1">
      <c r="A17" s="174"/>
      <c r="C17" s="604" t="s">
        <v>164</v>
      </c>
      <c r="D17" s="605">
        <v>8.0407418743256542</v>
      </c>
      <c r="E17" s="605">
        <v>7.5153549999999996</v>
      </c>
      <c r="F17" s="606">
        <f t="shared" si="0"/>
        <v>6.9908457328450177E-2</v>
      </c>
      <c r="G17" s="138"/>
      <c r="H17" s="25"/>
      <c r="I17" s="3"/>
      <c r="L17" s="449">
        <v>14</v>
      </c>
      <c r="M17" s="450">
        <v>49.743000030517535</v>
      </c>
      <c r="N17" s="450">
        <v>125.66285814557708</v>
      </c>
      <c r="O17" s="450">
        <v>131.74585723876913</v>
      </c>
    </row>
    <row r="18" spans="1:17" ht="11.25" customHeight="1">
      <c r="A18" s="174"/>
      <c r="C18" s="601" t="s">
        <v>266</v>
      </c>
      <c r="D18" s="602">
        <v>13.132607706131445</v>
      </c>
      <c r="E18" s="602">
        <v>12.108560000000001</v>
      </c>
      <c r="F18" s="603">
        <f t="shared" si="0"/>
        <v>8.4572212230970847E-2</v>
      </c>
      <c r="G18" s="138"/>
      <c r="H18" s="25"/>
      <c r="I18" s="3"/>
      <c r="L18" s="449">
        <v>15</v>
      </c>
      <c r="M18" s="450">
        <v>54.414285387311615</v>
      </c>
      <c r="N18" s="450">
        <v>127.68985639299636</v>
      </c>
      <c r="O18" s="450">
        <v>71.706143515450577</v>
      </c>
    </row>
    <row r="19" spans="1:17" ht="11.25" customHeight="1">
      <c r="A19" s="174"/>
      <c r="C19" s="604" t="s">
        <v>267</v>
      </c>
      <c r="D19" s="605">
        <v>14.197813293010753</v>
      </c>
      <c r="E19" s="605">
        <v>13.324357486559146</v>
      </c>
      <c r="F19" s="606">
        <f t="shared" si="0"/>
        <v>6.5553315222343755E-2</v>
      </c>
      <c r="G19" s="138"/>
      <c r="H19" s="25"/>
      <c r="I19" s="3"/>
      <c r="K19" s="448">
        <v>16</v>
      </c>
      <c r="L19" s="449">
        <v>16</v>
      </c>
      <c r="M19" s="450">
        <v>47.73</v>
      </c>
      <c r="N19" s="450">
        <v>97.4</v>
      </c>
      <c r="O19" s="450">
        <v>53.49</v>
      </c>
      <c r="Q19" s="819"/>
    </row>
    <row r="20" spans="1:17" ht="11.25" customHeight="1">
      <c r="A20" s="174"/>
      <c r="C20" s="601" t="s">
        <v>268</v>
      </c>
      <c r="D20" s="602">
        <v>1.4369999900940882</v>
      </c>
      <c r="E20" s="602">
        <v>1.499968</v>
      </c>
      <c r="F20" s="603">
        <f t="shared" si="0"/>
        <v>-4.1979568834742999E-2</v>
      </c>
      <c r="G20" s="138"/>
      <c r="H20" s="25"/>
      <c r="I20" s="3"/>
      <c r="L20" s="449">
        <v>17</v>
      </c>
      <c r="M20" s="450">
        <v>42.142857687813873</v>
      </c>
      <c r="N20" s="450">
        <v>85.487143380301248</v>
      </c>
      <c r="O20" s="450">
        <v>51.424428122384178</v>
      </c>
    </row>
    <row r="21" spans="1:17" ht="11.25" customHeight="1">
      <c r="A21" s="174"/>
      <c r="C21" s="604" t="s">
        <v>151</v>
      </c>
      <c r="D21" s="605">
        <v>95.526934962118759</v>
      </c>
      <c r="E21" s="605">
        <v>119.9593</v>
      </c>
      <c r="F21" s="606">
        <f t="shared" si="0"/>
        <v>-0.2036721207766404</v>
      </c>
      <c r="G21" s="138"/>
      <c r="H21" s="25"/>
      <c r="I21" s="3"/>
      <c r="L21" s="449">
        <v>18</v>
      </c>
      <c r="M21" s="450">
        <v>27.452428545270582</v>
      </c>
      <c r="N21" s="450">
        <v>62.369998931884716</v>
      </c>
      <c r="O21" s="450">
        <v>34.353571755545424</v>
      </c>
    </row>
    <row r="22" spans="1:17" ht="11.25" customHeight="1">
      <c r="A22" s="174"/>
      <c r="C22" s="601" t="s">
        <v>149</v>
      </c>
      <c r="D22" s="602">
        <v>2.886709674712149</v>
      </c>
      <c r="E22" s="602">
        <v>3.0129030000000001</v>
      </c>
      <c r="F22" s="603">
        <f t="shared" si="0"/>
        <v>-4.1884297399501773E-2</v>
      </c>
      <c r="G22" s="138"/>
      <c r="H22" s="25"/>
      <c r="I22" s="3"/>
      <c r="L22" s="449">
        <v>19</v>
      </c>
      <c r="M22" s="450">
        <v>21.857142584664455</v>
      </c>
      <c r="N22" s="450">
        <v>58.684285300118525</v>
      </c>
      <c r="O22" s="450">
        <v>29.207143238612552</v>
      </c>
    </row>
    <row r="23" spans="1:17" ht="11.25" customHeight="1">
      <c r="A23" s="174"/>
      <c r="C23" s="604" t="s">
        <v>150</v>
      </c>
      <c r="D23" s="605">
        <v>20.37374176517606</v>
      </c>
      <c r="E23" s="605">
        <v>44.417900000000003</v>
      </c>
      <c r="F23" s="606">
        <f t="shared" si="0"/>
        <v>-0.54131686177923632</v>
      </c>
      <c r="G23" s="138"/>
      <c r="H23" s="25"/>
      <c r="I23" s="3"/>
      <c r="K23" s="448">
        <v>20</v>
      </c>
      <c r="L23" s="449">
        <v>20</v>
      </c>
      <c r="M23" s="450">
        <v>19.5</v>
      </c>
      <c r="N23" s="450">
        <v>54</v>
      </c>
      <c r="O23" s="450">
        <v>22.1</v>
      </c>
    </row>
    <row r="24" spans="1:17" ht="11.25" customHeight="1">
      <c r="A24" s="174"/>
      <c r="C24" s="601" t="s">
        <v>166</v>
      </c>
      <c r="D24" s="602">
        <v>10.891645129649842</v>
      </c>
      <c r="E24" s="602">
        <v>17.16329</v>
      </c>
      <c r="F24" s="603">
        <f t="shared" si="0"/>
        <v>-0.36541041201017743</v>
      </c>
      <c r="G24" s="138"/>
      <c r="H24" s="26"/>
      <c r="I24" s="3"/>
      <c r="L24" s="449">
        <v>21</v>
      </c>
      <c r="M24" s="450">
        <v>19.485713958740185</v>
      </c>
      <c r="N24" s="450">
        <v>50.756999969482365</v>
      </c>
      <c r="O24" s="450">
        <v>17.473428726196214</v>
      </c>
    </row>
    <row r="25" spans="1:17" ht="11.25" customHeight="1">
      <c r="A25" s="138"/>
      <c r="C25" s="604" t="s">
        <v>156</v>
      </c>
      <c r="D25" s="605">
        <v>2.1171593550712795</v>
      </c>
      <c r="E25" s="605">
        <v>0.25741900000000001</v>
      </c>
      <c r="F25" s="606">
        <f t="shared" si="0"/>
        <v>7.2245652227352268</v>
      </c>
      <c r="G25" s="158"/>
      <c r="H25" s="25"/>
      <c r="I25" s="3"/>
      <c r="L25" s="449">
        <v>22</v>
      </c>
      <c r="M25" s="450">
        <v>16.329999999999998</v>
      </c>
      <c r="N25" s="450">
        <v>46.59</v>
      </c>
      <c r="O25" s="450">
        <v>17.04</v>
      </c>
    </row>
    <row r="26" spans="1:17" ht="11.25" customHeight="1">
      <c r="A26" s="175"/>
      <c r="C26" s="601" t="s">
        <v>157</v>
      </c>
      <c r="D26" s="602">
        <v>4.7801936057306085</v>
      </c>
      <c r="E26" s="602">
        <v>7.2138710000000001</v>
      </c>
      <c r="F26" s="603">
        <f t="shared" si="0"/>
        <v>-0.33736081422434522</v>
      </c>
      <c r="G26" s="138"/>
      <c r="H26" s="23"/>
      <c r="I26" s="3"/>
      <c r="L26" s="449">
        <v>23</v>
      </c>
      <c r="M26" s="450">
        <v>15.18</v>
      </c>
      <c r="N26" s="450">
        <v>40.29</v>
      </c>
      <c r="O26" s="450">
        <v>22.12</v>
      </c>
    </row>
    <row r="27" spans="1:17" ht="11.25" customHeight="1">
      <c r="A27" s="138"/>
      <c r="C27" s="604" t="s">
        <v>158</v>
      </c>
      <c r="D27" s="605">
        <v>0.2620967732321825</v>
      </c>
      <c r="E27" s="605">
        <v>2.9213230000000001</v>
      </c>
      <c r="F27" s="606">
        <f t="shared" si="0"/>
        <v>-0.91028148094812444</v>
      </c>
      <c r="G27" s="138"/>
      <c r="H27" s="23"/>
      <c r="I27" s="3"/>
      <c r="K27" s="448">
        <v>24</v>
      </c>
      <c r="L27" s="449">
        <v>24</v>
      </c>
      <c r="M27" s="450">
        <v>15.1</v>
      </c>
      <c r="N27" s="450">
        <v>35.630000000000003</v>
      </c>
      <c r="O27" s="450">
        <v>13.87</v>
      </c>
    </row>
    <row r="28" spans="1:17" ht="11.25" customHeight="1">
      <c r="A28" s="138"/>
      <c r="C28" s="601" t="s">
        <v>159</v>
      </c>
      <c r="D28" s="602">
        <v>0</v>
      </c>
      <c r="E28" s="602">
        <v>0</v>
      </c>
      <c r="F28" s="603" t="str">
        <f t="shared" si="0"/>
        <v/>
      </c>
      <c r="G28" s="138"/>
      <c r="H28" s="23"/>
      <c r="I28" s="3"/>
      <c r="L28" s="449">
        <v>25</v>
      </c>
      <c r="M28" s="450">
        <v>18.016999930000001</v>
      </c>
      <c r="N28" s="450">
        <v>34.608428410000002</v>
      </c>
      <c r="O28" s="450">
        <v>10.78285721</v>
      </c>
    </row>
    <row r="29" spans="1:17" ht="11.25" customHeight="1">
      <c r="A29" s="158"/>
      <c r="C29" s="604" t="s">
        <v>161</v>
      </c>
      <c r="D29" s="605">
        <v>7.3760000000000003</v>
      </c>
      <c r="E29" s="605">
        <v>5.9360619999999997</v>
      </c>
      <c r="F29" s="606">
        <f t="shared" si="0"/>
        <v>0.24257462270441257</v>
      </c>
      <c r="G29" s="176"/>
      <c r="H29" s="23"/>
      <c r="I29" s="3"/>
      <c r="L29" s="449">
        <v>26</v>
      </c>
      <c r="M29" s="450">
        <v>16.489714209999999</v>
      </c>
      <c r="N29" s="450">
        <v>34.074285510000003</v>
      </c>
      <c r="O29" s="450">
        <v>9.5958572120000003</v>
      </c>
    </row>
    <row r="30" spans="1:17" ht="11.25" customHeight="1">
      <c r="A30" s="175"/>
      <c r="C30" s="607" t="s">
        <v>152</v>
      </c>
      <c r="D30" s="608">
        <v>3.7372154881877275</v>
      </c>
      <c r="E30" s="608">
        <v>5.020833333333333</v>
      </c>
      <c r="F30" s="609">
        <f t="shared" si="0"/>
        <v>-0.25565832600410404</v>
      </c>
      <c r="G30" s="138"/>
      <c r="H30" s="25"/>
      <c r="I30" s="3"/>
      <c r="L30" s="449">
        <v>27</v>
      </c>
      <c r="M30" s="450">
        <v>16.199999810000001</v>
      </c>
      <c r="N30" s="450">
        <v>29.599571770000001</v>
      </c>
      <c r="O30" s="450">
        <v>7.8892858370000001</v>
      </c>
    </row>
    <row r="31" spans="1:17" ht="11.25" customHeight="1">
      <c r="A31" s="137"/>
      <c r="C31" s="274" t="str">
        <f>"Cuadro N°10: Promedio de caudales en "&amp;'1. Resumen'!Q4</f>
        <v>Cuadro N°10: Promedio de caudales en octubre</v>
      </c>
      <c r="D31" s="137"/>
      <c r="E31" s="137"/>
      <c r="F31" s="137"/>
      <c r="G31" s="137"/>
      <c r="H31" s="25"/>
      <c r="I31" s="6"/>
      <c r="K31" s="448">
        <v>28</v>
      </c>
      <c r="L31" s="449">
        <v>28</v>
      </c>
      <c r="M31" s="450">
        <v>12.016285760000001</v>
      </c>
      <c r="N31" s="450">
        <v>29.3955713</v>
      </c>
      <c r="O31" s="450">
        <v>7.2334286140000001</v>
      </c>
    </row>
    <row r="32" spans="1:17" ht="11.25" customHeight="1">
      <c r="A32" s="137"/>
      <c r="B32" s="137"/>
      <c r="C32" s="137"/>
      <c r="D32" s="137"/>
      <c r="E32" s="137"/>
      <c r="F32" s="137"/>
      <c r="G32" s="137"/>
      <c r="H32" s="25"/>
      <c r="I32" s="6"/>
      <c r="L32" s="449">
        <v>29</v>
      </c>
      <c r="M32" s="450">
        <v>10.423571450000001</v>
      </c>
      <c r="N32" s="450">
        <v>32.468857079999999</v>
      </c>
      <c r="O32" s="450">
        <v>6.729428564</v>
      </c>
    </row>
    <row r="33" spans="1:15" ht="11.25" customHeight="1">
      <c r="A33" s="137"/>
      <c r="B33" s="137"/>
      <c r="C33" s="137"/>
      <c r="D33" s="137"/>
      <c r="E33" s="137"/>
      <c r="F33" s="137"/>
      <c r="G33" s="137"/>
      <c r="H33" s="25"/>
      <c r="I33" s="6"/>
      <c r="L33" s="449">
        <v>30</v>
      </c>
      <c r="M33" s="450">
        <v>10.043285640000001</v>
      </c>
      <c r="N33" s="450">
        <v>32.112285890000003</v>
      </c>
      <c r="O33" s="450">
        <v>5.6338571819999999</v>
      </c>
    </row>
    <row r="34" spans="1:15" ht="11.25" customHeight="1">
      <c r="A34" s="137"/>
      <c r="B34" s="137"/>
      <c r="C34" s="137"/>
      <c r="D34" s="137"/>
      <c r="E34" s="137"/>
      <c r="F34" s="137"/>
      <c r="G34" s="137"/>
      <c r="H34" s="25"/>
      <c r="I34" s="6"/>
      <c r="L34" s="449">
        <v>31</v>
      </c>
      <c r="M34" s="450">
        <v>10.086428642272944</v>
      </c>
      <c r="N34" s="450">
        <v>29.132714407784558</v>
      </c>
      <c r="O34" s="450">
        <v>5.181999887738904</v>
      </c>
    </row>
    <row r="35" spans="1:15" ht="17.25" customHeight="1">
      <c r="A35" s="952" t="s">
        <v>443</v>
      </c>
      <c r="B35" s="952"/>
      <c r="C35" s="952"/>
      <c r="D35" s="952"/>
      <c r="E35" s="952"/>
      <c r="F35" s="952"/>
      <c r="G35" s="952"/>
      <c r="H35" s="25"/>
      <c r="I35" s="6"/>
      <c r="K35" s="448">
        <v>32</v>
      </c>
      <c r="L35" s="449">
        <v>32</v>
      </c>
      <c r="M35" s="450">
        <v>12.08228561</v>
      </c>
      <c r="N35" s="450">
        <v>34.150143489999998</v>
      </c>
      <c r="O35" s="450">
        <v>4.8032856669999999</v>
      </c>
    </row>
    <row r="36" spans="1:15" ht="11.25" customHeight="1">
      <c r="A36" s="137"/>
      <c r="B36" s="137"/>
      <c r="C36" s="137"/>
      <c r="D36" s="137"/>
      <c r="E36" s="137"/>
      <c r="F36" s="137"/>
      <c r="G36" s="137"/>
      <c r="H36" s="25"/>
      <c r="I36" s="6"/>
      <c r="L36" s="449">
        <v>33</v>
      </c>
      <c r="M36" s="450">
        <v>11.874000004359614</v>
      </c>
      <c r="N36" s="450">
        <v>35.225571223667643</v>
      </c>
      <c r="O36" s="450">
        <v>4.3821428843906904</v>
      </c>
    </row>
    <row r="37" spans="1:15" ht="11.25" customHeight="1">
      <c r="A37" s="136"/>
      <c r="B37" s="138"/>
      <c r="C37" s="138"/>
      <c r="D37" s="138"/>
      <c r="E37" s="138"/>
      <c r="F37" s="138"/>
      <c r="G37" s="138"/>
      <c r="H37" s="26"/>
      <c r="I37" s="6"/>
      <c r="L37" s="449">
        <v>34</v>
      </c>
      <c r="M37" s="450">
        <v>10.842857090000001</v>
      </c>
      <c r="N37" s="450">
        <v>35.168570930000001</v>
      </c>
      <c r="O37" s="450">
        <v>13.837000059999999</v>
      </c>
    </row>
    <row r="38" spans="1:15" ht="11.25" customHeight="1">
      <c r="A38" s="74"/>
      <c r="B38" s="73"/>
      <c r="C38" s="73"/>
      <c r="D38" s="73"/>
      <c r="E38" s="73"/>
      <c r="F38" s="73"/>
      <c r="G38" s="73"/>
      <c r="H38" s="3"/>
      <c r="I38" s="6"/>
      <c r="L38" s="449">
        <v>35</v>
      </c>
      <c r="M38" s="450">
        <v>10.48142842</v>
      </c>
      <c r="N38" s="450">
        <v>37.824428560000001</v>
      </c>
      <c r="O38" s="450">
        <v>3.922857182</v>
      </c>
    </row>
    <row r="39" spans="1:15" ht="11.25" customHeight="1">
      <c r="A39" s="74"/>
      <c r="B39" s="73"/>
      <c r="C39" s="73"/>
      <c r="D39" s="73"/>
      <c r="E39" s="73"/>
      <c r="F39" s="73"/>
      <c r="G39" s="73"/>
      <c r="H39" s="3"/>
      <c r="I39" s="10"/>
      <c r="K39" s="448">
        <v>36</v>
      </c>
      <c r="L39" s="449">
        <v>36</v>
      </c>
      <c r="M39" s="450">
        <v>11.85</v>
      </c>
      <c r="N39" s="450">
        <v>39.78</v>
      </c>
      <c r="O39" s="450">
        <v>4.9800000000000004</v>
      </c>
    </row>
    <row r="40" spans="1:15" ht="11.25" customHeight="1">
      <c r="A40" s="74"/>
      <c r="B40" s="73"/>
      <c r="C40" s="73"/>
      <c r="D40" s="73"/>
      <c r="E40" s="73"/>
      <c r="F40" s="73"/>
      <c r="G40" s="73"/>
      <c r="H40" s="3"/>
      <c r="I40" s="10"/>
      <c r="L40" s="449">
        <v>37</v>
      </c>
      <c r="M40" s="450">
        <v>12.08</v>
      </c>
      <c r="N40" s="450">
        <v>44.25</v>
      </c>
      <c r="O40" s="450">
        <v>4.92</v>
      </c>
    </row>
    <row r="41" spans="1:15" ht="11.25" customHeight="1">
      <c r="A41" s="74"/>
      <c r="B41" s="73"/>
      <c r="C41" s="73"/>
      <c r="D41" s="73"/>
      <c r="E41" s="73"/>
      <c r="F41" s="73"/>
      <c r="G41" s="73"/>
      <c r="H41" s="3"/>
      <c r="I41" s="7"/>
      <c r="L41" s="449">
        <v>38</v>
      </c>
      <c r="M41" s="450">
        <v>11.88371427</v>
      </c>
      <c r="N41" s="450">
        <v>41.311858039999997</v>
      </c>
      <c r="O41" s="450">
        <v>4.6447142870000002</v>
      </c>
    </row>
    <row r="42" spans="1:15" ht="11.25" customHeight="1">
      <c r="A42" s="74"/>
      <c r="B42" s="73"/>
      <c r="C42" s="73"/>
      <c r="D42" s="73"/>
      <c r="E42" s="73"/>
      <c r="F42" s="73"/>
      <c r="G42" s="73"/>
      <c r="H42" s="3"/>
      <c r="I42" s="7"/>
      <c r="K42" s="448">
        <v>39</v>
      </c>
      <c r="L42" s="449">
        <v>39</v>
      </c>
      <c r="M42" s="450">
        <v>13.06</v>
      </c>
      <c r="N42" s="450">
        <v>41.13</v>
      </c>
      <c r="O42" s="450">
        <v>4.2699999999999996</v>
      </c>
    </row>
    <row r="43" spans="1:15" ht="11.25" customHeight="1">
      <c r="A43" s="74"/>
      <c r="B43" s="73"/>
      <c r="C43" s="73"/>
      <c r="D43" s="73"/>
      <c r="E43" s="73"/>
      <c r="F43" s="73"/>
      <c r="G43" s="73"/>
      <c r="H43" s="3"/>
      <c r="I43" s="7"/>
      <c r="L43" s="449">
        <v>40</v>
      </c>
      <c r="M43" s="450">
        <v>15.945571764285715</v>
      </c>
      <c r="N43" s="450">
        <v>46.466000694285704</v>
      </c>
      <c r="O43" s="450">
        <v>5.3634285927142864</v>
      </c>
    </row>
    <row r="44" spans="1:15" ht="11.25" customHeight="1">
      <c r="A44" s="74"/>
      <c r="B44" s="73"/>
      <c r="C44" s="73"/>
      <c r="D44" s="73"/>
      <c r="E44" s="73"/>
      <c r="F44" s="73"/>
      <c r="G44" s="73"/>
      <c r="H44" s="6"/>
      <c r="I44" s="10"/>
      <c r="L44" s="449">
        <v>41</v>
      </c>
      <c r="M44" s="450">
        <v>15.848856789725129</v>
      </c>
      <c r="N44" s="450">
        <v>37.273714882986837</v>
      </c>
      <c r="O44" s="450">
        <v>6.9682856968470812</v>
      </c>
    </row>
    <row r="45" spans="1:15" ht="11.25" customHeight="1">
      <c r="A45" s="74"/>
      <c r="B45" s="73"/>
      <c r="C45" s="73"/>
      <c r="D45" s="73"/>
      <c r="E45" s="73"/>
      <c r="F45" s="73"/>
      <c r="G45" s="73"/>
      <c r="H45" s="3"/>
      <c r="I45" s="10"/>
      <c r="L45" s="449">
        <v>42</v>
      </c>
      <c r="M45" s="450">
        <v>15.549142972857144</v>
      </c>
      <c r="N45" s="450">
        <v>48.572000228571433</v>
      </c>
      <c r="O45" s="450">
        <v>11.100428648285714</v>
      </c>
    </row>
    <row r="46" spans="1:15" ht="11.25" customHeight="1">
      <c r="A46" s="74"/>
      <c r="B46" s="73"/>
      <c r="C46" s="73"/>
      <c r="D46" s="73"/>
      <c r="E46" s="73"/>
      <c r="F46" s="73"/>
      <c r="G46" s="73"/>
      <c r="H46" s="3"/>
      <c r="I46" s="10"/>
      <c r="K46" s="448">
        <v>43</v>
      </c>
      <c r="L46" s="449">
        <v>43</v>
      </c>
      <c r="M46" s="450">
        <v>13.17</v>
      </c>
      <c r="N46" s="450">
        <v>35.32</v>
      </c>
      <c r="O46" s="450">
        <v>6.01</v>
      </c>
    </row>
    <row r="47" spans="1:15" ht="11.25" customHeight="1">
      <c r="A47" s="74"/>
      <c r="B47" s="73"/>
      <c r="C47" s="73"/>
      <c r="D47" s="73"/>
      <c r="E47" s="73"/>
      <c r="F47" s="73"/>
      <c r="G47" s="73"/>
      <c r="H47" s="11"/>
      <c r="I47" s="11"/>
      <c r="L47" s="449">
        <v>44</v>
      </c>
      <c r="M47" s="450">
        <v>13.18</v>
      </c>
      <c r="N47" s="450">
        <v>36.83</v>
      </c>
      <c r="O47" s="450">
        <v>4.57</v>
      </c>
    </row>
    <row r="48" spans="1:15" ht="11.25" customHeight="1">
      <c r="A48" s="74"/>
      <c r="B48" s="73"/>
      <c r="C48" s="73"/>
      <c r="D48" s="73"/>
      <c r="E48" s="73"/>
      <c r="F48" s="73"/>
      <c r="G48" s="73"/>
      <c r="H48" s="11"/>
      <c r="I48" s="11"/>
      <c r="L48" s="449">
        <v>45</v>
      </c>
      <c r="M48" s="450">
        <v>13.49</v>
      </c>
      <c r="N48" s="450">
        <v>39.520000000000003</v>
      </c>
      <c r="O48" s="450">
        <v>4.83</v>
      </c>
    </row>
    <row r="49" spans="1:15" ht="11.25" customHeight="1">
      <c r="A49" s="74"/>
      <c r="B49" s="73"/>
      <c r="C49" s="73"/>
      <c r="D49" s="73"/>
      <c r="E49" s="73"/>
      <c r="F49" s="73"/>
      <c r="G49" s="73"/>
      <c r="H49" s="11"/>
      <c r="I49" s="11"/>
      <c r="L49" s="449">
        <v>46</v>
      </c>
      <c r="M49" s="450">
        <v>15.4</v>
      </c>
      <c r="N49" s="450">
        <v>53.38</v>
      </c>
      <c r="O49" s="450">
        <v>3.73</v>
      </c>
    </row>
    <row r="50" spans="1:15" ht="11.25" customHeight="1">
      <c r="A50" s="74"/>
      <c r="B50" s="73"/>
      <c r="C50" s="73"/>
      <c r="D50" s="73"/>
      <c r="E50" s="73"/>
      <c r="F50" s="73"/>
      <c r="G50" s="73"/>
      <c r="H50" s="11"/>
      <c r="I50" s="11"/>
      <c r="L50" s="449">
        <v>47</v>
      </c>
      <c r="M50" s="450">
        <v>16.408999999999999</v>
      </c>
      <c r="N50" s="450">
        <v>61.853000000000002</v>
      </c>
      <c r="O50" s="450">
        <v>2.5211429999999999</v>
      </c>
    </row>
    <row r="51" spans="1:15" ht="11.25" customHeight="1">
      <c r="A51" s="74"/>
      <c r="B51" s="73"/>
      <c r="C51" s="73"/>
      <c r="D51" s="73"/>
      <c r="E51" s="73"/>
      <c r="F51" s="73"/>
      <c r="G51" s="73"/>
      <c r="H51" s="11"/>
      <c r="I51" s="11"/>
      <c r="K51" s="448">
        <v>48</v>
      </c>
      <c r="L51" s="449">
        <v>48</v>
      </c>
      <c r="M51" s="450">
        <v>16.328857422857144</v>
      </c>
      <c r="N51" s="450">
        <v>65.330427987142869</v>
      </c>
      <c r="O51" s="450">
        <v>3.571428503285714</v>
      </c>
    </row>
    <row r="52" spans="1:15" ht="11.25" customHeight="1">
      <c r="A52" s="74"/>
      <c r="B52" s="73"/>
      <c r="C52" s="73"/>
      <c r="D52" s="73"/>
      <c r="E52" s="73"/>
      <c r="F52" s="73"/>
      <c r="G52" s="73"/>
      <c r="H52" s="11"/>
      <c r="I52" s="11"/>
      <c r="L52" s="449">
        <v>49</v>
      </c>
      <c r="M52" s="450">
        <v>20.236285890000001</v>
      </c>
      <c r="N52" s="450">
        <v>66.680000000000007</v>
      </c>
      <c r="O52" s="450">
        <v>6.1</v>
      </c>
    </row>
    <row r="53" spans="1:15" ht="11.25" customHeight="1">
      <c r="A53" s="74"/>
      <c r="B53" s="73"/>
      <c r="C53" s="73"/>
      <c r="D53" s="73"/>
      <c r="E53" s="73"/>
      <c r="F53" s="73"/>
      <c r="G53" s="73"/>
      <c r="H53" s="11"/>
      <c r="I53" s="11"/>
      <c r="L53" s="449">
        <v>50</v>
      </c>
      <c r="M53" s="450">
        <v>19.809999999999999</v>
      </c>
      <c r="N53" s="450">
        <v>61.31</v>
      </c>
      <c r="O53" s="450">
        <v>6.69</v>
      </c>
    </row>
    <row r="54" spans="1:15" ht="11.25" customHeight="1">
      <c r="A54" s="74"/>
      <c r="B54" s="73"/>
      <c r="C54" s="73"/>
      <c r="D54" s="73"/>
      <c r="E54" s="73"/>
      <c r="F54" s="73"/>
      <c r="G54" s="73"/>
      <c r="H54" s="11"/>
      <c r="I54" s="11"/>
      <c r="L54" s="449">
        <v>51</v>
      </c>
      <c r="M54" s="450">
        <v>21.91</v>
      </c>
      <c r="N54" s="450">
        <v>70.790000000000006</v>
      </c>
      <c r="O54" s="450">
        <v>13.15</v>
      </c>
    </row>
    <row r="55" spans="1:15" ht="12.75">
      <c r="A55" s="74"/>
      <c r="B55" s="73"/>
      <c r="C55" s="73"/>
      <c r="D55" s="73"/>
      <c r="E55" s="73"/>
      <c r="F55" s="73"/>
      <c r="G55" s="73"/>
      <c r="H55" s="11"/>
      <c r="I55" s="11"/>
      <c r="L55" s="449">
        <v>52</v>
      </c>
      <c r="M55" s="450">
        <v>22</v>
      </c>
      <c r="N55" s="450">
        <v>77.434859137142865</v>
      </c>
      <c r="O55" s="450">
        <v>17.75700037857143</v>
      </c>
    </row>
    <row r="56" spans="1:15" ht="12.75">
      <c r="A56" s="74"/>
      <c r="B56" s="73"/>
      <c r="C56" s="73"/>
      <c r="D56" s="73"/>
      <c r="E56" s="73"/>
      <c r="F56" s="73"/>
      <c r="G56" s="73"/>
      <c r="H56" s="11"/>
      <c r="I56" s="11"/>
      <c r="J56" s="25">
        <v>2017</v>
      </c>
      <c r="K56" s="448">
        <v>1</v>
      </c>
      <c r="L56" s="449">
        <v>1</v>
      </c>
      <c r="M56" s="450">
        <v>41.55</v>
      </c>
      <c r="N56" s="450">
        <v>103.58</v>
      </c>
      <c r="O56" s="450">
        <v>29.67</v>
      </c>
    </row>
    <row r="57" spans="1:15" ht="12.75">
      <c r="A57" s="74"/>
      <c r="B57" s="73"/>
      <c r="C57" s="73"/>
      <c r="D57" s="73"/>
      <c r="E57" s="73"/>
      <c r="F57" s="73"/>
      <c r="G57" s="73"/>
      <c r="H57" s="11"/>
      <c r="I57" s="11"/>
      <c r="L57" s="449">
        <v>2</v>
      </c>
      <c r="M57" s="450">
        <v>39.6</v>
      </c>
      <c r="N57" s="450">
        <v>105.01</v>
      </c>
      <c r="O57" s="450">
        <v>51.2</v>
      </c>
    </row>
    <row r="58" spans="1:15" ht="12.75">
      <c r="A58" s="74"/>
      <c r="B58" s="73"/>
      <c r="C58" s="73"/>
      <c r="D58" s="73"/>
      <c r="E58" s="73"/>
      <c r="F58" s="73"/>
      <c r="G58" s="73"/>
      <c r="H58" s="11"/>
      <c r="I58" s="11"/>
      <c r="L58" s="449">
        <v>3</v>
      </c>
      <c r="M58" s="450">
        <v>73.650000000000006</v>
      </c>
      <c r="N58" s="450">
        <v>137.41</v>
      </c>
      <c r="O58" s="450">
        <v>43.26</v>
      </c>
    </row>
    <row r="59" spans="1:15" ht="12.75">
      <c r="A59" s="74"/>
      <c r="B59" s="73"/>
      <c r="C59" s="73"/>
      <c r="D59" s="73"/>
      <c r="E59" s="73"/>
      <c r="F59" s="73"/>
      <c r="G59" s="73"/>
      <c r="H59" s="11"/>
      <c r="I59" s="11"/>
      <c r="K59" s="448">
        <v>4</v>
      </c>
      <c r="L59" s="449">
        <v>4</v>
      </c>
      <c r="M59" s="450">
        <v>65.03</v>
      </c>
      <c r="N59" s="450">
        <v>127.83</v>
      </c>
      <c r="O59" s="450">
        <v>32.72</v>
      </c>
    </row>
    <row r="60" spans="1:15" ht="12.75">
      <c r="A60" s="74"/>
      <c r="B60" s="73"/>
      <c r="C60" s="73"/>
      <c r="D60" s="73"/>
      <c r="E60" s="73"/>
      <c r="F60" s="73"/>
      <c r="G60" s="73"/>
      <c r="H60" s="11"/>
      <c r="I60" s="11"/>
      <c r="L60" s="449">
        <v>5</v>
      </c>
      <c r="M60" s="450">
        <v>56.95</v>
      </c>
      <c r="N60" s="450">
        <v>97.31</v>
      </c>
      <c r="O60" s="450">
        <v>48.46</v>
      </c>
    </row>
    <row r="61" spans="1:15" ht="12.75">
      <c r="A61" s="274" t="s">
        <v>509</v>
      </c>
      <c r="B61" s="73"/>
      <c r="C61" s="73"/>
      <c r="D61" s="73"/>
      <c r="E61" s="73"/>
      <c r="F61" s="73"/>
      <c r="G61" s="73"/>
      <c r="H61" s="11"/>
      <c r="I61" s="11"/>
      <c r="L61" s="449">
        <v>6</v>
      </c>
      <c r="M61" s="450">
        <v>61.87</v>
      </c>
      <c r="N61" s="450">
        <v>123.44</v>
      </c>
      <c r="O61" s="450">
        <v>72.52</v>
      </c>
    </row>
    <row r="62" spans="1:15">
      <c r="L62" s="449">
        <v>7</v>
      </c>
      <c r="M62" s="450">
        <v>77.569999999999993</v>
      </c>
      <c r="N62" s="450">
        <v>145.02000000000001</v>
      </c>
      <c r="O62" s="450">
        <v>59.16</v>
      </c>
    </row>
    <row r="63" spans="1:15">
      <c r="K63" s="448">
        <v>8</v>
      </c>
      <c r="L63" s="449">
        <v>8</v>
      </c>
      <c r="M63" s="450">
        <v>86.94</v>
      </c>
      <c r="N63" s="450">
        <v>175.03</v>
      </c>
      <c r="O63" s="450">
        <v>24.36</v>
      </c>
    </row>
    <row r="64" spans="1:15">
      <c r="L64" s="449">
        <v>9</v>
      </c>
      <c r="M64" s="450">
        <v>85.13</v>
      </c>
      <c r="N64" s="450">
        <v>206.14</v>
      </c>
      <c r="O64" s="450">
        <v>39.07</v>
      </c>
    </row>
    <row r="65" spans="11:15">
      <c r="L65" s="449">
        <v>10</v>
      </c>
      <c r="M65" s="450">
        <v>84.78</v>
      </c>
      <c r="N65" s="450">
        <v>270.17</v>
      </c>
      <c r="O65" s="450">
        <v>109.16</v>
      </c>
    </row>
    <row r="66" spans="11:15">
      <c r="L66" s="449">
        <v>11</v>
      </c>
      <c r="M66" s="450">
        <v>84.78</v>
      </c>
      <c r="N66" s="450">
        <v>376.42</v>
      </c>
      <c r="O66" s="450">
        <v>188.18</v>
      </c>
    </row>
    <row r="67" spans="11:15">
      <c r="K67" s="448">
        <v>12</v>
      </c>
      <c r="L67" s="449">
        <v>12</v>
      </c>
      <c r="M67" s="450">
        <v>106.16</v>
      </c>
      <c r="N67" s="450">
        <v>351.57</v>
      </c>
      <c r="O67" s="450">
        <v>159.6</v>
      </c>
    </row>
    <row r="68" spans="11:15">
      <c r="L68" s="449">
        <v>13</v>
      </c>
      <c r="M68" s="450">
        <v>101.71</v>
      </c>
      <c r="N68" s="450">
        <v>384.37</v>
      </c>
      <c r="O68" s="450">
        <v>161.77000000000001</v>
      </c>
    </row>
    <row r="69" spans="11:15">
      <c r="L69" s="449">
        <v>14</v>
      </c>
      <c r="M69" s="450">
        <v>83.1</v>
      </c>
      <c r="N69" s="450">
        <v>337.84</v>
      </c>
      <c r="O69" s="450">
        <v>115.43</v>
      </c>
    </row>
    <row r="70" spans="11:15">
      <c r="L70" s="449">
        <v>15</v>
      </c>
      <c r="M70" s="450">
        <v>61.23</v>
      </c>
      <c r="N70" s="450">
        <v>282.32</v>
      </c>
      <c r="O70" s="450">
        <v>98.92</v>
      </c>
    </row>
    <row r="71" spans="11:15">
      <c r="K71" s="448">
        <v>16</v>
      </c>
      <c r="L71" s="449">
        <v>16</v>
      </c>
      <c r="M71" s="450">
        <v>49.8</v>
      </c>
      <c r="N71" s="450">
        <v>191.65</v>
      </c>
      <c r="O71" s="450">
        <v>82.48</v>
      </c>
    </row>
    <row r="72" spans="11:15">
      <c r="L72" s="449">
        <v>17</v>
      </c>
      <c r="M72" s="450">
        <v>40.21</v>
      </c>
      <c r="N72" s="450">
        <v>160.35</v>
      </c>
      <c r="O72" s="450">
        <v>77.02</v>
      </c>
    </row>
    <row r="73" spans="11:15">
      <c r="L73" s="449">
        <v>18</v>
      </c>
      <c r="M73" s="450">
        <v>43.46</v>
      </c>
      <c r="N73" s="450">
        <v>136.65</v>
      </c>
      <c r="O73" s="450">
        <v>62.63</v>
      </c>
    </row>
    <row r="74" spans="11:15">
      <c r="L74" s="449">
        <v>19</v>
      </c>
      <c r="M74" s="450">
        <v>35.65</v>
      </c>
      <c r="N74" s="450">
        <v>135.97</v>
      </c>
      <c r="O74" s="450">
        <v>93.03</v>
      </c>
    </row>
    <row r="75" spans="11:15">
      <c r="K75" s="448">
        <v>20</v>
      </c>
      <c r="L75" s="449">
        <v>20</v>
      </c>
      <c r="M75" s="450">
        <v>26.22</v>
      </c>
      <c r="N75" s="450">
        <v>135.66</v>
      </c>
      <c r="O75" s="450">
        <v>72.349999999999994</v>
      </c>
    </row>
    <row r="76" spans="11:15">
      <c r="L76" s="449">
        <v>21</v>
      </c>
      <c r="M76" s="450">
        <v>27.95</v>
      </c>
      <c r="N76" s="450">
        <v>113.82</v>
      </c>
      <c r="O76" s="450">
        <v>90.75</v>
      </c>
    </row>
    <row r="77" spans="11:15">
      <c r="L77" s="449">
        <v>22</v>
      </c>
      <c r="M77" s="450">
        <v>32.409999999999997</v>
      </c>
      <c r="N77" s="450">
        <v>64.03</v>
      </c>
      <c r="O77" s="450">
        <v>53.02</v>
      </c>
    </row>
    <row r="78" spans="11:15">
      <c r="L78" s="449">
        <v>23</v>
      </c>
      <c r="M78" s="450">
        <v>28.93</v>
      </c>
      <c r="N78" s="450">
        <v>53.15</v>
      </c>
      <c r="O78" s="450">
        <v>32.43</v>
      </c>
    </row>
    <row r="79" spans="11:15">
      <c r="K79" s="448">
        <v>24</v>
      </c>
      <c r="L79" s="449">
        <v>24</v>
      </c>
      <c r="M79" s="450">
        <v>26.59</v>
      </c>
      <c r="N79" s="450">
        <v>45.98</v>
      </c>
      <c r="O79" s="450">
        <v>27.75</v>
      </c>
    </row>
    <row r="80" spans="11:15">
      <c r="L80" s="449">
        <v>25</v>
      </c>
      <c r="M80" s="450">
        <v>23.61</v>
      </c>
      <c r="N80" s="450">
        <v>38.68</v>
      </c>
      <c r="O80" s="450">
        <v>24.81</v>
      </c>
    </row>
    <row r="81" spans="11:15">
      <c r="L81" s="449">
        <v>26</v>
      </c>
      <c r="M81" s="450">
        <v>24.94</v>
      </c>
      <c r="N81" s="450">
        <v>34.68</v>
      </c>
      <c r="O81" s="450">
        <v>21.81</v>
      </c>
    </row>
    <row r="82" spans="11:15">
      <c r="L82" s="449">
        <v>27</v>
      </c>
      <c r="M82" s="450">
        <v>25.54</v>
      </c>
      <c r="N82" s="450">
        <v>31.72</v>
      </c>
      <c r="O82" s="450">
        <v>18.649999999999999</v>
      </c>
    </row>
    <row r="83" spans="11:15">
      <c r="K83" s="448">
        <v>28</v>
      </c>
      <c r="L83" s="449">
        <v>28</v>
      </c>
      <c r="M83" s="450">
        <v>23.56</v>
      </c>
      <c r="N83" s="450">
        <v>29.25</v>
      </c>
      <c r="O83" s="450">
        <v>14.27</v>
      </c>
    </row>
    <row r="84" spans="11:15">
      <c r="L84" s="449">
        <v>29</v>
      </c>
      <c r="M84" s="450">
        <v>22.4</v>
      </c>
      <c r="N84" s="450">
        <v>29.53</v>
      </c>
      <c r="O84" s="450">
        <v>11.51</v>
      </c>
    </row>
    <row r="85" spans="11:15">
      <c r="L85" s="449">
        <v>30</v>
      </c>
      <c r="M85" s="450">
        <v>21.29</v>
      </c>
      <c r="N85" s="450">
        <v>27.62</v>
      </c>
      <c r="O85" s="450">
        <v>9.7200000000000006</v>
      </c>
    </row>
    <row r="86" spans="11:15">
      <c r="L86" s="449">
        <v>31</v>
      </c>
      <c r="M86" s="450">
        <v>19.34</v>
      </c>
      <c r="N86" s="450">
        <v>27.99</v>
      </c>
      <c r="O86" s="450">
        <v>8.09</v>
      </c>
    </row>
    <row r="87" spans="11:15">
      <c r="K87" s="448">
        <v>32</v>
      </c>
      <c r="L87" s="449">
        <v>32</v>
      </c>
      <c r="M87" s="450">
        <v>19.649999999999999</v>
      </c>
      <c r="N87" s="450">
        <v>31.42</v>
      </c>
      <c r="O87" s="450">
        <v>7.62</v>
      </c>
    </row>
    <row r="88" spans="11:15">
      <c r="L88" s="449">
        <v>33</v>
      </c>
      <c r="M88" s="450">
        <v>18.420000000000002</v>
      </c>
      <c r="N88" s="450">
        <v>29.71</v>
      </c>
      <c r="O88" s="450">
        <v>9.5500000000000007</v>
      </c>
    </row>
    <row r="89" spans="11:15">
      <c r="L89" s="449">
        <v>34</v>
      </c>
      <c r="M89" s="450">
        <v>17.170000000000002</v>
      </c>
      <c r="N89" s="450">
        <v>30.51</v>
      </c>
      <c r="O89" s="450">
        <v>10.75</v>
      </c>
    </row>
    <row r="90" spans="11:15">
      <c r="L90" s="449">
        <v>35</v>
      </c>
      <c r="M90" s="450">
        <v>17.47</v>
      </c>
      <c r="N90" s="450">
        <v>27.5</v>
      </c>
      <c r="O90" s="450">
        <v>8.31</v>
      </c>
    </row>
    <row r="91" spans="11:15">
      <c r="K91" s="448">
        <v>36</v>
      </c>
      <c r="L91" s="449">
        <v>36</v>
      </c>
      <c r="M91" s="450">
        <v>13.42</v>
      </c>
      <c r="N91" s="450">
        <v>26.21</v>
      </c>
      <c r="O91" s="450">
        <v>6.53</v>
      </c>
    </row>
    <row r="92" spans="11:15">
      <c r="L92" s="449">
        <v>37</v>
      </c>
      <c r="M92" s="450">
        <v>11.2</v>
      </c>
      <c r="N92" s="450">
        <v>29.98</v>
      </c>
      <c r="O92" s="450">
        <v>9.7799999999999994</v>
      </c>
    </row>
    <row r="93" spans="11:15">
      <c r="L93" s="449">
        <v>38</v>
      </c>
      <c r="M93" s="450">
        <v>11</v>
      </c>
      <c r="N93" s="450">
        <v>34.369999999999997</v>
      </c>
      <c r="O93" s="450">
        <v>7.47</v>
      </c>
    </row>
    <row r="94" spans="11:15">
      <c r="K94" s="448">
        <v>39</v>
      </c>
      <c r="L94" s="449">
        <v>39</v>
      </c>
      <c r="M94" s="450">
        <v>11.14</v>
      </c>
      <c r="N94" s="450">
        <v>42.17</v>
      </c>
      <c r="O94" s="450">
        <v>7.49</v>
      </c>
    </row>
    <row r="95" spans="11:15">
      <c r="L95" s="449">
        <v>40</v>
      </c>
      <c r="M95" s="450">
        <v>12.8</v>
      </c>
      <c r="N95" s="450">
        <v>37.270000000000003</v>
      </c>
      <c r="O95" s="450">
        <v>15.47</v>
      </c>
    </row>
    <row r="96" spans="11:15">
      <c r="L96" s="449">
        <v>41</v>
      </c>
      <c r="M96" s="450">
        <v>14.41</v>
      </c>
      <c r="N96" s="450">
        <v>40.04</v>
      </c>
      <c r="O96" s="450">
        <v>18</v>
      </c>
    </row>
    <row r="97" spans="10:15">
      <c r="L97" s="449">
        <v>42</v>
      </c>
      <c r="M97" s="450">
        <v>15.87</v>
      </c>
      <c r="N97" s="450">
        <v>35.79</v>
      </c>
      <c r="O97" s="450">
        <v>12.74</v>
      </c>
    </row>
    <row r="98" spans="10:15">
      <c r="K98" s="448">
        <v>43</v>
      </c>
      <c r="L98" s="449">
        <v>43</v>
      </c>
      <c r="M98" s="450">
        <v>19.61</v>
      </c>
      <c r="N98" s="450">
        <v>50.36</v>
      </c>
      <c r="O98" s="450">
        <v>30.75</v>
      </c>
    </row>
    <row r="99" spans="10:15">
      <c r="L99" s="449">
        <v>44</v>
      </c>
      <c r="M99" s="450">
        <v>21.85</v>
      </c>
      <c r="N99" s="450">
        <v>54.94</v>
      </c>
      <c r="O99" s="450">
        <v>23.58</v>
      </c>
    </row>
    <row r="100" spans="10:15">
      <c r="L100" s="449">
        <v>45</v>
      </c>
      <c r="M100" s="450">
        <v>16.79</v>
      </c>
      <c r="N100" s="450">
        <v>41.16</v>
      </c>
      <c r="O100" s="450">
        <v>11.77</v>
      </c>
    </row>
    <row r="101" spans="10:15">
      <c r="L101" s="449">
        <v>46</v>
      </c>
      <c r="M101" s="450">
        <v>16.010000000000002</v>
      </c>
      <c r="N101" s="450">
        <v>42.65</v>
      </c>
      <c r="O101" s="450">
        <v>9.33</v>
      </c>
    </row>
    <row r="102" spans="10:15">
      <c r="L102" s="449">
        <v>47</v>
      </c>
      <c r="M102" s="450">
        <v>14.72</v>
      </c>
      <c r="N102" s="450">
        <v>39.76</v>
      </c>
      <c r="O102" s="450">
        <v>8.19</v>
      </c>
    </row>
    <row r="103" spans="10:15">
      <c r="K103" s="448">
        <v>48</v>
      </c>
      <c r="L103" s="449">
        <v>48</v>
      </c>
      <c r="M103" s="450">
        <v>18.932000297142856</v>
      </c>
      <c r="N103" s="450">
        <v>47.388000487142854</v>
      </c>
      <c r="O103" s="450">
        <v>19.661285946</v>
      </c>
    </row>
    <row r="104" spans="10:15">
      <c r="L104" s="449">
        <v>49</v>
      </c>
      <c r="M104" s="450">
        <v>28.48371397</v>
      </c>
      <c r="N104" s="450">
        <v>78.087428497142852</v>
      </c>
      <c r="O104" s="450">
        <v>19.181428364285715</v>
      </c>
    </row>
    <row r="105" spans="10:15">
      <c r="L105" s="449">
        <v>50</v>
      </c>
      <c r="M105" s="450">
        <v>32.583286012857144</v>
      </c>
      <c r="N105" s="450">
        <v>69.764142717142846</v>
      </c>
      <c r="O105" s="450">
        <v>23.7245715</v>
      </c>
    </row>
    <row r="106" spans="10:15">
      <c r="L106" s="449">
        <v>51</v>
      </c>
      <c r="M106" s="450">
        <v>34.501856668571428</v>
      </c>
      <c r="N106" s="450">
        <v>71.14499991142857</v>
      </c>
      <c r="O106" s="450">
        <v>26.158142907142857</v>
      </c>
    </row>
    <row r="107" spans="10:15">
      <c r="K107" s="448">
        <v>52</v>
      </c>
      <c r="L107" s="449">
        <v>52</v>
      </c>
      <c r="M107" s="450">
        <v>27.781857355714287</v>
      </c>
      <c r="N107" s="450">
        <v>83.196000228571435</v>
      </c>
      <c r="O107" s="450">
        <v>21.776999882857144</v>
      </c>
    </row>
    <row r="108" spans="10:15">
      <c r="J108" s="25">
        <v>2018</v>
      </c>
      <c r="K108" s="448">
        <v>1</v>
      </c>
      <c r="L108" s="449">
        <v>1</v>
      </c>
      <c r="M108" s="450">
        <v>29.44</v>
      </c>
      <c r="N108" s="450">
        <v>69.087142857142865</v>
      </c>
      <c r="O108" s="450">
        <v>15.747142857142856</v>
      </c>
    </row>
    <row r="109" spans="10:15">
      <c r="L109" s="449">
        <v>2</v>
      </c>
      <c r="M109" s="450">
        <v>42.880857194285717</v>
      </c>
      <c r="N109" s="450">
        <v>96.785858138571413</v>
      </c>
      <c r="O109" s="450">
        <v>37.6</v>
      </c>
    </row>
    <row r="110" spans="10:15">
      <c r="L110" s="449">
        <v>3</v>
      </c>
      <c r="M110" s="450">
        <v>74.002572194285705</v>
      </c>
      <c r="N110" s="450">
        <v>158.17728531428571</v>
      </c>
      <c r="O110" s="450">
        <v>101.26128550142856</v>
      </c>
    </row>
    <row r="111" spans="10:15">
      <c r="K111" s="448">
        <v>4</v>
      </c>
      <c r="L111" s="449">
        <v>4</v>
      </c>
      <c r="M111" s="450">
        <v>77.812570845714291</v>
      </c>
      <c r="N111" s="450">
        <v>167.02357267142858</v>
      </c>
      <c r="O111" s="450">
        <v>77.354000085714276</v>
      </c>
    </row>
    <row r="112" spans="10:15">
      <c r="L112" s="449">
        <v>5</v>
      </c>
      <c r="M112" s="450">
        <v>61.531714848571433</v>
      </c>
      <c r="N112" s="450">
        <v>113.19585745142855</v>
      </c>
      <c r="O112" s="450">
        <v>30.667142595714285</v>
      </c>
    </row>
    <row r="113" spans="11:15">
      <c r="L113" s="449">
        <v>6</v>
      </c>
      <c r="M113" s="450">
        <v>54.024142672857138</v>
      </c>
      <c r="N113" s="450">
        <v>88.535714287142852</v>
      </c>
      <c r="O113" s="450">
        <v>32.444142750000005</v>
      </c>
    </row>
    <row r="114" spans="11:15">
      <c r="L114" s="449">
        <v>7</v>
      </c>
      <c r="M114" s="450">
        <v>59.271427155714285</v>
      </c>
      <c r="N114" s="450">
        <v>99.37822619047617</v>
      </c>
      <c r="O114" s="450">
        <v>30.338148809523812</v>
      </c>
    </row>
    <row r="115" spans="11:15">
      <c r="K115" s="448">
        <v>8</v>
      </c>
      <c r="L115" s="449">
        <v>8</v>
      </c>
      <c r="M115" s="450">
        <v>78.025571005714284</v>
      </c>
      <c r="N115" s="450">
        <v>140.28</v>
      </c>
      <c r="O115" s="450">
        <v>62.97</v>
      </c>
    </row>
    <row r="116" spans="11:15">
      <c r="L116" s="449">
        <v>9</v>
      </c>
      <c r="M116" s="450">
        <v>61.11871501571428</v>
      </c>
      <c r="N116" s="450">
        <v>102.99642836285715</v>
      </c>
      <c r="O116" s="450">
        <v>31.244571685714288</v>
      </c>
    </row>
    <row r="117" spans="11:15">
      <c r="L117" s="449">
        <v>10</v>
      </c>
      <c r="M117" s="450">
        <v>84.500714981428573</v>
      </c>
      <c r="N117" s="450">
        <v>175.90485927142853</v>
      </c>
      <c r="O117" s="450">
        <v>36.038285662857142</v>
      </c>
    </row>
    <row r="118" spans="11:15">
      <c r="L118" s="449">
        <v>11</v>
      </c>
      <c r="M118" s="450">
        <v>83.643855504285725</v>
      </c>
      <c r="N118" s="450">
        <v>169.64671761428571</v>
      </c>
      <c r="O118" s="450">
        <v>25.076428275714282</v>
      </c>
    </row>
    <row r="119" spans="11:15">
      <c r="K119" s="448">
        <v>12</v>
      </c>
      <c r="L119" s="449">
        <v>12</v>
      </c>
      <c r="M119" s="450">
        <v>98.99</v>
      </c>
      <c r="N119" s="450">
        <v>198.22</v>
      </c>
      <c r="O119" s="450">
        <v>24.63</v>
      </c>
    </row>
    <row r="120" spans="11:15">
      <c r="L120" s="449">
        <v>13</v>
      </c>
      <c r="M120" s="450">
        <v>106.64928652857144</v>
      </c>
      <c r="N120" s="450">
        <v>312.6314304857143</v>
      </c>
      <c r="O120" s="450">
        <v>38.701428550000003</v>
      </c>
    </row>
    <row r="121" spans="11:15">
      <c r="L121" s="449">
        <v>14</v>
      </c>
      <c r="M121" s="450">
        <v>86.488428389999996</v>
      </c>
      <c r="N121" s="450">
        <v>235.31328691428573</v>
      </c>
      <c r="O121" s="450">
        <v>94.596427907142839</v>
      </c>
    </row>
    <row r="122" spans="11:15">
      <c r="L122" s="449">
        <v>15</v>
      </c>
      <c r="M122" s="450">
        <v>88.217001778571429</v>
      </c>
      <c r="N122" s="450">
        <v>294.1721409428572</v>
      </c>
      <c r="O122" s="450">
        <v>92.07</v>
      </c>
    </row>
    <row r="123" spans="11:15">
      <c r="K123" s="448">
        <v>16</v>
      </c>
      <c r="L123" s="449">
        <v>16</v>
      </c>
      <c r="M123" s="450">
        <v>65.84</v>
      </c>
      <c r="N123" s="450">
        <v>149.18</v>
      </c>
      <c r="O123" s="450">
        <v>45.4</v>
      </c>
    </row>
    <row r="124" spans="11:15">
      <c r="L124" s="449">
        <v>17</v>
      </c>
      <c r="M124" s="450">
        <v>51.88</v>
      </c>
      <c r="N124" s="450">
        <v>104.35</v>
      </c>
      <c r="O124" s="450">
        <v>41.47</v>
      </c>
    </row>
    <row r="125" spans="11:15">
      <c r="L125" s="449">
        <v>18</v>
      </c>
      <c r="M125" s="450">
        <v>49.672285897142856</v>
      </c>
      <c r="N125" s="450">
        <v>78.038143701428567</v>
      </c>
      <c r="O125" s="450">
        <v>65.800999782857133</v>
      </c>
    </row>
    <row r="126" spans="11:15">
      <c r="L126" s="449">
        <v>19</v>
      </c>
      <c r="M126" s="450">
        <v>45.203000204285708</v>
      </c>
      <c r="N126" s="450">
        <v>78.313856942857129</v>
      </c>
      <c r="O126" s="450">
        <v>75.104713441428572</v>
      </c>
    </row>
    <row r="127" spans="11:15">
      <c r="K127" s="448">
        <v>20</v>
      </c>
      <c r="L127" s="449">
        <v>20</v>
      </c>
      <c r="M127" s="450">
        <v>37.385857718571437</v>
      </c>
      <c r="N127" s="450">
        <v>130.92628696285712</v>
      </c>
      <c r="O127" s="450">
        <v>97.861000055714285</v>
      </c>
    </row>
    <row r="128" spans="11:15">
      <c r="L128" s="449">
        <v>21</v>
      </c>
      <c r="M128" s="450">
        <v>31.609713962857143</v>
      </c>
      <c r="N128" s="450">
        <v>64.449287412857146</v>
      </c>
      <c r="O128" s="450">
        <v>107.7964292242857</v>
      </c>
    </row>
    <row r="129" spans="11:15">
      <c r="L129" s="449">
        <v>22</v>
      </c>
      <c r="M129" s="450">
        <v>23.360142844285715</v>
      </c>
      <c r="N129" s="450">
        <v>64.449287412857146</v>
      </c>
      <c r="O129" s="450">
        <v>107.7964292242857</v>
      </c>
    </row>
    <row r="130" spans="11:15">
      <c r="L130" s="449">
        <v>23</v>
      </c>
      <c r="M130" s="450">
        <v>22.118571418571431</v>
      </c>
      <c r="N130" s="450">
        <v>39.50100054</v>
      </c>
      <c r="O130" s="450">
        <v>35.176713670000005</v>
      </c>
    </row>
    <row r="131" spans="11:15">
      <c r="K131" s="448">
        <v>24</v>
      </c>
      <c r="L131" s="449">
        <v>24</v>
      </c>
      <c r="M131" s="450">
        <v>18.655142918571432</v>
      </c>
      <c r="N131" s="450">
        <v>33.690285274285714</v>
      </c>
      <c r="O131" s="450">
        <v>23.41942841571429</v>
      </c>
    </row>
    <row r="132" spans="11:15">
      <c r="L132" s="449">
        <v>25</v>
      </c>
      <c r="M132" s="450">
        <v>15.664428437142856</v>
      </c>
      <c r="N132" s="450">
        <v>30.228428704285715</v>
      </c>
      <c r="O132" s="450">
        <v>15.98614284142857</v>
      </c>
    </row>
    <row r="133" spans="11:15">
      <c r="L133" s="449">
        <v>26</v>
      </c>
      <c r="M133" s="450">
        <v>13.848143032857147</v>
      </c>
      <c r="N133" s="450">
        <v>27.872285568571431</v>
      </c>
      <c r="O133" s="450">
        <v>14.09042848857143</v>
      </c>
    </row>
    <row r="134" spans="11:15">
      <c r="L134" s="449">
        <v>27</v>
      </c>
      <c r="M134" s="450">
        <v>12.865857259999999</v>
      </c>
      <c r="N134" s="450">
        <v>27.257571358571429</v>
      </c>
      <c r="O134" s="450">
        <v>11.838857105714284</v>
      </c>
    </row>
    <row r="135" spans="11:15">
      <c r="K135" s="448">
        <v>28</v>
      </c>
      <c r="L135" s="449">
        <v>28</v>
      </c>
      <c r="M135" s="450">
        <v>12.915285789999999</v>
      </c>
      <c r="N135" s="477">
        <v>27.217285974285712</v>
      </c>
      <c r="O135" s="450">
        <v>9.7789998731428565</v>
      </c>
    </row>
    <row r="136" spans="11:15">
      <c r="L136" s="449">
        <v>29</v>
      </c>
      <c r="M136" s="450">
        <v>15.908571428571426</v>
      </c>
      <c r="N136" s="477">
        <v>24.955714285714286</v>
      </c>
      <c r="O136" s="450">
        <v>8.4957142857142856</v>
      </c>
    </row>
    <row r="137" spans="11:15">
      <c r="L137" s="449">
        <v>30</v>
      </c>
      <c r="M137" s="450">
        <v>16.584000042857145</v>
      </c>
      <c r="N137" s="477">
        <v>24.80942862142857</v>
      </c>
      <c r="O137" s="450">
        <v>7.807428428142857</v>
      </c>
    </row>
    <row r="138" spans="11:15">
      <c r="L138" s="449">
        <v>31</v>
      </c>
      <c r="M138" s="450">
        <v>18.553000000000001</v>
      </c>
      <c r="N138" s="477">
        <v>25.690999999999999</v>
      </c>
      <c r="O138" s="450">
        <v>7.53</v>
      </c>
    </row>
    <row r="139" spans="11:15">
      <c r="K139" s="448">
        <v>32</v>
      </c>
      <c r="L139" s="449">
        <v>32</v>
      </c>
      <c r="M139" s="450">
        <v>17.769714355714285</v>
      </c>
      <c r="N139" s="477">
        <v>27.630000251428573</v>
      </c>
      <c r="O139" s="450">
        <v>6.4074286734285701</v>
      </c>
    </row>
    <row r="140" spans="11:15">
      <c r="L140" s="449">
        <v>33</v>
      </c>
      <c r="M140" s="450">
        <v>14.782857348571428</v>
      </c>
      <c r="N140" s="477">
        <v>23.78</v>
      </c>
      <c r="O140" s="450">
        <v>4.9400000000000004</v>
      </c>
    </row>
    <row r="141" spans="11:15">
      <c r="L141" s="449">
        <v>34</v>
      </c>
      <c r="M141" s="450">
        <v>15.984000069999999</v>
      </c>
      <c r="N141" s="477">
        <v>23.527999878571428</v>
      </c>
      <c r="O141" s="450">
        <v>4.6688571658571432</v>
      </c>
    </row>
    <row r="142" spans="11:15">
      <c r="L142" s="449">
        <v>35</v>
      </c>
      <c r="M142" s="450">
        <v>15.55</v>
      </c>
      <c r="N142" s="477">
        <v>23.29</v>
      </c>
      <c r="O142" s="450">
        <v>4.5999999999999996</v>
      </c>
    </row>
    <row r="143" spans="11:15">
      <c r="K143" s="448">
        <v>36</v>
      </c>
      <c r="L143" s="449">
        <v>36</v>
      </c>
      <c r="M143" s="450">
        <v>15.042857142857143</v>
      </c>
      <c r="N143" s="450">
        <v>23.007142857142856</v>
      </c>
      <c r="O143" s="450">
        <v>3.9657142857142857</v>
      </c>
    </row>
    <row r="144" spans="11:15">
      <c r="L144" s="449">
        <v>37</v>
      </c>
      <c r="M144" s="450">
        <v>13.386857033</v>
      </c>
      <c r="N144" s="450">
        <v>23.173571724285711</v>
      </c>
      <c r="O144" s="450">
        <v>3.5334285327142858</v>
      </c>
    </row>
    <row r="145" spans="10:15">
      <c r="L145" s="449">
        <v>38</v>
      </c>
      <c r="M145" s="450">
        <v>12.963714189999999</v>
      </c>
      <c r="N145" s="450">
        <v>26.454000201428567</v>
      </c>
      <c r="O145" s="450">
        <v>6.4914285118571433</v>
      </c>
    </row>
    <row r="146" spans="10:15">
      <c r="L146" s="449">
        <v>39</v>
      </c>
      <c r="M146" s="450">
        <v>9.4700000000000006</v>
      </c>
      <c r="N146" s="450">
        <v>23.7</v>
      </c>
      <c r="O146" s="450">
        <v>4.9000000000000004</v>
      </c>
    </row>
    <row r="147" spans="10:15">
      <c r="K147" s="448">
        <v>40</v>
      </c>
      <c r="L147" s="449">
        <v>40</v>
      </c>
      <c r="M147" s="450">
        <v>9.6714286802857146</v>
      </c>
      <c r="N147" s="567">
        <v>23.695143017142858</v>
      </c>
      <c r="O147" s="450">
        <v>4.898285797571428</v>
      </c>
    </row>
    <row r="148" spans="10:15">
      <c r="L148" s="449">
        <v>41</v>
      </c>
      <c r="M148" s="450">
        <v>13.23900018419533</v>
      </c>
      <c r="N148" s="567">
        <v>28.113285882132363</v>
      </c>
      <c r="O148" s="450">
        <v>8.3430000032697169</v>
      </c>
    </row>
    <row r="149" spans="10:15">
      <c r="L149" s="449">
        <v>42</v>
      </c>
      <c r="M149" s="450">
        <v>13.085142816816015</v>
      </c>
      <c r="N149" s="567">
        <v>37.073285511561743</v>
      </c>
      <c r="O149" s="450">
        <v>7.2735712868826683</v>
      </c>
    </row>
    <row r="150" spans="10:15">
      <c r="L150" s="449">
        <v>43</v>
      </c>
      <c r="M150" s="450">
        <v>24.981571742466489</v>
      </c>
      <c r="N150" s="567">
        <v>70.535571507045162</v>
      </c>
      <c r="O150" s="450">
        <v>7.4324284962245324</v>
      </c>
    </row>
    <row r="151" spans="10:15">
      <c r="K151" s="448">
        <v>44</v>
      </c>
      <c r="L151" s="449">
        <v>44</v>
      </c>
      <c r="M151" s="450">
        <v>20.55814279714286</v>
      </c>
      <c r="N151" s="567">
        <v>55.183714184285712</v>
      </c>
      <c r="O151" s="450">
        <v>15.801856994857145</v>
      </c>
    </row>
    <row r="152" spans="10:15">
      <c r="L152" s="449">
        <v>45</v>
      </c>
      <c r="M152" s="450">
        <v>26.170000077142856</v>
      </c>
      <c r="N152" s="450">
        <v>60.445714132857141</v>
      </c>
      <c r="O152" s="450">
        <v>26.432857787142858</v>
      </c>
    </row>
    <row r="153" spans="10:15">
      <c r="L153" s="449">
        <v>46</v>
      </c>
      <c r="M153" s="450">
        <v>19.728571428571428</v>
      </c>
      <c r="N153" s="450">
        <v>57.005714285714291</v>
      </c>
      <c r="O153" s="450">
        <v>53.502857142857145</v>
      </c>
    </row>
    <row r="154" spans="10:15">
      <c r="L154" s="449">
        <v>47</v>
      </c>
      <c r="M154" s="450">
        <v>39.656714302857139</v>
      </c>
      <c r="N154" s="450">
        <v>103.00771440714287</v>
      </c>
      <c r="O154" s="450">
        <v>53.459142955714292</v>
      </c>
    </row>
    <row r="155" spans="10:15">
      <c r="K155" s="448">
        <v>48</v>
      </c>
      <c r="L155" s="449">
        <v>48</v>
      </c>
      <c r="M155" s="450">
        <v>39.656714302857139</v>
      </c>
      <c r="N155" s="450">
        <v>99.828000734285709</v>
      </c>
      <c r="O155" s="450">
        <v>45.539571760000008</v>
      </c>
    </row>
    <row r="156" spans="10:15">
      <c r="L156" s="449">
        <v>49</v>
      </c>
      <c r="M156" s="450">
        <v>22.62857142857143</v>
      </c>
      <c r="N156" s="450">
        <v>60.27571428571428</v>
      </c>
      <c r="O156" s="450">
        <v>17.955714285714286</v>
      </c>
    </row>
    <row r="157" spans="10:15">
      <c r="L157" s="449">
        <v>50</v>
      </c>
      <c r="M157" s="450">
        <v>17.776714461428572</v>
      </c>
      <c r="N157" s="450">
        <v>46.701999664285715</v>
      </c>
      <c r="O157" s="450">
        <v>13.432571411428571</v>
      </c>
    </row>
    <row r="158" spans="10:15">
      <c r="L158" s="449">
        <v>51</v>
      </c>
      <c r="M158" s="450">
        <v>34.085714285714282</v>
      </c>
      <c r="N158" s="450">
        <v>68.7</v>
      </c>
      <c r="O158" s="450">
        <v>39.414285714285711</v>
      </c>
    </row>
    <row r="159" spans="10:15">
      <c r="K159" s="448">
        <v>52</v>
      </c>
      <c r="L159" s="449">
        <v>52</v>
      </c>
      <c r="M159" s="450">
        <v>52.094142914285719</v>
      </c>
      <c r="N159" s="450">
        <v>97.347143448571416</v>
      </c>
      <c r="O159" s="450">
        <v>65.679429182857149</v>
      </c>
    </row>
    <row r="160" spans="10:15">
      <c r="J160" s="25">
        <v>2019</v>
      </c>
      <c r="K160" s="449">
        <v>1</v>
      </c>
      <c r="L160" s="449">
        <v>1</v>
      </c>
      <c r="M160" s="450">
        <v>27.79999951142857</v>
      </c>
      <c r="N160" s="450">
        <v>78.298570904285711</v>
      </c>
      <c r="O160" s="450">
        <v>21.927143370000003</v>
      </c>
    </row>
    <row r="161" spans="11:15">
      <c r="K161" s="449"/>
      <c r="L161" s="449">
        <v>2</v>
      </c>
      <c r="M161" s="450">
        <v>28.678571428571427</v>
      </c>
      <c r="N161" s="450">
        <v>95.081715179999989</v>
      </c>
      <c r="O161" s="450">
        <v>22.397999900000002</v>
      </c>
    </row>
    <row r="162" spans="11:15">
      <c r="K162" s="449"/>
      <c r="L162" s="449">
        <v>3</v>
      </c>
      <c r="M162" s="450">
        <v>44.51</v>
      </c>
      <c r="N162" s="450">
        <v>95.65</v>
      </c>
      <c r="O162" s="450">
        <v>17.61</v>
      </c>
    </row>
    <row r="163" spans="11:15">
      <c r="K163" s="449">
        <v>4</v>
      </c>
      <c r="L163" s="449">
        <v>4</v>
      </c>
      <c r="M163" s="450">
        <v>73.323141914285699</v>
      </c>
      <c r="N163" s="450">
        <v>109.29957036285714</v>
      </c>
      <c r="O163" s="450">
        <v>17.638000354285712</v>
      </c>
    </row>
    <row r="164" spans="11:15">
      <c r="L164" s="449">
        <v>5</v>
      </c>
      <c r="M164" s="450">
        <v>103.17716724333333</v>
      </c>
      <c r="N164" s="450">
        <v>149.65083311999999</v>
      </c>
      <c r="O164" s="450">
        <v>19.218833289999999</v>
      </c>
    </row>
    <row r="165" spans="11:15">
      <c r="L165" s="449">
        <v>6</v>
      </c>
      <c r="M165" s="450">
        <v>79.165714285714287</v>
      </c>
      <c r="N165" s="450">
        <v>136.57714285714286</v>
      </c>
      <c r="O165" s="450">
        <v>57.185714285714276</v>
      </c>
    </row>
    <row r="166" spans="11:15">
      <c r="L166" s="449">
        <v>7</v>
      </c>
      <c r="M166" s="450">
        <v>120.02256992142858</v>
      </c>
      <c r="N166" s="450">
        <v>224.71071514285714</v>
      </c>
      <c r="O166" s="450">
        <v>118.06042697857141</v>
      </c>
    </row>
    <row r="167" spans="11:15">
      <c r="K167" s="449">
        <v>8</v>
      </c>
      <c r="L167" s="449">
        <v>8</v>
      </c>
      <c r="M167" s="450">
        <v>97.560142514285715</v>
      </c>
      <c r="N167" s="450">
        <v>198.04342652857142</v>
      </c>
      <c r="O167" s="450">
        <v>106.29885756428571</v>
      </c>
    </row>
    <row r="168" spans="11:15">
      <c r="L168" s="449">
        <v>9</v>
      </c>
      <c r="M168" s="450">
        <v>97.560142514285715</v>
      </c>
      <c r="N168" s="450">
        <v>191.0112849857143</v>
      </c>
      <c r="O168" s="450">
        <v>142.12385776285717</v>
      </c>
    </row>
    <row r="169" spans="11:15">
      <c r="L169" s="449">
        <v>10</v>
      </c>
      <c r="M169" s="450">
        <v>97.497286117142863</v>
      </c>
      <c r="N169" s="450">
        <v>215.64014109999999</v>
      </c>
      <c r="O169" s="450">
        <v>164.59685624285717</v>
      </c>
    </row>
    <row r="170" spans="11:15">
      <c r="L170" s="449">
        <v>11</v>
      </c>
      <c r="M170" s="450">
        <v>98.21585736955906</v>
      </c>
      <c r="N170" s="450">
        <v>236.76099940708642</v>
      </c>
      <c r="O170" s="450">
        <v>121.6507121494835</v>
      </c>
    </row>
    <row r="171" spans="11:15">
      <c r="K171" s="449">
        <v>12</v>
      </c>
      <c r="L171" s="449">
        <v>12</v>
      </c>
      <c r="M171" s="450">
        <v>91.857713972857141</v>
      </c>
      <c r="N171" s="450">
        <v>250.8679761904763</v>
      </c>
      <c r="O171" s="450">
        <v>166.63136904761905</v>
      </c>
    </row>
    <row r="172" spans="11:15">
      <c r="K172" s="449"/>
      <c r="L172" s="449">
        <v>13</v>
      </c>
      <c r="M172" s="450">
        <v>100.0137132957143</v>
      </c>
      <c r="N172" s="450">
        <v>301.45971681428574</v>
      </c>
      <c r="O172" s="450">
        <v>180.07000078571429</v>
      </c>
    </row>
    <row r="173" spans="11:15">
      <c r="K173" s="449"/>
      <c r="L173" s="449">
        <v>14</v>
      </c>
      <c r="M173" s="450">
        <v>84.272714885714294</v>
      </c>
      <c r="N173" s="450">
        <v>253.08542525714284</v>
      </c>
      <c r="O173" s="450">
        <v>143.43971579999999</v>
      </c>
    </row>
    <row r="174" spans="11:15">
      <c r="L174" s="449">
        <v>15</v>
      </c>
      <c r="M174" s="450">
        <v>61.074856892857142</v>
      </c>
      <c r="N174" s="450">
        <v>253.08542525714284</v>
      </c>
      <c r="O174" s="450">
        <v>152.6561442857143</v>
      </c>
    </row>
    <row r="175" spans="11:15">
      <c r="K175" s="734">
        <v>16</v>
      </c>
      <c r="L175" s="734">
        <v>16</v>
      </c>
      <c r="M175" s="450">
        <v>47.843714031428576</v>
      </c>
      <c r="N175" s="450">
        <v>141.0458592</v>
      </c>
      <c r="O175" s="450">
        <v>83.844285145714295</v>
      </c>
    </row>
    <row r="176" spans="11:15">
      <c r="K176" s="734"/>
      <c r="L176" s="734">
        <v>17</v>
      </c>
      <c r="M176" s="450">
        <v>50.907143728571427</v>
      </c>
      <c r="N176" s="450">
        <v>123.86656951428571</v>
      </c>
      <c r="O176" s="450">
        <v>125.28814153857142</v>
      </c>
    </row>
    <row r="177" spans="11:15">
      <c r="K177" s="734"/>
      <c r="L177" s="734">
        <v>18</v>
      </c>
      <c r="M177" s="450">
        <v>39.120999471428568</v>
      </c>
      <c r="N177" s="450">
        <v>85.173857551428583</v>
      </c>
      <c r="O177" s="450">
        <v>66.347143447142855</v>
      </c>
    </row>
    <row r="178" spans="11:15">
      <c r="K178" s="734"/>
      <c r="L178" s="449">
        <v>19</v>
      </c>
      <c r="M178" s="450">
        <v>35.410856791428571</v>
      </c>
      <c r="N178" s="450">
        <v>71.224285714285699</v>
      </c>
      <c r="O178" s="450">
        <v>42.216071428571425</v>
      </c>
    </row>
    <row r="179" spans="11:15">
      <c r="K179" s="734"/>
      <c r="L179" s="734">
        <v>20</v>
      </c>
      <c r="M179" s="450">
        <v>32.405142920000003</v>
      </c>
      <c r="N179" s="450">
        <v>76.857142859999996</v>
      </c>
      <c r="O179" s="450">
        <v>58.324429100000003</v>
      </c>
    </row>
    <row r="180" spans="11:15">
      <c r="K180" s="734"/>
      <c r="L180" s="734">
        <v>21</v>
      </c>
      <c r="M180" s="450">
        <v>26.58385740142857</v>
      </c>
      <c r="N180" s="450">
        <v>47.97114345</v>
      </c>
      <c r="O180" s="450">
        <v>34.032571519999998</v>
      </c>
    </row>
    <row r="181" spans="11:15">
      <c r="K181" s="734">
        <v>22</v>
      </c>
      <c r="L181" s="734">
        <v>22</v>
      </c>
      <c r="M181" s="450">
        <v>19.653714315714286</v>
      </c>
      <c r="N181" s="450">
        <v>37.624285945285713</v>
      </c>
      <c r="O181" s="450">
        <v>40.524285998571429</v>
      </c>
    </row>
    <row r="182" spans="11:15">
      <c r="K182" s="691"/>
      <c r="L182" s="734">
        <v>23</v>
      </c>
      <c r="M182" s="450">
        <v>16.50400011857143</v>
      </c>
      <c r="N182" s="450">
        <v>37.806285858571421</v>
      </c>
      <c r="O182" s="450">
        <v>25.010571342857141</v>
      </c>
    </row>
    <row r="183" spans="11:15">
      <c r="K183" s="691"/>
      <c r="L183" s="734">
        <v>24</v>
      </c>
      <c r="M183" s="450">
        <v>14.890428544285713</v>
      </c>
      <c r="N183" s="450">
        <v>35.468714032857143</v>
      </c>
      <c r="O183" s="450">
        <v>18.242713997857145</v>
      </c>
    </row>
    <row r="184" spans="11:15">
      <c r="K184" s="691"/>
      <c r="L184" s="734">
        <v>25</v>
      </c>
      <c r="M184" s="450">
        <v>15.340000017142858</v>
      </c>
      <c r="N184" s="450">
        <v>33.200142724285719</v>
      </c>
      <c r="O184" s="450">
        <v>16.013142995714286</v>
      </c>
    </row>
    <row r="185" spans="11:15">
      <c r="K185" s="734">
        <v>26</v>
      </c>
      <c r="L185" s="734">
        <v>26</v>
      </c>
      <c r="M185" s="450">
        <v>15.521142687142857</v>
      </c>
      <c r="N185" s="450">
        <v>28.376285825714287</v>
      </c>
      <c r="O185" s="450">
        <v>12.961571557142857</v>
      </c>
    </row>
    <row r="186" spans="11:15">
      <c r="K186" s="691"/>
      <c r="L186" s="734">
        <v>27</v>
      </c>
      <c r="M186" s="450">
        <v>15.32</v>
      </c>
      <c r="N186" s="450">
        <v>28.47</v>
      </c>
      <c r="O186" s="450">
        <v>11.39</v>
      </c>
    </row>
    <row r="187" spans="11:15">
      <c r="K187" s="691"/>
      <c r="L187" s="734">
        <v>28</v>
      </c>
      <c r="M187" s="450">
        <v>14.809428488571427</v>
      </c>
      <c r="N187" s="450">
        <v>28.920333226666667</v>
      </c>
      <c r="O187" s="450">
        <v>11.405166626666668</v>
      </c>
    </row>
    <row r="188" spans="11:15">
      <c r="K188" s="691"/>
      <c r="L188" s="734">
        <v>29</v>
      </c>
      <c r="M188" s="450">
        <v>13.666428565978956</v>
      </c>
      <c r="N188" s="450">
        <v>24.422333717346149</v>
      </c>
      <c r="O188" s="450">
        <v>10.173999945322651</v>
      </c>
    </row>
    <row r="189" spans="11:15">
      <c r="K189" s="734">
        <v>30</v>
      </c>
      <c r="L189" s="734">
        <v>30</v>
      </c>
      <c r="M189" s="450">
        <v>13.392857142857142</v>
      </c>
      <c r="N189" s="450">
        <v>24.086666666666662</v>
      </c>
      <c r="O189" s="450">
        <v>9.1716666666666669</v>
      </c>
    </row>
    <row r="190" spans="11:15">
      <c r="K190" s="691"/>
      <c r="L190" s="734">
        <v>31</v>
      </c>
      <c r="M190" s="450">
        <v>13.098428589999999</v>
      </c>
      <c r="N190" s="450">
        <v>22.471285411428575</v>
      </c>
      <c r="O190" s="450">
        <v>8.5915715354285727</v>
      </c>
    </row>
    <row r="191" spans="11:15">
      <c r="K191" s="691"/>
      <c r="L191" s="734">
        <v>32</v>
      </c>
      <c r="M191" s="450">
        <v>12.228285654285713</v>
      </c>
      <c r="N191" s="450">
        <v>25.212714058571429</v>
      </c>
      <c r="O191" s="450">
        <v>6.6260000637142857</v>
      </c>
    </row>
    <row r="192" spans="11:15">
      <c r="K192" s="691"/>
      <c r="L192" s="734">
        <v>33</v>
      </c>
      <c r="M192" s="450">
        <v>12.838714327142856</v>
      </c>
      <c r="N192" s="450">
        <v>28.061000278571431</v>
      </c>
      <c r="O192" s="450">
        <v>5.9311428751428581</v>
      </c>
    </row>
    <row r="193" spans="11:15">
      <c r="K193" s="691">
        <v>34</v>
      </c>
      <c r="L193" s="734">
        <v>34</v>
      </c>
      <c r="M193" s="450">
        <v>12.37928554</v>
      </c>
      <c r="N193" s="450">
        <v>28.455856868571431</v>
      </c>
      <c r="O193" s="450">
        <v>5.2604285648571434</v>
      </c>
    </row>
    <row r="194" spans="11:15">
      <c r="K194" s="691"/>
      <c r="L194" s="734">
        <v>35</v>
      </c>
      <c r="M194" s="450">
        <v>11.92371409142857</v>
      </c>
      <c r="N194" s="450">
        <v>26.646000226666668</v>
      </c>
      <c r="O194" s="450">
        <v>4.7316666444999997</v>
      </c>
    </row>
    <row r="195" spans="11:15">
      <c r="K195" s="691"/>
      <c r="L195" s="734">
        <v>36</v>
      </c>
      <c r="M195" s="450">
        <v>10.731857162857143</v>
      </c>
      <c r="N195" s="450">
        <v>27.720570974285714</v>
      </c>
      <c r="O195" s="450">
        <v>4.5542856622857144</v>
      </c>
    </row>
    <row r="196" spans="11:15">
      <c r="K196" s="691"/>
      <c r="L196" s="734">
        <v>37</v>
      </c>
      <c r="M196" s="450">
        <v>11.481428825714286</v>
      </c>
      <c r="N196" s="450">
        <v>27.967571258571429</v>
      </c>
      <c r="O196" s="450">
        <v>4.1919999124285718</v>
      </c>
    </row>
    <row r="197" spans="11:15">
      <c r="K197" s="691"/>
      <c r="L197" s="734">
        <v>38</v>
      </c>
      <c r="M197" s="450">
        <v>12.217142857142859</v>
      </c>
      <c r="N197" s="450">
        <v>31.354000000000003</v>
      </c>
      <c r="O197" s="450">
        <v>4.1759999999999993</v>
      </c>
    </row>
    <row r="198" spans="11:15">
      <c r="L198" s="449">
        <v>39</v>
      </c>
      <c r="M198" s="450">
        <v>15.0261430740356</v>
      </c>
      <c r="N198" s="450">
        <v>37.146399307250938</v>
      </c>
      <c r="O198" s="450">
        <v>4.8932001113891559</v>
      </c>
    </row>
    <row r="199" spans="11:15">
      <c r="K199" s="448">
        <v>40</v>
      </c>
      <c r="L199" s="449">
        <v>40</v>
      </c>
      <c r="M199" s="450">
        <v>13.292000225714288</v>
      </c>
      <c r="N199" s="450">
        <v>29.934999783333328</v>
      </c>
      <c r="O199" s="450">
        <v>5.3130000431666664</v>
      </c>
    </row>
    <row r="200" spans="11:15">
      <c r="L200" s="449">
        <v>41</v>
      </c>
      <c r="M200" s="450">
        <v>15.472143037142859</v>
      </c>
      <c r="N200" s="450">
        <v>31.668000084285715</v>
      </c>
      <c r="O200" s="450">
        <v>8.3924286701428574</v>
      </c>
    </row>
    <row r="201" spans="11:15">
      <c r="L201" s="449">
        <v>42</v>
      </c>
      <c r="M201" s="450">
        <v>14.602857142857143</v>
      </c>
      <c r="N201" s="450">
        <v>30.061428571428571</v>
      </c>
      <c r="O201" s="450">
        <v>9.2871428571428574</v>
      </c>
    </row>
    <row r="202" spans="11:15">
      <c r="L202" s="449">
        <v>43</v>
      </c>
      <c r="M202" s="450">
        <v>18.763999527142854</v>
      </c>
      <c r="N202" s="450">
        <v>48.129999975714291</v>
      </c>
      <c r="O202" s="450">
        <v>18.153714861428572</v>
      </c>
    </row>
    <row r="203" spans="11:15">
      <c r="K203" s="448">
        <v>44</v>
      </c>
      <c r="L203" s="449">
        <v>44</v>
      </c>
      <c r="M203" s="450">
        <v>12.722428322857143</v>
      </c>
      <c r="N203" s="450">
        <v>37.781833011666663</v>
      </c>
      <c r="O203" s="450">
        <v>19.903499760000003</v>
      </c>
    </row>
    <row r="204" spans="11:15">
      <c r="L204" s="449">
        <v>45</v>
      </c>
      <c r="M204" s="450"/>
      <c r="N204" s="450"/>
      <c r="O204" s="450"/>
    </row>
    <row r="205" spans="11:15">
      <c r="L205" s="449">
        <v>46</v>
      </c>
      <c r="M205" s="450"/>
      <c r="N205" s="450"/>
      <c r="O205" s="450"/>
    </row>
    <row r="206" spans="11:15">
      <c r="L206" s="449">
        <v>47</v>
      </c>
      <c r="M206" s="450"/>
      <c r="N206" s="450"/>
      <c r="O206" s="450"/>
    </row>
    <row r="207" spans="11:15">
      <c r="K207" s="448">
        <v>48</v>
      </c>
      <c r="L207" s="449">
        <v>48</v>
      </c>
      <c r="M207" s="450"/>
      <c r="N207" s="450"/>
      <c r="O207" s="450"/>
    </row>
    <row r="208" spans="11:15">
      <c r="L208" s="449">
        <v>49</v>
      </c>
      <c r="M208" s="450"/>
      <c r="N208" s="450"/>
      <c r="O208" s="450"/>
    </row>
    <row r="209" spans="11:15">
      <c r="L209" s="449">
        <v>50</v>
      </c>
      <c r="M209" s="450"/>
      <c r="N209" s="450"/>
      <c r="O209" s="450"/>
    </row>
    <row r="210" spans="11:15">
      <c r="L210" s="449">
        <v>51</v>
      </c>
      <c r="M210" s="450"/>
      <c r="N210" s="450"/>
      <c r="O210" s="450"/>
    </row>
    <row r="211" spans="11:15">
      <c r="K211" s="448">
        <v>52</v>
      </c>
      <c r="L211" s="449">
        <v>52</v>
      </c>
      <c r="M211" s="450"/>
      <c r="N211" s="450"/>
      <c r="O211" s="450"/>
    </row>
    <row r="213" spans="11:15">
      <c r="M213" s="448" t="s">
        <v>274</v>
      </c>
      <c r="N213" s="448" t="s">
        <v>275</v>
      </c>
      <c r="O213" s="448" t="s">
        <v>276</v>
      </c>
    </row>
  </sheetData>
  <mergeCells count="2">
    <mergeCell ref="A3:G3"/>
    <mergeCell ref="A35:G35"/>
  </mergeCells>
  <pageMargins left="0.70866141732283472" right="0.70866141732283472" top="1.0236220472440944" bottom="0.62992125984251968" header="0.31496062992125984" footer="0.31496062992125984"/>
  <pageSetup paperSize="9" scale="94" orientation="portrait" r:id="rId1"/>
  <headerFooter>
    <oddHeader>&amp;R&amp;7Informe de la Operación Mensual-Octubre 2019
INFSGI-MES-10-2019
18/10/2019
Versión: 01</oddHeader>
    <oddFooter>&amp;L&amp;7COES, 2019&amp;C12&amp;R&amp;7Dirección Ejecutiva
Sub Dirección de Gestión de Información</oddFooter>
  </headerFooter>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tabColor theme="4"/>
  </sheetPr>
  <dimension ref="A1:AF220"/>
  <sheetViews>
    <sheetView showGridLines="0" view="pageBreakPreview" zoomScale="115" zoomScaleNormal="100" zoomScaleSheetLayoutView="115" zoomScalePageLayoutView="130" workbookViewId="0">
      <pane ySplit="3" topLeftCell="A4" activePane="bottomLeft" state="frozen"/>
      <selection activeCell="M12" sqref="M12"/>
      <selection pane="bottomLeft" activeCell="M12" sqref="M12"/>
    </sheetView>
  </sheetViews>
  <sheetFormatPr defaultColWidth="9.33203125" defaultRowHeight="11.25"/>
  <cols>
    <col min="10" max="11" width="9.33203125" customWidth="1"/>
    <col min="13" max="16" width="9.33203125" style="448"/>
    <col min="17" max="17" width="11.6640625" style="448" bestFit="1" customWidth="1"/>
    <col min="18" max="18" width="15.1640625" style="448" customWidth="1"/>
    <col min="19" max="19" width="14.33203125" style="448" customWidth="1"/>
    <col min="20" max="20" width="14.5" style="448" customWidth="1"/>
    <col min="21" max="21" width="9.5" style="448" bestFit="1" customWidth="1"/>
    <col min="22" max="22" width="14.6640625" style="448" customWidth="1"/>
    <col min="23" max="23" width="9.5" style="448" customWidth="1"/>
    <col min="24" max="24" width="9.6640625" style="448" bestFit="1" customWidth="1"/>
    <col min="25" max="25" width="9.5" style="448" bestFit="1" customWidth="1"/>
    <col min="26" max="26" width="9.33203125" style="438"/>
    <col min="27" max="30" width="9.33203125" style="319"/>
    <col min="31" max="32" width="9.33203125" style="307"/>
  </cols>
  <sheetData>
    <row r="1" spans="1:25" ht="11.25" customHeight="1"/>
    <row r="2" spans="1:25" ht="11.25" customHeight="1">
      <c r="A2" s="320"/>
      <c r="B2" s="321"/>
      <c r="C2" s="321"/>
      <c r="D2" s="321"/>
      <c r="E2" s="321"/>
      <c r="F2" s="321"/>
      <c r="G2" s="174"/>
      <c r="H2" s="174"/>
      <c r="I2" s="132"/>
    </row>
    <row r="3" spans="1:25" ht="11.25" customHeight="1">
      <c r="A3" s="132"/>
      <c r="B3" s="132"/>
      <c r="C3" s="132"/>
      <c r="D3" s="132"/>
      <c r="E3" s="132"/>
      <c r="F3" s="132"/>
      <c r="G3" s="138"/>
      <c r="H3" s="138"/>
      <c r="I3" s="138"/>
      <c r="J3" s="148"/>
      <c r="K3" s="148"/>
      <c r="L3" s="148"/>
      <c r="O3" s="448" t="s">
        <v>273</v>
      </c>
      <c r="P3" s="449"/>
      <c r="Q3" s="448" t="s">
        <v>277</v>
      </c>
      <c r="R3" s="448" t="s">
        <v>278</v>
      </c>
      <c r="S3" s="448" t="s">
        <v>279</v>
      </c>
      <c r="T3" s="448" t="s">
        <v>280</v>
      </c>
      <c r="U3" s="448" t="s">
        <v>281</v>
      </c>
      <c r="V3" s="448" t="s">
        <v>282</v>
      </c>
      <c r="W3" s="448" t="s">
        <v>283</v>
      </c>
      <c r="X3" s="448" t="s">
        <v>284</v>
      </c>
      <c r="Y3" s="448" t="s">
        <v>285</v>
      </c>
    </row>
    <row r="4" spans="1:25" ht="11.25" customHeight="1">
      <c r="A4" s="132"/>
      <c r="B4" s="132"/>
      <c r="C4" s="132"/>
      <c r="D4" s="132"/>
      <c r="E4" s="132"/>
      <c r="F4" s="132"/>
      <c r="G4" s="138"/>
      <c r="H4" s="138"/>
      <c r="I4" s="138"/>
      <c r="J4" s="148"/>
      <c r="K4" s="148"/>
      <c r="L4" s="148"/>
      <c r="N4" s="448">
        <v>2016</v>
      </c>
      <c r="O4" s="448">
        <v>1</v>
      </c>
      <c r="P4" s="449">
        <v>1</v>
      </c>
      <c r="Q4" s="450">
        <v>12.12</v>
      </c>
      <c r="R4" s="450">
        <v>8.33</v>
      </c>
      <c r="S4" s="450">
        <v>165.03200000000001</v>
      </c>
      <c r="T4" s="450">
        <v>95.83</v>
      </c>
      <c r="U4" s="450">
        <v>18.5</v>
      </c>
      <c r="V4" s="450">
        <v>10.01</v>
      </c>
      <c r="W4" s="450">
        <v>1.23</v>
      </c>
      <c r="X4" s="450">
        <v>109.19</v>
      </c>
      <c r="Y4" s="450">
        <v>37.270000000000003</v>
      </c>
    </row>
    <row r="5" spans="1:25" ht="11.25" customHeight="1">
      <c r="A5" s="176"/>
      <c r="B5" s="176"/>
      <c r="C5" s="176"/>
      <c r="D5" s="176"/>
      <c r="E5" s="176"/>
      <c r="F5" s="176"/>
      <c r="G5" s="176"/>
      <c r="H5" s="176"/>
      <c r="I5" s="176"/>
      <c r="J5" s="24"/>
      <c r="K5" s="24"/>
      <c r="L5" s="131"/>
      <c r="P5" s="449">
        <v>2</v>
      </c>
      <c r="Q5" s="450">
        <v>10.45</v>
      </c>
      <c r="R5" s="450">
        <v>5.38</v>
      </c>
      <c r="S5" s="450">
        <v>137.04</v>
      </c>
      <c r="T5" s="450">
        <v>78.260000000000005</v>
      </c>
      <c r="U5" s="450">
        <v>13.1</v>
      </c>
      <c r="V5" s="450">
        <v>10</v>
      </c>
      <c r="W5" s="450">
        <v>1.18</v>
      </c>
      <c r="X5" s="450">
        <v>177.91</v>
      </c>
      <c r="Y5" s="450">
        <v>53.34</v>
      </c>
    </row>
    <row r="6" spans="1:25" ht="11.25" customHeight="1">
      <c r="A6" s="132"/>
      <c r="B6" s="322"/>
      <c r="C6" s="323"/>
      <c r="D6" s="324"/>
      <c r="E6" s="324"/>
      <c r="F6" s="177"/>
      <c r="G6" s="178"/>
      <c r="H6" s="178"/>
      <c r="I6" s="179"/>
      <c r="J6" s="24"/>
      <c r="K6" s="24"/>
      <c r="L6" s="19"/>
      <c r="P6" s="449">
        <v>3</v>
      </c>
      <c r="Q6" s="450">
        <v>10.396000000000001</v>
      </c>
      <c r="R6" s="450">
        <v>5.29</v>
      </c>
      <c r="S6" s="450">
        <v>102.45</v>
      </c>
      <c r="T6" s="450">
        <v>101.264</v>
      </c>
      <c r="U6" s="450">
        <v>15.26</v>
      </c>
      <c r="V6" s="450">
        <v>10.01</v>
      </c>
      <c r="W6" s="450">
        <v>1.2529999999999999</v>
      </c>
      <c r="X6" s="450">
        <v>248.28</v>
      </c>
      <c r="Y6" s="450">
        <v>76.69</v>
      </c>
    </row>
    <row r="7" spans="1:25" ht="11.25" customHeight="1">
      <c r="A7" s="132"/>
      <c r="B7" s="180"/>
      <c r="C7" s="180"/>
      <c r="D7" s="181"/>
      <c r="E7" s="181"/>
      <c r="F7" s="177"/>
      <c r="G7" s="178"/>
      <c r="H7" s="178"/>
      <c r="I7" s="179"/>
      <c r="J7" s="25"/>
      <c r="K7" s="25"/>
      <c r="L7" s="22"/>
      <c r="O7" s="448">
        <v>4</v>
      </c>
      <c r="P7" s="449">
        <v>4</v>
      </c>
      <c r="Q7" s="450">
        <v>10.32</v>
      </c>
      <c r="R7" s="450">
        <v>6.0640000000000001</v>
      </c>
      <c r="S7" s="450">
        <v>93.71</v>
      </c>
      <c r="T7" s="450">
        <v>79.73</v>
      </c>
      <c r="U7" s="450">
        <v>12.66</v>
      </c>
      <c r="V7" s="450">
        <v>10.01</v>
      </c>
      <c r="W7" s="450">
        <v>1.22</v>
      </c>
      <c r="X7" s="450">
        <v>142.55000000000001</v>
      </c>
      <c r="Y7" s="450">
        <v>40.92</v>
      </c>
    </row>
    <row r="8" spans="1:25" ht="11.25" customHeight="1">
      <c r="A8" s="132"/>
      <c r="B8" s="182"/>
      <c r="C8" s="132"/>
      <c r="D8" s="156"/>
      <c r="E8" s="156"/>
      <c r="F8" s="177"/>
      <c r="G8" s="178"/>
      <c r="H8" s="178"/>
      <c r="I8" s="179"/>
      <c r="J8" s="23"/>
      <c r="K8" s="23"/>
      <c r="L8" s="24"/>
      <c r="P8" s="449">
        <v>5</v>
      </c>
      <c r="Q8" s="450">
        <v>14.34</v>
      </c>
      <c r="R8" s="450">
        <v>9.59</v>
      </c>
      <c r="S8" s="450">
        <v>142.55000000000001</v>
      </c>
      <c r="T8" s="450">
        <v>128.66</v>
      </c>
      <c r="U8" s="450">
        <v>24.24</v>
      </c>
      <c r="V8" s="450">
        <v>10.01</v>
      </c>
      <c r="W8" s="450">
        <v>1.17</v>
      </c>
      <c r="X8" s="450">
        <v>251.59399999999999</v>
      </c>
      <c r="Y8" s="450">
        <v>58.97</v>
      </c>
    </row>
    <row r="9" spans="1:25" ht="11.25" customHeight="1">
      <c r="A9" s="132"/>
      <c r="B9" s="182"/>
      <c r="C9" s="132"/>
      <c r="D9" s="156"/>
      <c r="E9" s="156"/>
      <c r="F9" s="177"/>
      <c r="G9" s="178"/>
      <c r="H9" s="178"/>
      <c r="I9" s="179"/>
      <c r="J9" s="25"/>
      <c r="K9" s="26"/>
      <c r="L9" s="22"/>
      <c r="P9" s="449">
        <v>6</v>
      </c>
      <c r="Q9" s="450">
        <v>14.98</v>
      </c>
      <c r="R9" s="450">
        <v>12.82</v>
      </c>
      <c r="S9" s="450">
        <v>223.15</v>
      </c>
      <c r="T9" s="450">
        <v>174.87</v>
      </c>
      <c r="U9" s="450">
        <v>35.18</v>
      </c>
      <c r="V9" s="450">
        <v>9.01</v>
      </c>
      <c r="W9" s="450">
        <v>0.82</v>
      </c>
      <c r="X9" s="450">
        <v>388.05428210000002</v>
      </c>
      <c r="Y9" s="450">
        <v>80.41</v>
      </c>
    </row>
    <row r="10" spans="1:25" ht="11.25" customHeight="1">
      <c r="A10" s="132"/>
      <c r="B10" s="182"/>
      <c r="C10" s="132"/>
      <c r="D10" s="156"/>
      <c r="E10" s="156"/>
      <c r="F10" s="177"/>
      <c r="G10" s="178"/>
      <c r="H10" s="178"/>
      <c r="I10" s="179"/>
      <c r="J10" s="25"/>
      <c r="K10" s="25"/>
      <c r="L10" s="22"/>
      <c r="P10" s="449">
        <v>7</v>
      </c>
      <c r="Q10" s="450">
        <v>15.86</v>
      </c>
      <c r="R10" s="450">
        <v>12.43</v>
      </c>
      <c r="S10" s="450">
        <v>223.86</v>
      </c>
      <c r="T10" s="450">
        <v>126.56</v>
      </c>
      <c r="U10" s="450">
        <v>25.04</v>
      </c>
      <c r="V10" s="450">
        <v>9.01</v>
      </c>
      <c r="W10" s="450">
        <v>1.59</v>
      </c>
      <c r="X10" s="450">
        <v>283.21000240000001</v>
      </c>
      <c r="Y10" s="450">
        <v>53.36</v>
      </c>
    </row>
    <row r="11" spans="1:25" ht="11.25" customHeight="1">
      <c r="A11" s="132"/>
      <c r="B11" s="156"/>
      <c r="C11" s="132"/>
      <c r="D11" s="156"/>
      <c r="E11" s="156"/>
      <c r="F11" s="177"/>
      <c r="G11" s="178"/>
      <c r="H11" s="178"/>
      <c r="I11" s="179"/>
      <c r="J11" s="25"/>
      <c r="K11" s="25"/>
      <c r="L11" s="22"/>
      <c r="O11" s="448">
        <v>8</v>
      </c>
      <c r="P11" s="449">
        <v>8</v>
      </c>
      <c r="Q11" s="450">
        <v>22.12</v>
      </c>
      <c r="R11" s="450">
        <v>19.3</v>
      </c>
      <c r="S11" s="450">
        <v>297.45999999999998</v>
      </c>
      <c r="T11" s="450">
        <v>188.83</v>
      </c>
      <c r="U11" s="450">
        <v>26.72</v>
      </c>
      <c r="V11" s="450">
        <v>18.309999999999999</v>
      </c>
      <c r="W11" s="450">
        <v>14.62</v>
      </c>
      <c r="X11" s="450">
        <v>414.29357470000002</v>
      </c>
      <c r="Y11" s="450">
        <v>65.55</v>
      </c>
    </row>
    <row r="12" spans="1:25" ht="11.25" customHeight="1">
      <c r="A12" s="132"/>
      <c r="B12" s="156"/>
      <c r="C12" s="132"/>
      <c r="D12" s="156"/>
      <c r="E12" s="156"/>
      <c r="F12" s="177"/>
      <c r="G12" s="178"/>
      <c r="H12" s="178"/>
      <c r="I12" s="179"/>
      <c r="J12" s="25"/>
      <c r="K12" s="25"/>
      <c r="L12" s="22"/>
      <c r="P12" s="449">
        <v>9</v>
      </c>
      <c r="Q12" s="450">
        <v>31.986428669999999</v>
      </c>
      <c r="R12" s="450">
        <v>19.514333090000001</v>
      </c>
      <c r="S12" s="450">
        <v>326.48699649999998</v>
      </c>
      <c r="T12" s="450">
        <v>170.33500290000001</v>
      </c>
      <c r="U12" s="450">
        <v>30.940000529999999</v>
      </c>
      <c r="V12" s="450">
        <v>16.54985727582655</v>
      </c>
      <c r="W12" s="450">
        <v>7.4597144130000004</v>
      </c>
      <c r="X12" s="450">
        <v>382.60643219999997</v>
      </c>
      <c r="Y12" s="450">
        <v>72.96314185</v>
      </c>
    </row>
    <row r="13" spans="1:25" ht="11.25" customHeight="1">
      <c r="A13" s="132"/>
      <c r="B13" s="156"/>
      <c r="C13" s="132"/>
      <c r="D13" s="156"/>
      <c r="E13" s="156"/>
      <c r="F13" s="177"/>
      <c r="G13" s="178"/>
      <c r="H13" s="178"/>
      <c r="I13" s="179"/>
      <c r="J13" s="23"/>
      <c r="K13" s="23"/>
      <c r="L13" s="24"/>
      <c r="P13" s="449">
        <v>10</v>
      </c>
      <c r="Q13" s="450">
        <v>21.817856924874398</v>
      </c>
      <c r="R13" s="450">
        <v>20.1870002746582</v>
      </c>
      <c r="S13" s="450">
        <v>281.91442869999997</v>
      </c>
      <c r="T13" s="450">
        <v>164.05856977190246</v>
      </c>
      <c r="U13" s="450">
        <v>30.751428604125927</v>
      </c>
      <c r="V13" s="450">
        <v>9.5257144655499921</v>
      </c>
      <c r="W13" s="450">
        <v>2.1815714495522598</v>
      </c>
      <c r="X13" s="450">
        <v>245.78571646554084</v>
      </c>
      <c r="Y13" s="450">
        <v>47.002858298165428</v>
      </c>
    </row>
    <row r="14" spans="1:25" ht="11.25" customHeight="1">
      <c r="A14" s="132"/>
      <c r="B14" s="156"/>
      <c r="C14" s="132"/>
      <c r="D14" s="156"/>
      <c r="E14" s="156"/>
      <c r="F14" s="177"/>
      <c r="G14" s="178"/>
      <c r="H14" s="178"/>
      <c r="I14" s="179"/>
      <c r="J14" s="25"/>
      <c r="K14" s="26"/>
      <c r="L14" s="22"/>
      <c r="P14" s="449">
        <v>11</v>
      </c>
      <c r="Q14" s="450">
        <v>21.645000185285259</v>
      </c>
      <c r="R14" s="450">
        <v>18.452999932425314</v>
      </c>
      <c r="S14" s="450">
        <v>302.97000000000003</v>
      </c>
      <c r="T14" s="450">
        <v>146.11571393694155</v>
      </c>
      <c r="U14" s="450">
        <v>26.230000359671411</v>
      </c>
      <c r="V14" s="450">
        <v>10.001428604125973</v>
      </c>
      <c r="W14" s="450">
        <v>1.7041428429739771</v>
      </c>
      <c r="X14" s="450">
        <v>239.62</v>
      </c>
      <c r="Y14" s="450">
        <v>42.29</v>
      </c>
    </row>
    <row r="15" spans="1:25" ht="11.25" customHeight="1">
      <c r="A15" s="132"/>
      <c r="B15" s="156"/>
      <c r="C15" s="132"/>
      <c r="D15" s="156"/>
      <c r="E15" s="156"/>
      <c r="F15" s="177"/>
      <c r="G15" s="178"/>
      <c r="H15" s="178"/>
      <c r="I15" s="179"/>
      <c r="J15" s="25"/>
      <c r="K15" s="26"/>
      <c r="L15" s="22"/>
      <c r="O15" s="448">
        <v>12</v>
      </c>
      <c r="P15" s="449">
        <v>12</v>
      </c>
      <c r="Q15" s="450">
        <v>15.247000013078916</v>
      </c>
      <c r="R15" s="450">
        <v>12.7100000381469</v>
      </c>
      <c r="S15" s="450">
        <v>179.33771623883899</v>
      </c>
      <c r="T15" s="450">
        <v>114.18428584507485</v>
      </c>
      <c r="U15" s="450">
        <v>18.61999988555905</v>
      </c>
      <c r="V15" s="450">
        <v>9.9999999999999964</v>
      </c>
      <c r="W15" s="450">
        <v>1.2444285835538544</v>
      </c>
      <c r="X15" s="450">
        <v>150.27357046944684</v>
      </c>
      <c r="Y15" s="450">
        <v>24.915714263915959</v>
      </c>
    </row>
    <row r="16" spans="1:25" ht="11.25" customHeight="1">
      <c r="A16" s="132"/>
      <c r="B16" s="156"/>
      <c r="C16" s="132"/>
      <c r="D16" s="156"/>
      <c r="E16" s="156"/>
      <c r="F16" s="177"/>
      <c r="G16" s="178"/>
      <c r="H16" s="178"/>
      <c r="I16" s="179"/>
      <c r="J16" s="25"/>
      <c r="K16" s="26"/>
      <c r="L16" s="22"/>
      <c r="P16" s="449">
        <v>13</v>
      </c>
      <c r="Q16" s="450">
        <v>17.322999954223601</v>
      </c>
      <c r="R16" s="450">
        <v>15.171999931335399</v>
      </c>
      <c r="S16" s="450">
        <v>130.67500305175699</v>
      </c>
      <c r="T16" s="450">
        <v>89.040000915527301</v>
      </c>
      <c r="U16" s="450">
        <v>15.310000419616699</v>
      </c>
      <c r="V16" s="450">
        <v>10</v>
      </c>
      <c r="W16" s="450">
        <v>1.0199999809265099</v>
      </c>
      <c r="X16" s="450">
        <v>116.33999633789</v>
      </c>
      <c r="Y16" s="450">
        <v>24.159999847412099</v>
      </c>
    </row>
    <row r="17" spans="1:25" ht="11.25" customHeight="1">
      <c r="A17" s="132"/>
      <c r="B17" s="156"/>
      <c r="C17" s="132"/>
      <c r="D17" s="156"/>
      <c r="E17" s="156"/>
      <c r="F17" s="177"/>
      <c r="G17" s="178"/>
      <c r="H17" s="178"/>
      <c r="I17" s="179"/>
      <c r="J17" s="25"/>
      <c r="K17" s="26"/>
      <c r="L17" s="22"/>
      <c r="P17" s="449">
        <v>14</v>
      </c>
      <c r="Q17" s="450">
        <v>14.828142711094401</v>
      </c>
      <c r="R17" s="450">
        <v>13.217000007629398</v>
      </c>
      <c r="S17" s="450">
        <v>121.81457192557171</v>
      </c>
      <c r="T17" s="450">
        <v>78.037142072405103</v>
      </c>
      <c r="U17" s="450">
        <v>14.082857131957956</v>
      </c>
      <c r="V17" s="450">
        <v>10.001428604125973</v>
      </c>
      <c r="W17" s="450">
        <v>1.3691428899764975</v>
      </c>
      <c r="X17" s="450">
        <v>126.18428475516127</v>
      </c>
      <c r="Y17" s="450">
        <v>22.646999904087572</v>
      </c>
    </row>
    <row r="18" spans="1:25" ht="11.25" customHeight="1">
      <c r="A18" s="953" t="s">
        <v>510</v>
      </c>
      <c r="B18" s="953"/>
      <c r="C18" s="953"/>
      <c r="D18" s="953"/>
      <c r="E18" s="953"/>
      <c r="F18" s="953"/>
      <c r="G18" s="953"/>
      <c r="H18" s="953"/>
      <c r="I18" s="953"/>
      <c r="J18" s="953"/>
      <c r="K18" s="953"/>
      <c r="L18" s="953"/>
      <c r="P18" s="449">
        <v>15</v>
      </c>
      <c r="Q18" s="450">
        <v>15.017142977033298</v>
      </c>
      <c r="R18" s="450">
        <v>11.291000366210898</v>
      </c>
      <c r="S18" s="450">
        <v>184.69442967006074</v>
      </c>
      <c r="T18" s="450">
        <v>74.048570905412902</v>
      </c>
      <c r="U18" s="450">
        <v>17.312857082911869</v>
      </c>
      <c r="V18" s="450">
        <v>10.005714416503881</v>
      </c>
      <c r="W18" s="450">
        <v>1.6558571543012313</v>
      </c>
      <c r="X18" s="450">
        <v>140.54571315220355</v>
      </c>
      <c r="Y18" s="450">
        <v>22.742571422031897</v>
      </c>
    </row>
    <row r="19" spans="1:25" ht="11.25" customHeight="1">
      <c r="A19" s="25"/>
      <c r="B19" s="156"/>
      <c r="C19" s="132"/>
      <c r="D19" s="156"/>
      <c r="E19" s="156"/>
      <c r="F19" s="177"/>
      <c r="G19" s="178"/>
      <c r="H19" s="178"/>
      <c r="I19" s="179"/>
      <c r="J19" s="25"/>
      <c r="K19" s="26"/>
      <c r="L19" s="22"/>
      <c r="O19" s="448">
        <v>16</v>
      </c>
      <c r="P19" s="449">
        <v>16</v>
      </c>
      <c r="Q19" s="450">
        <v>13.98</v>
      </c>
      <c r="R19" s="450">
        <v>11.63</v>
      </c>
      <c r="S19" s="450">
        <v>164.52</v>
      </c>
      <c r="T19" s="450">
        <v>81.069999999999993</v>
      </c>
      <c r="U19" s="450">
        <v>21.07</v>
      </c>
      <c r="V19" s="450">
        <v>10.01</v>
      </c>
      <c r="W19" s="450">
        <v>1.27</v>
      </c>
      <c r="X19" s="450">
        <v>141.29</v>
      </c>
      <c r="Y19" s="450">
        <v>23.21</v>
      </c>
    </row>
    <row r="20" spans="1:25" ht="11.25" customHeight="1">
      <c r="A20" s="132"/>
      <c r="B20" s="156"/>
      <c r="C20" s="132"/>
      <c r="D20" s="156"/>
      <c r="E20" s="156"/>
      <c r="F20" s="177"/>
      <c r="G20" s="178"/>
      <c r="H20" s="178"/>
      <c r="I20" s="179"/>
      <c r="J20" s="25"/>
      <c r="K20" s="26"/>
      <c r="L20" s="22"/>
      <c r="P20" s="449">
        <v>17</v>
      </c>
      <c r="Q20" s="450">
        <v>12.944285669999999</v>
      </c>
      <c r="R20" s="450">
        <v>10.010000228881799</v>
      </c>
      <c r="S20" s="450">
        <v>152.88357325962556</v>
      </c>
      <c r="T20" s="450">
        <v>64.311428070000005</v>
      </c>
      <c r="U20" s="450">
        <v>16.638571469999999</v>
      </c>
      <c r="V20" s="450">
        <v>10.004285812377887</v>
      </c>
      <c r="W20" s="450">
        <v>1.7342857122421229</v>
      </c>
      <c r="X20" s="450">
        <v>105.73500061035119</v>
      </c>
      <c r="Y20" s="450">
        <v>19.724285806928286</v>
      </c>
    </row>
    <row r="21" spans="1:25" ht="11.25" customHeight="1">
      <c r="A21" s="132"/>
      <c r="B21" s="156"/>
      <c r="C21" s="132"/>
      <c r="D21" s="156"/>
      <c r="E21" s="156"/>
      <c r="F21" s="177"/>
      <c r="G21" s="178"/>
      <c r="H21" s="178"/>
      <c r="I21" s="179"/>
      <c r="J21" s="25"/>
      <c r="K21" s="29"/>
      <c r="L21" s="30"/>
      <c r="P21" s="449">
        <v>18</v>
      </c>
      <c r="Q21" s="450">
        <v>10.727142742701899</v>
      </c>
      <c r="R21" s="450">
        <v>6.3112858363560251</v>
      </c>
      <c r="S21" s="450">
        <v>98.225285121372636</v>
      </c>
      <c r="T21" s="450">
        <v>46.242857796805197</v>
      </c>
      <c r="U21" s="450">
        <v>10.637142998831566</v>
      </c>
      <c r="V21" s="450">
        <v>10.007143020629858</v>
      </c>
      <c r="W21" s="450">
        <v>1.4345714194433998</v>
      </c>
      <c r="X21" s="450">
        <v>72.620000566754968</v>
      </c>
      <c r="Y21" s="450">
        <v>14.075714383806471</v>
      </c>
    </row>
    <row r="22" spans="1:25" ht="11.25" customHeight="1">
      <c r="A22" s="137"/>
      <c r="B22" s="156"/>
      <c r="C22" s="132"/>
      <c r="D22" s="156"/>
      <c r="E22" s="156"/>
      <c r="F22" s="177"/>
      <c r="G22" s="178"/>
      <c r="H22" s="178"/>
      <c r="I22" s="179"/>
      <c r="J22" s="25"/>
      <c r="K22" s="26"/>
      <c r="L22" s="22"/>
      <c r="P22" s="449">
        <v>19</v>
      </c>
      <c r="Q22" s="450">
        <v>9.4342857088361427</v>
      </c>
      <c r="R22" s="450">
        <v>7.4910001754760689</v>
      </c>
      <c r="S22" s="450">
        <v>86.615142822265582</v>
      </c>
      <c r="T22" s="450">
        <v>41.954286302838973</v>
      </c>
      <c r="U22" s="450">
        <v>9.4342857088361427</v>
      </c>
      <c r="V22" s="450">
        <v>10.004285812377914</v>
      </c>
      <c r="W22" s="450">
        <v>1.3051428794860784</v>
      </c>
      <c r="X22" s="450">
        <v>60.497857775006928</v>
      </c>
      <c r="Y22" s="450">
        <v>12.797142846243686</v>
      </c>
    </row>
    <row r="23" spans="1:25" ht="11.25" customHeight="1">
      <c r="A23" s="137"/>
      <c r="B23" s="156"/>
      <c r="C23" s="132"/>
      <c r="D23" s="156"/>
      <c r="E23" s="156"/>
      <c r="F23" s="177"/>
      <c r="G23" s="178"/>
      <c r="H23" s="178"/>
      <c r="I23" s="179"/>
      <c r="J23" s="25"/>
      <c r="K23" s="26"/>
      <c r="L23" s="22"/>
      <c r="O23" s="448">
        <v>20</v>
      </c>
      <c r="P23" s="449">
        <v>20</v>
      </c>
      <c r="Q23" s="450">
        <v>9.1999999999999993</v>
      </c>
      <c r="R23" s="450">
        <v>6.8</v>
      </c>
      <c r="S23" s="450">
        <v>78.2</v>
      </c>
      <c r="T23" s="450">
        <v>39.6</v>
      </c>
      <c r="U23" s="450">
        <v>8.6</v>
      </c>
      <c r="V23" s="450">
        <v>10</v>
      </c>
      <c r="W23" s="450">
        <v>1.6</v>
      </c>
      <c r="X23" s="450">
        <v>56.6</v>
      </c>
      <c r="Y23" s="450">
        <v>12.9</v>
      </c>
    </row>
    <row r="24" spans="1:25" ht="11.25" customHeight="1">
      <c r="A24" s="137"/>
      <c r="B24" s="156"/>
      <c r="C24" s="132"/>
      <c r="D24" s="156"/>
      <c r="E24" s="156"/>
      <c r="F24" s="177"/>
      <c r="G24" s="178"/>
      <c r="H24" s="178"/>
      <c r="I24" s="179"/>
      <c r="J24" s="26"/>
      <c r="K24" s="26"/>
      <c r="L24" s="22"/>
      <c r="P24" s="449">
        <v>21</v>
      </c>
      <c r="Q24" s="450">
        <v>9.0128573008945967</v>
      </c>
      <c r="R24" s="450">
        <v>5.4099998474121005</v>
      </c>
      <c r="S24" s="450">
        <v>73.744141714913454</v>
      </c>
      <c r="T24" s="450">
        <v>44.79285812377924</v>
      </c>
      <c r="U24" s="450">
        <v>10.11999988555907</v>
      </c>
      <c r="V24" s="450">
        <v>10.011428560529414</v>
      </c>
      <c r="W24" s="450">
        <v>1.2349999972752113</v>
      </c>
      <c r="X24" s="450">
        <v>52.17071369716097</v>
      </c>
      <c r="Y24" s="450">
        <v>11.968571390424414</v>
      </c>
    </row>
    <row r="25" spans="1:25" ht="11.25" customHeight="1">
      <c r="A25" s="137"/>
      <c r="B25" s="156"/>
      <c r="C25" s="132"/>
      <c r="D25" s="156"/>
      <c r="E25" s="156"/>
      <c r="F25" s="177"/>
      <c r="G25" s="178"/>
      <c r="H25" s="178"/>
      <c r="I25" s="179"/>
      <c r="J25" s="25"/>
      <c r="K25" s="29"/>
      <c r="L25" s="30"/>
      <c r="P25" s="449">
        <v>22</v>
      </c>
      <c r="Q25" s="450">
        <v>7.95</v>
      </c>
      <c r="R25" s="450">
        <v>3.82</v>
      </c>
      <c r="S25" s="450">
        <v>66.739999999999995</v>
      </c>
      <c r="T25" s="450">
        <v>34.01</v>
      </c>
      <c r="U25" s="450">
        <v>8.15</v>
      </c>
      <c r="V25" s="450">
        <v>10.02</v>
      </c>
      <c r="W25" s="450">
        <v>1.52</v>
      </c>
      <c r="X25" s="450">
        <v>46.88</v>
      </c>
      <c r="Y25" s="450">
        <v>9.89</v>
      </c>
    </row>
    <row r="26" spans="1:25" ht="11.25" customHeight="1">
      <c r="A26" s="137"/>
      <c r="B26" s="156"/>
      <c r="C26" s="132"/>
      <c r="D26" s="156"/>
      <c r="E26" s="156"/>
      <c r="F26" s="138"/>
      <c r="G26" s="138"/>
      <c r="H26" s="138"/>
      <c r="I26" s="138"/>
      <c r="J26" s="23"/>
      <c r="K26" s="26"/>
      <c r="L26" s="22"/>
      <c r="P26" s="449">
        <v>23</v>
      </c>
      <c r="Q26" s="450">
        <v>7.6</v>
      </c>
      <c r="R26" s="450">
        <v>3.22</v>
      </c>
      <c r="S26" s="450">
        <v>59.4</v>
      </c>
      <c r="T26" s="450">
        <v>28.71</v>
      </c>
      <c r="U26" s="450">
        <v>7.74</v>
      </c>
      <c r="V26" s="450">
        <v>10</v>
      </c>
      <c r="W26" s="450">
        <v>1.55</v>
      </c>
      <c r="X26" s="450">
        <v>43.39</v>
      </c>
      <c r="Y26" s="450">
        <v>8.57</v>
      </c>
    </row>
    <row r="27" spans="1:25" ht="11.25" customHeight="1">
      <c r="A27" s="137"/>
      <c r="B27" s="156"/>
      <c r="C27" s="132"/>
      <c r="D27" s="156"/>
      <c r="E27" s="156"/>
      <c r="F27" s="138"/>
      <c r="G27" s="138"/>
      <c r="H27" s="138"/>
      <c r="I27" s="138"/>
      <c r="J27" s="23"/>
      <c r="K27" s="26"/>
      <c r="L27" s="22"/>
      <c r="O27" s="448">
        <v>24</v>
      </c>
      <c r="P27" s="449">
        <v>24</v>
      </c>
      <c r="Q27" s="450">
        <v>9.57</v>
      </c>
      <c r="R27" s="450">
        <v>3.42</v>
      </c>
      <c r="S27" s="450">
        <v>54.3</v>
      </c>
      <c r="T27" s="450">
        <v>30.83</v>
      </c>
      <c r="U27" s="450">
        <v>7.53</v>
      </c>
      <c r="V27" s="450">
        <v>10</v>
      </c>
      <c r="W27" s="450">
        <v>1.6</v>
      </c>
      <c r="X27" s="450">
        <v>40.28</v>
      </c>
      <c r="Y27" s="450">
        <v>9.6</v>
      </c>
    </row>
    <row r="28" spans="1:25" ht="11.25" customHeight="1">
      <c r="A28" s="136"/>
      <c r="B28" s="138"/>
      <c r="C28" s="138"/>
      <c r="D28" s="138"/>
      <c r="E28" s="138"/>
      <c r="F28" s="138"/>
      <c r="G28" s="138"/>
      <c r="H28" s="138"/>
      <c r="I28" s="138"/>
      <c r="J28" s="25"/>
      <c r="K28" s="26"/>
      <c r="L28" s="22"/>
      <c r="P28" s="449">
        <v>25</v>
      </c>
      <c r="Q28" s="450">
        <v>9.0548571179999993</v>
      </c>
      <c r="R28" s="450">
        <v>3.2130000590000001</v>
      </c>
      <c r="S28" s="450">
        <v>56.674428669999998</v>
      </c>
      <c r="T28" s="450">
        <v>25.690000260000001</v>
      </c>
      <c r="U28" s="450">
        <v>6.9342856409999998</v>
      </c>
      <c r="V28" s="450">
        <v>10.00571442</v>
      </c>
      <c r="W28" s="450">
        <v>1.254714302</v>
      </c>
      <c r="X28" s="450">
        <v>37.560714179999998</v>
      </c>
      <c r="Y28" s="450">
        <v>7.91285726</v>
      </c>
    </row>
    <row r="29" spans="1:25" ht="11.25" customHeight="1">
      <c r="A29" s="136"/>
      <c r="B29" s="138"/>
      <c r="C29" s="138"/>
      <c r="D29" s="138"/>
      <c r="E29" s="138"/>
      <c r="F29" s="138"/>
      <c r="G29" s="138"/>
      <c r="H29" s="138"/>
      <c r="I29" s="138"/>
      <c r="J29" s="25"/>
      <c r="K29" s="26"/>
      <c r="L29" s="22"/>
      <c r="P29" s="449">
        <v>26</v>
      </c>
      <c r="Q29" s="450">
        <v>8.8612857550000008</v>
      </c>
      <c r="R29" s="450">
        <v>3.5</v>
      </c>
      <c r="S29" s="450">
        <v>68.087428501674069</v>
      </c>
      <c r="T29" s="450">
        <v>30.317143300000001</v>
      </c>
      <c r="U29" s="450">
        <v>8.8971428190000008</v>
      </c>
      <c r="V29" s="450">
        <v>10</v>
      </c>
      <c r="W29" s="450">
        <v>1.4324285809999999</v>
      </c>
      <c r="X29" s="450">
        <v>37.759999409999999</v>
      </c>
      <c r="Y29" s="450">
        <v>8.911428656</v>
      </c>
    </row>
    <row r="30" spans="1:25" ht="11.25" customHeight="1">
      <c r="A30" s="136"/>
      <c r="B30" s="138"/>
      <c r="C30" s="138"/>
      <c r="D30" s="138"/>
      <c r="E30" s="138"/>
      <c r="F30" s="138"/>
      <c r="G30" s="138"/>
      <c r="H30" s="138"/>
      <c r="I30" s="138"/>
      <c r="J30" s="25"/>
      <c r="K30" s="26"/>
      <c r="L30" s="22"/>
      <c r="P30" s="449">
        <v>27</v>
      </c>
      <c r="Q30" s="450">
        <v>8.3185714990000008</v>
      </c>
      <c r="R30" s="450">
        <v>4.0900001530000001</v>
      </c>
      <c r="S30" s="450">
        <v>60.110428400000004</v>
      </c>
      <c r="T30" s="450">
        <v>28.581429350000001</v>
      </c>
      <c r="U30" s="450">
        <v>7.9442856649999998</v>
      </c>
      <c r="V30" s="450">
        <v>10.001428600000001</v>
      </c>
      <c r="W30" s="450">
        <v>1.455999987</v>
      </c>
      <c r="X30" s="450">
        <v>35.967143470000003</v>
      </c>
      <c r="Y30" s="450">
        <v>7.2057142259999996</v>
      </c>
    </row>
    <row r="31" spans="1:25" ht="11.25" customHeight="1">
      <c r="A31" s="136"/>
      <c r="B31" s="138"/>
      <c r="C31" s="138"/>
      <c r="D31" s="138"/>
      <c r="E31" s="138"/>
      <c r="F31" s="138"/>
      <c r="G31" s="138"/>
      <c r="H31" s="138"/>
      <c r="I31" s="138"/>
      <c r="J31" s="25"/>
      <c r="K31" s="26"/>
      <c r="L31" s="22"/>
      <c r="O31" s="448">
        <v>28</v>
      </c>
      <c r="P31" s="449">
        <v>28</v>
      </c>
      <c r="Q31" s="450">
        <v>7.789714268</v>
      </c>
      <c r="R31" s="450">
        <v>3.119999886</v>
      </c>
      <c r="S31" s="450">
        <v>60.986856189999997</v>
      </c>
      <c r="T31" s="450">
        <v>27.099999836512943</v>
      </c>
      <c r="U31" s="450">
        <v>7.4514284819999999</v>
      </c>
      <c r="V31" s="450">
        <v>10.0128573</v>
      </c>
      <c r="W31" s="450">
        <v>1.5508571609999999</v>
      </c>
      <c r="X31" s="450">
        <v>47.66357095</v>
      </c>
      <c r="Y31" s="450">
        <v>9.9999998639999994</v>
      </c>
    </row>
    <row r="32" spans="1:25" ht="11.25" customHeight="1">
      <c r="A32" s="136"/>
      <c r="B32" s="138"/>
      <c r="C32" s="138"/>
      <c r="D32" s="138"/>
      <c r="E32" s="138"/>
      <c r="F32" s="138"/>
      <c r="G32" s="138"/>
      <c r="H32" s="138"/>
      <c r="I32" s="138"/>
      <c r="J32" s="26"/>
      <c r="K32" s="26"/>
      <c r="L32" s="22"/>
      <c r="P32" s="449">
        <v>29</v>
      </c>
      <c r="Q32" s="450">
        <v>7.1615714349999999</v>
      </c>
      <c r="R32" s="450">
        <v>3.4249999519999998</v>
      </c>
      <c r="S32" s="450">
        <v>56.540714260000001</v>
      </c>
      <c r="T32" s="450">
        <v>23.477142610000001</v>
      </c>
      <c r="U32" s="450">
        <v>6.2828570089999998</v>
      </c>
      <c r="V32" s="450">
        <v>10.001428600000001</v>
      </c>
      <c r="W32" s="450">
        <v>2.1035714489999999</v>
      </c>
      <c r="X32" s="450">
        <v>44.25</v>
      </c>
      <c r="Y32" s="450">
        <v>6.7128572460000004</v>
      </c>
    </row>
    <row r="33" spans="1:25" ht="11.25" customHeight="1">
      <c r="A33" s="136"/>
      <c r="B33" s="138"/>
      <c r="C33" s="138"/>
      <c r="D33" s="138"/>
      <c r="E33" s="138"/>
      <c r="F33" s="138"/>
      <c r="G33" s="138"/>
      <c r="H33" s="138"/>
      <c r="I33" s="138"/>
      <c r="J33" s="25"/>
      <c r="K33" s="26"/>
      <c r="L33" s="22"/>
      <c r="P33" s="449">
        <v>30</v>
      </c>
      <c r="Q33" s="450">
        <v>6.6714285440000003</v>
      </c>
      <c r="R33" s="450">
        <v>2.8789999489999998</v>
      </c>
      <c r="S33" s="450">
        <v>65.491856709999993</v>
      </c>
      <c r="T33" s="450">
        <v>21.095714300000001</v>
      </c>
      <c r="U33" s="450">
        <v>5.8057142669999999</v>
      </c>
      <c r="V33" s="450">
        <v>10.01142883</v>
      </c>
      <c r="W33" s="450">
        <v>1.8491428750000001</v>
      </c>
      <c r="X33" s="450">
        <v>42.498571668352326</v>
      </c>
      <c r="Y33" s="450">
        <v>6.0797142300000004</v>
      </c>
    </row>
    <row r="34" spans="1:25" ht="11.25" customHeight="1">
      <c r="A34" s="136"/>
      <c r="B34" s="138"/>
      <c r="C34" s="138"/>
      <c r="D34" s="138"/>
      <c r="E34" s="138"/>
      <c r="F34" s="138"/>
      <c r="G34" s="138"/>
      <c r="H34" s="138"/>
      <c r="I34" s="138"/>
      <c r="J34" s="25"/>
      <c r="K34" s="34"/>
      <c r="L34" s="22"/>
      <c r="P34" s="449">
        <v>31</v>
      </c>
      <c r="Q34" s="450">
        <v>6.2387143543788328</v>
      </c>
      <c r="R34" s="450">
        <v>2.9382856232779297</v>
      </c>
      <c r="S34" s="450">
        <v>65.491856711251344</v>
      </c>
      <c r="T34" s="450">
        <v>20.037142889840243</v>
      </c>
      <c r="U34" s="450">
        <v>5.4814286231994549</v>
      </c>
      <c r="V34" s="450">
        <v>10.011428833007772</v>
      </c>
      <c r="W34" s="450">
        <v>1.8019999946866672</v>
      </c>
      <c r="X34" s="450">
        <v>39.98428617204933</v>
      </c>
      <c r="Y34" s="450">
        <v>4.9059999329703157</v>
      </c>
    </row>
    <row r="35" spans="1:25" ht="11.25" customHeight="1">
      <c r="A35" s="136"/>
      <c r="B35" s="138"/>
      <c r="C35" s="138"/>
      <c r="D35" s="138"/>
      <c r="E35" s="138"/>
      <c r="F35" s="138"/>
      <c r="G35" s="138"/>
      <c r="H35" s="138"/>
      <c r="I35" s="138"/>
      <c r="J35" s="25"/>
      <c r="K35" s="34"/>
      <c r="L35" s="38"/>
      <c r="O35" s="448">
        <v>32</v>
      </c>
      <c r="P35" s="449">
        <v>32</v>
      </c>
      <c r="Q35" s="450">
        <v>6.1697142459999998</v>
      </c>
      <c r="R35" s="450">
        <v>3.2030000689999998</v>
      </c>
      <c r="S35" s="450">
        <v>49.942714418571427</v>
      </c>
      <c r="T35" s="450">
        <v>23.275714059999999</v>
      </c>
      <c r="U35" s="450">
        <v>5.8257142479999997</v>
      </c>
      <c r="V35" s="450">
        <v>10.004285810000001</v>
      </c>
      <c r="W35" s="450">
        <v>1.2214285650000001</v>
      </c>
      <c r="X35" s="450">
        <v>36.654999320000002</v>
      </c>
      <c r="Y35" s="450">
        <v>4.0242800000000001</v>
      </c>
    </row>
    <row r="36" spans="1:25" ht="11.25" customHeight="1">
      <c r="A36" s="136"/>
      <c r="B36" s="138"/>
      <c r="C36" s="138"/>
      <c r="D36" s="138"/>
      <c r="E36" s="138"/>
      <c r="F36" s="138"/>
      <c r="G36" s="138"/>
      <c r="H36" s="138"/>
      <c r="I36" s="138"/>
      <c r="J36" s="25"/>
      <c r="K36" s="29"/>
      <c r="L36" s="22"/>
      <c r="P36" s="449">
        <v>33</v>
      </c>
      <c r="Q36" s="450">
        <v>6.3728570940000004</v>
      </c>
      <c r="R36" s="450">
        <v>2.841857144</v>
      </c>
      <c r="S36" s="450">
        <v>57.183571406773112</v>
      </c>
      <c r="T36" s="450">
        <v>22.619999750000002</v>
      </c>
      <c r="U36" s="450">
        <v>5.5228571210000004</v>
      </c>
      <c r="V36" s="450">
        <v>10</v>
      </c>
      <c r="W36" s="450">
        <v>1.3032857349940685</v>
      </c>
      <c r="X36" s="450">
        <v>35.152857099999999</v>
      </c>
      <c r="Y36" s="450">
        <v>4.354285752</v>
      </c>
    </row>
    <row r="37" spans="1:25" ht="11.25" customHeight="1">
      <c r="A37" s="136"/>
      <c r="B37" s="138"/>
      <c r="C37" s="138"/>
      <c r="D37" s="138"/>
      <c r="E37" s="138"/>
      <c r="F37" s="138"/>
      <c r="G37" s="138"/>
      <c r="H37" s="138"/>
      <c r="I37" s="138"/>
      <c r="J37" s="25"/>
      <c r="K37" s="29"/>
      <c r="L37" s="22"/>
      <c r="P37" s="449">
        <v>34</v>
      </c>
      <c r="Q37" s="450">
        <v>6.1195714130000001</v>
      </c>
      <c r="R37" s="450">
        <v>3.058000088</v>
      </c>
      <c r="S37" s="450">
        <v>49.366142269999997</v>
      </c>
      <c r="T37" s="450">
        <v>25.04757145</v>
      </c>
      <c r="U37" s="450">
        <v>5.8727143149999996</v>
      </c>
      <c r="V37" s="450">
        <v>10.00857162</v>
      </c>
      <c r="W37" s="450">
        <v>1.2842857160000001</v>
      </c>
      <c r="X37" s="450">
        <v>34.115715029999997</v>
      </c>
      <c r="Y37" s="450">
        <v>4.3511429509999999</v>
      </c>
    </row>
    <row r="38" spans="1:25" ht="11.25" customHeight="1">
      <c r="A38" s="136"/>
      <c r="B38" s="138"/>
      <c r="C38" s="138"/>
      <c r="D38" s="138"/>
      <c r="E38" s="138"/>
      <c r="F38" s="138"/>
      <c r="G38" s="138"/>
      <c r="H38" s="138"/>
      <c r="I38" s="138"/>
      <c r="J38" s="25"/>
      <c r="K38" s="29"/>
      <c r="L38" s="22"/>
      <c r="P38" s="449">
        <v>35</v>
      </c>
      <c r="Q38" s="450">
        <v>5.9814286230000002</v>
      </c>
      <c r="R38" s="450">
        <v>1.506999969</v>
      </c>
      <c r="S38" s="450">
        <v>56.934856959999998</v>
      </c>
      <c r="T38" s="450">
        <v>21.374285830000002</v>
      </c>
      <c r="U38" s="450">
        <v>4.9342857090000001</v>
      </c>
      <c r="V38" s="450">
        <v>10.28714289</v>
      </c>
      <c r="W38" s="450">
        <v>1.5979999810000001</v>
      </c>
      <c r="X38" s="450">
        <v>30.92</v>
      </c>
      <c r="Y38" s="450">
        <v>5.3042856629999999</v>
      </c>
    </row>
    <row r="39" spans="1:25" ht="11.25" customHeight="1">
      <c r="O39" s="448">
        <v>36</v>
      </c>
      <c r="P39" s="449">
        <v>36</v>
      </c>
      <c r="Q39" s="450">
        <v>6.03</v>
      </c>
      <c r="R39" s="450">
        <v>2.8</v>
      </c>
      <c r="S39" s="450">
        <v>48.51</v>
      </c>
      <c r="T39" s="450">
        <v>22.661428449999999</v>
      </c>
      <c r="U39" s="450">
        <v>4.9800000000000004</v>
      </c>
      <c r="V39" s="450">
        <v>11.01</v>
      </c>
      <c r="W39" s="450">
        <v>1.63</v>
      </c>
      <c r="X39" s="450">
        <v>30.922143120000001</v>
      </c>
      <c r="Y39" s="450">
        <v>7.46</v>
      </c>
    </row>
    <row r="40" spans="1:25" ht="11.25" customHeight="1">
      <c r="A40" s="953" t="s">
        <v>511</v>
      </c>
      <c r="B40" s="953"/>
      <c r="C40" s="953"/>
      <c r="D40" s="953"/>
      <c r="E40" s="953"/>
      <c r="F40" s="953"/>
      <c r="G40" s="953"/>
      <c r="H40" s="953"/>
      <c r="I40" s="953"/>
      <c r="J40" s="953"/>
      <c r="K40" s="953"/>
      <c r="L40" s="953"/>
      <c r="P40" s="449">
        <v>37</v>
      </c>
      <c r="Q40" s="450">
        <v>6.03</v>
      </c>
      <c r="R40" s="450">
        <v>2.37</v>
      </c>
      <c r="S40" s="450">
        <v>43.99</v>
      </c>
      <c r="T40" s="450">
        <v>19.149999999999999</v>
      </c>
      <c r="U40" s="450">
        <v>5.31</v>
      </c>
      <c r="V40" s="450">
        <v>11</v>
      </c>
      <c r="W40" s="450">
        <v>1.59</v>
      </c>
      <c r="X40" s="450">
        <v>29.33</v>
      </c>
      <c r="Y40" s="450">
        <v>7.79</v>
      </c>
    </row>
    <row r="41" spans="1:25" ht="11.25" customHeight="1">
      <c r="P41" s="449">
        <v>38</v>
      </c>
      <c r="Q41" s="450">
        <v>6.5951428410000004</v>
      </c>
      <c r="R41" s="450">
        <v>3.0060000420000001</v>
      </c>
      <c r="S41" s="450">
        <v>47.220570700000003</v>
      </c>
      <c r="T41" s="450">
        <v>22.304285589999999</v>
      </c>
      <c r="U41" s="450">
        <v>5.581428528</v>
      </c>
      <c r="V41" s="450">
        <v>10.85142858</v>
      </c>
      <c r="W41" s="450">
        <v>1.5402856890000001</v>
      </c>
      <c r="X41" s="450">
        <v>34.179286410000003</v>
      </c>
      <c r="Y41" s="450">
        <v>8.5442856379999998</v>
      </c>
    </row>
    <row r="42" spans="1:25" ht="11.25" customHeight="1">
      <c r="A42" s="136"/>
      <c r="B42" s="138"/>
      <c r="C42" s="138"/>
      <c r="D42" s="138"/>
      <c r="E42" s="138"/>
      <c r="F42" s="138"/>
      <c r="G42" s="138"/>
      <c r="H42" s="138"/>
      <c r="I42" s="138"/>
      <c r="O42" s="448">
        <v>39</v>
      </c>
      <c r="P42" s="449">
        <v>39</v>
      </c>
      <c r="Q42" s="450">
        <v>6.84</v>
      </c>
      <c r="R42" s="450">
        <v>3.32</v>
      </c>
      <c r="S42" s="450">
        <v>63.05</v>
      </c>
      <c r="T42" s="450">
        <v>48.7</v>
      </c>
      <c r="U42" s="450">
        <v>7.81</v>
      </c>
      <c r="V42" s="450">
        <v>11.15</v>
      </c>
      <c r="W42" s="450">
        <v>1.32</v>
      </c>
      <c r="X42" s="450">
        <v>38.82</v>
      </c>
      <c r="Y42" s="450">
        <v>6.81</v>
      </c>
    </row>
    <row r="43" spans="1:25" ht="11.25" customHeight="1">
      <c r="A43" s="136"/>
      <c r="B43" s="138"/>
      <c r="C43" s="138"/>
      <c r="D43" s="138"/>
      <c r="E43" s="138"/>
      <c r="F43" s="138"/>
      <c r="G43" s="138"/>
      <c r="H43" s="138"/>
      <c r="I43" s="138"/>
      <c r="P43" s="449">
        <v>40</v>
      </c>
      <c r="Q43" s="450">
        <v>7.6862857681428576</v>
      </c>
      <c r="R43" s="450">
        <v>3.1560000009999998</v>
      </c>
      <c r="S43" s="450">
        <v>61.54114314571428</v>
      </c>
      <c r="T43" s="450">
        <v>37.928571428999994</v>
      </c>
      <c r="U43" s="450">
        <v>7.9165713450000004</v>
      </c>
      <c r="V43" s="450">
        <v>11.005714417142856</v>
      </c>
      <c r="W43" s="450">
        <v>1.3828571522857145</v>
      </c>
      <c r="X43" s="450">
        <v>43.879284992857151</v>
      </c>
      <c r="Y43" s="450">
        <v>6.2752857208571422</v>
      </c>
    </row>
    <row r="44" spans="1:25" ht="11.25" customHeight="1">
      <c r="A44" s="136"/>
      <c r="B44" s="138"/>
      <c r="C44" s="138"/>
      <c r="D44" s="138"/>
      <c r="E44" s="138"/>
      <c r="F44" s="138"/>
      <c r="G44" s="138"/>
      <c r="H44" s="138"/>
      <c r="I44" s="138"/>
      <c r="P44" s="449">
        <v>41</v>
      </c>
      <c r="Q44" s="450">
        <v>7.1000001089913463</v>
      </c>
      <c r="R44" s="450">
        <v>2.9028571673801928</v>
      </c>
      <c r="S44" s="450">
        <v>58.117285592215353</v>
      </c>
      <c r="T44" s="450">
        <v>48.921429225376635</v>
      </c>
      <c r="U44" s="450">
        <v>8.5942858287266173</v>
      </c>
      <c r="V44" s="450">
        <v>11.002857208251914</v>
      </c>
      <c r="W44" s="450">
        <v>1.3182857036590543</v>
      </c>
      <c r="X44" s="450">
        <v>45.627857753208637</v>
      </c>
      <c r="Y44" s="450">
        <v>9.9285714966910028</v>
      </c>
    </row>
    <row r="45" spans="1:25" ht="11.25" customHeight="1">
      <c r="A45" s="136"/>
      <c r="B45" s="138"/>
      <c r="C45" s="138"/>
      <c r="D45" s="138"/>
      <c r="E45" s="138"/>
      <c r="F45" s="138"/>
      <c r="G45" s="138"/>
      <c r="H45" s="138"/>
      <c r="I45" s="138"/>
      <c r="P45" s="449">
        <v>42</v>
      </c>
      <c r="Q45" s="450">
        <v>6.7610000201428573</v>
      </c>
      <c r="R45" s="450">
        <v>2.8671428815714286</v>
      </c>
      <c r="S45" s="450">
        <v>58.888142721428572</v>
      </c>
      <c r="T45" s="450">
        <v>55.619142805714283</v>
      </c>
      <c r="U45" s="450">
        <v>9.5089999614285716</v>
      </c>
      <c r="V45" s="450">
        <v>11.007142884285715</v>
      </c>
      <c r="W45" s="450">
        <v>1.2221428497142859</v>
      </c>
      <c r="X45" s="450">
        <v>52.615000045714282</v>
      </c>
      <c r="Y45" s="450">
        <v>9.6800000322857152</v>
      </c>
    </row>
    <row r="46" spans="1:25" ht="11.25" customHeight="1">
      <c r="A46" s="136"/>
      <c r="B46" s="138"/>
      <c r="C46" s="138"/>
      <c r="D46" s="138"/>
      <c r="E46" s="138"/>
      <c r="F46" s="138"/>
      <c r="G46" s="138"/>
      <c r="H46" s="138"/>
      <c r="I46" s="138"/>
      <c r="O46" s="448">
        <v>43</v>
      </c>
      <c r="P46" s="449">
        <v>43</v>
      </c>
      <c r="Q46" s="450">
        <v>6.53</v>
      </c>
      <c r="R46" s="450">
        <v>2.37</v>
      </c>
      <c r="S46" s="450">
        <v>69.2</v>
      </c>
      <c r="T46" s="450">
        <v>54.58</v>
      </c>
      <c r="U46" s="450">
        <v>8.23</v>
      </c>
      <c r="V46" s="450">
        <v>11.01</v>
      </c>
      <c r="W46" s="450">
        <v>1.35</v>
      </c>
      <c r="X46" s="450">
        <v>50.71</v>
      </c>
      <c r="Y46" s="450">
        <v>10.33</v>
      </c>
    </row>
    <row r="47" spans="1:25" ht="11.25" customHeight="1">
      <c r="A47" s="136"/>
      <c r="B47" s="138"/>
      <c r="C47" s="138"/>
      <c r="D47" s="138"/>
      <c r="E47" s="138"/>
      <c r="F47" s="138"/>
      <c r="G47" s="138"/>
      <c r="H47" s="138"/>
      <c r="I47" s="138"/>
      <c r="P47" s="449">
        <v>44</v>
      </c>
      <c r="Q47" s="450">
        <v>7.58</v>
      </c>
      <c r="R47" s="450">
        <v>4.8899999999999997</v>
      </c>
      <c r="S47" s="450">
        <v>51.59</v>
      </c>
      <c r="T47" s="450">
        <v>57.65</v>
      </c>
      <c r="U47" s="450">
        <v>7.72</v>
      </c>
      <c r="V47" s="450">
        <v>11.01</v>
      </c>
      <c r="W47" s="450">
        <v>1.47</v>
      </c>
      <c r="X47" s="450">
        <v>48.41</v>
      </c>
      <c r="Y47" s="450">
        <v>11.29</v>
      </c>
    </row>
    <row r="48" spans="1:25">
      <c r="A48" s="136"/>
      <c r="B48" s="138"/>
      <c r="C48" s="138"/>
      <c r="D48" s="138"/>
      <c r="E48" s="138"/>
      <c r="F48" s="138"/>
      <c r="G48" s="138"/>
      <c r="H48" s="138"/>
      <c r="I48" s="138"/>
      <c r="P48" s="449">
        <v>45</v>
      </c>
      <c r="Q48" s="450">
        <v>6.95</v>
      </c>
      <c r="R48" s="450">
        <v>1.61</v>
      </c>
      <c r="S48" s="450">
        <v>72.92</v>
      </c>
      <c r="T48" s="450">
        <v>67.069999999999993</v>
      </c>
      <c r="U48" s="450">
        <v>6.9</v>
      </c>
      <c r="V48" s="450">
        <v>11</v>
      </c>
      <c r="W48" s="450">
        <v>1.42</v>
      </c>
      <c r="X48" s="450">
        <v>47.24</v>
      </c>
      <c r="Y48" s="450">
        <v>9</v>
      </c>
    </row>
    <row r="49" spans="1:25">
      <c r="A49" s="136"/>
      <c r="B49" s="138"/>
      <c r="C49" s="138"/>
      <c r="D49" s="138"/>
      <c r="E49" s="138"/>
      <c r="F49" s="138"/>
      <c r="G49" s="138"/>
      <c r="H49" s="138"/>
      <c r="I49" s="138"/>
      <c r="P49" s="449">
        <v>46</v>
      </c>
      <c r="Q49" s="450">
        <v>6.8571429249999998</v>
      </c>
      <c r="R49" s="450">
        <v>1.6428571599999999</v>
      </c>
      <c r="S49" s="450">
        <v>58.4</v>
      </c>
      <c r="T49" s="450">
        <v>34.982142860000003</v>
      </c>
      <c r="U49" s="450">
        <v>5.0667143550000002</v>
      </c>
      <c r="V49" s="450">
        <v>11.01</v>
      </c>
      <c r="W49" s="450">
        <v>1.38</v>
      </c>
      <c r="X49" s="450">
        <v>40.61</v>
      </c>
      <c r="Y49" s="450">
        <v>8.81</v>
      </c>
    </row>
    <row r="50" spans="1:25">
      <c r="A50" s="136"/>
      <c r="B50" s="138"/>
      <c r="C50" s="138"/>
      <c r="D50" s="138"/>
      <c r="E50" s="138"/>
      <c r="F50" s="138"/>
      <c r="G50" s="138"/>
      <c r="H50" s="138"/>
      <c r="I50" s="138"/>
      <c r="P50" s="449">
        <v>47</v>
      </c>
      <c r="Q50" s="450">
        <v>6.9940000260000001</v>
      </c>
      <c r="R50" s="450">
        <v>1.5142857009999999</v>
      </c>
      <c r="S50" s="450">
        <v>52.554856440000002</v>
      </c>
      <c r="T50" s="450">
        <v>29.07742855</v>
      </c>
      <c r="U50" s="450">
        <v>4.2727143420000004</v>
      </c>
      <c r="V50" s="450">
        <v>11.00286</v>
      </c>
      <c r="W50" s="450">
        <v>1.63</v>
      </c>
      <c r="X50" s="450">
        <v>41.625</v>
      </c>
      <c r="Y50" s="450">
        <v>9.3542860000000001</v>
      </c>
    </row>
    <row r="51" spans="1:25">
      <c r="A51" s="136"/>
      <c r="B51" s="138"/>
      <c r="C51" s="138"/>
      <c r="D51" s="138"/>
      <c r="E51" s="138"/>
      <c r="F51" s="138"/>
      <c r="G51" s="138"/>
      <c r="H51" s="138"/>
      <c r="I51" s="138"/>
      <c r="O51" s="448">
        <v>48</v>
      </c>
      <c r="P51" s="449">
        <v>48</v>
      </c>
      <c r="Q51" s="450">
        <v>7.1124285970000001</v>
      </c>
      <c r="R51" s="450">
        <v>1.4714285645714287</v>
      </c>
      <c r="S51" s="450">
        <v>53.429429191428575</v>
      </c>
      <c r="T51" s="450">
        <v>88.059571399999996</v>
      </c>
      <c r="U51" s="450">
        <v>7.879285812428571</v>
      </c>
      <c r="V51" s="450">
        <v>10.862857274285714</v>
      </c>
      <c r="W51" s="450">
        <v>1.6007142748571428</v>
      </c>
      <c r="X51" s="450">
        <v>41.014285495714283</v>
      </c>
      <c r="Y51" s="450">
        <v>14.194285802</v>
      </c>
    </row>
    <row r="52" spans="1:25">
      <c r="A52" s="136"/>
      <c r="B52" s="138"/>
      <c r="C52" s="138"/>
      <c r="D52" s="138"/>
      <c r="E52" s="138"/>
      <c r="F52" s="138"/>
      <c r="G52" s="138"/>
      <c r="H52" s="138"/>
      <c r="I52" s="138"/>
      <c r="P52" s="449">
        <v>49</v>
      </c>
      <c r="Q52" s="450">
        <v>8.43</v>
      </c>
      <c r="R52" s="450">
        <v>2.2400000000000002</v>
      </c>
      <c r="S52" s="450">
        <v>61.07</v>
      </c>
      <c r="T52" s="450">
        <v>106.59</v>
      </c>
      <c r="U52" s="450">
        <v>16.09</v>
      </c>
      <c r="V52" s="450">
        <v>10.5</v>
      </c>
      <c r="W52" s="450">
        <v>1.1200000000000001</v>
      </c>
      <c r="X52" s="450">
        <v>83.6</v>
      </c>
      <c r="Y52" s="450">
        <v>22.62</v>
      </c>
    </row>
    <row r="53" spans="1:25">
      <c r="A53" s="136"/>
      <c r="B53" s="138"/>
      <c r="C53" s="138"/>
      <c r="D53" s="138"/>
      <c r="E53" s="138"/>
      <c r="F53" s="138"/>
      <c r="G53" s="138"/>
      <c r="H53" s="138"/>
      <c r="I53" s="138"/>
      <c r="P53" s="449">
        <v>50</v>
      </c>
      <c r="Q53" s="450">
        <v>8.32</v>
      </c>
      <c r="R53" s="450">
        <v>2.19</v>
      </c>
      <c r="S53" s="450">
        <v>78.02</v>
      </c>
      <c r="T53" s="450">
        <v>104.79</v>
      </c>
      <c r="U53" s="450">
        <v>18.649999999999999</v>
      </c>
      <c r="V53" s="450">
        <v>10.51</v>
      </c>
      <c r="W53" s="450">
        <v>1.1399999999999999</v>
      </c>
      <c r="X53" s="450">
        <v>66.8</v>
      </c>
      <c r="Y53" s="450">
        <v>22.62</v>
      </c>
    </row>
    <row r="54" spans="1:25">
      <c r="A54" s="136"/>
      <c r="B54" s="138"/>
      <c r="C54" s="138"/>
      <c r="D54" s="138"/>
      <c r="E54" s="138"/>
      <c r="F54" s="138"/>
      <c r="G54" s="138"/>
      <c r="H54" s="138"/>
      <c r="I54" s="138"/>
      <c r="P54" s="449">
        <v>51</v>
      </c>
      <c r="Q54" s="450">
        <v>9.08</v>
      </c>
      <c r="R54" s="450">
        <v>3.71</v>
      </c>
      <c r="S54" s="450">
        <v>67.64</v>
      </c>
      <c r="T54" s="450">
        <v>69.61</v>
      </c>
      <c r="U54" s="450">
        <v>11.22</v>
      </c>
      <c r="V54" s="450">
        <v>10.5</v>
      </c>
      <c r="W54" s="450">
        <v>1.37</v>
      </c>
      <c r="X54" s="450">
        <v>55.42</v>
      </c>
      <c r="Y54" s="450">
        <v>17.489999999999998</v>
      </c>
    </row>
    <row r="55" spans="1:25">
      <c r="A55" s="136"/>
      <c r="B55" s="138"/>
      <c r="C55" s="138"/>
      <c r="D55" s="138"/>
      <c r="E55" s="138"/>
      <c r="F55" s="138"/>
      <c r="G55" s="138"/>
      <c r="H55" s="138"/>
      <c r="I55" s="138"/>
      <c r="O55" s="448">
        <v>52</v>
      </c>
      <c r="P55" s="449">
        <v>52</v>
      </c>
      <c r="Q55" s="450">
        <v>8.42</v>
      </c>
      <c r="R55" s="450">
        <v>3.57</v>
      </c>
      <c r="S55" s="450">
        <v>56.187571937142856</v>
      </c>
      <c r="T55" s="450">
        <v>58.452428545714284</v>
      </c>
      <c r="U55" s="450">
        <v>8.01</v>
      </c>
      <c r="V55" s="450">
        <v>10.507142884285715</v>
      </c>
      <c r="W55" s="450">
        <v>1.53</v>
      </c>
      <c r="X55" s="450">
        <v>59.550713675714292</v>
      </c>
      <c r="Y55" s="450">
        <v>18.608285904285712</v>
      </c>
    </row>
    <row r="56" spans="1:25">
      <c r="A56" s="136"/>
      <c r="B56" s="138"/>
      <c r="C56" s="138"/>
      <c r="D56" s="138"/>
      <c r="E56" s="138"/>
      <c r="F56" s="138"/>
      <c r="G56" s="138"/>
      <c r="H56" s="138"/>
      <c r="I56" s="138"/>
      <c r="N56" s="448">
        <v>2017</v>
      </c>
      <c r="O56" s="448">
        <v>1</v>
      </c>
      <c r="P56" s="449">
        <v>1</v>
      </c>
      <c r="Q56" s="450">
        <v>13.85</v>
      </c>
      <c r="R56" s="450">
        <v>11.3</v>
      </c>
      <c r="S56" s="450">
        <v>104.02</v>
      </c>
      <c r="T56" s="450">
        <v>148.43</v>
      </c>
      <c r="U56" s="450">
        <v>24.1</v>
      </c>
      <c r="V56" s="450">
        <v>10.220000000000001</v>
      </c>
      <c r="W56" s="450">
        <v>3.28</v>
      </c>
      <c r="X56" s="450">
        <v>89.46</v>
      </c>
      <c r="Y56" s="450">
        <v>25.43</v>
      </c>
    </row>
    <row r="57" spans="1:25">
      <c r="A57" s="136"/>
      <c r="B57" s="138"/>
      <c r="C57" s="138"/>
      <c r="D57" s="138"/>
      <c r="E57" s="138"/>
      <c r="F57" s="138"/>
      <c r="G57" s="138"/>
      <c r="H57" s="138"/>
      <c r="I57" s="138"/>
      <c r="P57" s="449">
        <v>2</v>
      </c>
      <c r="Q57" s="450">
        <v>14.96</v>
      </c>
      <c r="R57" s="450">
        <v>15.4</v>
      </c>
      <c r="S57" s="450">
        <v>143.97</v>
      </c>
      <c r="T57" s="450">
        <v>175.88</v>
      </c>
      <c r="U57" s="450">
        <v>33.74</v>
      </c>
      <c r="V57" s="450">
        <v>10.17</v>
      </c>
      <c r="W57" s="450">
        <v>6.45</v>
      </c>
      <c r="X57" s="450">
        <v>178.14</v>
      </c>
      <c r="Y57" s="450">
        <v>55.67</v>
      </c>
    </row>
    <row r="58" spans="1:25">
      <c r="A58" s="136"/>
      <c r="B58" s="138"/>
      <c r="C58" s="138"/>
      <c r="D58" s="138"/>
      <c r="E58" s="138"/>
      <c r="F58" s="138"/>
      <c r="G58" s="138"/>
      <c r="H58" s="138"/>
      <c r="I58" s="138"/>
      <c r="P58" s="449">
        <v>3</v>
      </c>
      <c r="Q58" s="450">
        <v>28.98</v>
      </c>
      <c r="R58" s="450">
        <v>21.94</v>
      </c>
      <c r="S58" s="450">
        <v>355.12</v>
      </c>
      <c r="T58" s="450">
        <v>177.57</v>
      </c>
      <c r="U58" s="450">
        <v>35.49</v>
      </c>
      <c r="V58" s="450">
        <v>10</v>
      </c>
      <c r="W58" s="450">
        <v>9.0500000000000007</v>
      </c>
      <c r="X58" s="450">
        <v>174.94</v>
      </c>
      <c r="Y58" s="450">
        <v>58.31</v>
      </c>
    </row>
    <row r="59" spans="1:25">
      <c r="A59" s="136"/>
      <c r="B59" s="138"/>
      <c r="C59" s="138"/>
      <c r="D59" s="138"/>
      <c r="E59" s="138"/>
      <c r="F59" s="138"/>
      <c r="G59" s="138"/>
      <c r="H59" s="138"/>
      <c r="I59" s="138"/>
      <c r="O59" s="448">
        <v>4</v>
      </c>
      <c r="P59" s="449">
        <v>4</v>
      </c>
      <c r="Q59" s="450">
        <v>30.46</v>
      </c>
      <c r="R59" s="450">
        <v>23.91</v>
      </c>
      <c r="S59" s="450">
        <v>519.4</v>
      </c>
      <c r="T59" s="450">
        <v>205.76</v>
      </c>
      <c r="U59" s="450">
        <v>48.48</v>
      </c>
      <c r="V59" s="450">
        <v>10</v>
      </c>
      <c r="W59" s="450">
        <v>2.4300000000000002</v>
      </c>
      <c r="X59" s="450">
        <v>141.31</v>
      </c>
      <c r="Y59" s="450">
        <v>47.49</v>
      </c>
    </row>
    <row r="60" spans="1:25">
      <c r="A60" s="136"/>
      <c r="B60" s="138"/>
      <c r="C60" s="138"/>
      <c r="D60" s="138"/>
      <c r="E60" s="138"/>
      <c r="F60" s="138"/>
      <c r="G60" s="138"/>
      <c r="H60" s="138"/>
      <c r="I60" s="138"/>
      <c r="P60" s="449">
        <v>5</v>
      </c>
      <c r="Q60" s="450">
        <v>21.36</v>
      </c>
      <c r="R60" s="450">
        <v>18.07</v>
      </c>
      <c r="S60" s="450">
        <v>330.78</v>
      </c>
      <c r="T60" s="450">
        <v>123.41</v>
      </c>
      <c r="U60" s="450">
        <v>25.33</v>
      </c>
      <c r="V60" s="450">
        <v>11.41</v>
      </c>
      <c r="W60" s="450">
        <v>2.87</v>
      </c>
      <c r="X60" s="450">
        <v>123.59</v>
      </c>
      <c r="Y60" s="450">
        <v>45.46</v>
      </c>
    </row>
    <row r="61" spans="1:25">
      <c r="A61" s="136"/>
      <c r="B61" s="138"/>
      <c r="C61" s="138"/>
      <c r="D61" s="138"/>
      <c r="E61" s="138"/>
      <c r="F61" s="138"/>
      <c r="G61" s="138"/>
      <c r="H61" s="138"/>
      <c r="I61" s="138"/>
      <c r="P61" s="449">
        <v>6</v>
      </c>
      <c r="Q61" s="450">
        <v>25.42</v>
      </c>
      <c r="R61" s="450">
        <v>21.42</v>
      </c>
      <c r="S61" s="450">
        <v>200.58</v>
      </c>
      <c r="T61" s="450">
        <v>108.48</v>
      </c>
      <c r="U61" s="450">
        <v>22.99</v>
      </c>
      <c r="V61" s="450">
        <v>10.57</v>
      </c>
      <c r="W61" s="450">
        <v>3.01</v>
      </c>
      <c r="X61" s="450">
        <v>85.48</v>
      </c>
      <c r="Y61" s="450">
        <v>28.56</v>
      </c>
    </row>
    <row r="62" spans="1:25">
      <c r="A62" s="136"/>
      <c r="B62" s="138"/>
      <c r="C62" s="138"/>
      <c r="D62" s="138"/>
      <c r="E62" s="138"/>
      <c r="F62" s="138"/>
      <c r="G62" s="138"/>
      <c r="H62" s="138"/>
      <c r="I62" s="138"/>
      <c r="P62" s="449">
        <v>7</v>
      </c>
      <c r="Q62" s="450">
        <v>35.43</v>
      </c>
      <c r="R62" s="450">
        <v>25.12</v>
      </c>
      <c r="S62" s="450">
        <v>393.69</v>
      </c>
      <c r="T62" s="450">
        <v>144.62</v>
      </c>
      <c r="U62" s="450">
        <v>39.44</v>
      </c>
      <c r="V62" s="450">
        <v>10</v>
      </c>
      <c r="W62" s="450">
        <v>2.88</v>
      </c>
      <c r="X62" s="450">
        <v>100.57</v>
      </c>
      <c r="Y62" s="450">
        <v>25.04</v>
      </c>
    </row>
    <row r="63" spans="1:25">
      <c r="A63" s="136"/>
      <c r="B63" s="138"/>
      <c r="C63" s="138"/>
      <c r="D63" s="138"/>
      <c r="E63" s="138"/>
      <c r="F63" s="138"/>
      <c r="G63" s="138"/>
      <c r="H63" s="138"/>
      <c r="I63" s="138"/>
      <c r="O63" s="448">
        <v>8</v>
      </c>
      <c r="P63" s="449">
        <v>8</v>
      </c>
      <c r="Q63" s="450">
        <v>30.45</v>
      </c>
      <c r="R63" s="450">
        <v>23.33</v>
      </c>
      <c r="S63" s="450">
        <v>345.37</v>
      </c>
      <c r="T63" s="450">
        <v>140.63</v>
      </c>
      <c r="U63" s="450">
        <v>30.47</v>
      </c>
      <c r="V63" s="450">
        <v>9.58</v>
      </c>
      <c r="W63" s="450">
        <v>2.0699999999999998</v>
      </c>
      <c r="X63" s="450">
        <v>163.72999999999999</v>
      </c>
      <c r="Y63" s="450">
        <v>58.84</v>
      </c>
    </row>
    <row r="64" spans="1:25" ht="6" customHeight="1">
      <c r="A64" s="136"/>
      <c r="B64" s="138"/>
      <c r="C64" s="138"/>
      <c r="D64" s="138"/>
      <c r="E64" s="138"/>
      <c r="F64" s="138"/>
      <c r="G64" s="138"/>
      <c r="H64" s="138"/>
      <c r="I64" s="138"/>
      <c r="P64" s="449">
        <v>9</v>
      </c>
      <c r="Q64" s="450">
        <v>37.72</v>
      </c>
      <c r="R64" s="450">
        <v>24.83</v>
      </c>
      <c r="S64" s="450">
        <v>567.22</v>
      </c>
      <c r="T64" s="450">
        <v>245.85</v>
      </c>
      <c r="U64" s="450">
        <v>67.56</v>
      </c>
      <c r="V64" s="450">
        <v>9.01</v>
      </c>
      <c r="W64" s="450">
        <v>7.33</v>
      </c>
      <c r="X64" s="450">
        <v>285.31</v>
      </c>
      <c r="Y64" s="450">
        <v>102.26</v>
      </c>
    </row>
    <row r="65" spans="1:25" ht="24.75" customHeight="1">
      <c r="A65" s="924" t="s">
        <v>512</v>
      </c>
      <c r="B65" s="924"/>
      <c r="C65" s="924"/>
      <c r="D65" s="924"/>
      <c r="E65" s="924"/>
      <c r="F65" s="924"/>
      <c r="G65" s="924"/>
      <c r="H65" s="924"/>
      <c r="I65" s="924"/>
      <c r="J65" s="924"/>
      <c r="K65" s="924"/>
      <c r="L65" s="924"/>
      <c r="P65" s="449">
        <v>10</v>
      </c>
      <c r="Q65" s="450">
        <v>36.46</v>
      </c>
      <c r="R65" s="450">
        <v>24.95</v>
      </c>
      <c r="S65" s="450">
        <v>467.04</v>
      </c>
      <c r="T65" s="450">
        <v>188.01</v>
      </c>
      <c r="U65" s="450">
        <v>50.5</v>
      </c>
      <c r="V65" s="450">
        <v>10.06</v>
      </c>
      <c r="W65" s="450">
        <v>3.71</v>
      </c>
      <c r="X65" s="450">
        <v>374.33</v>
      </c>
      <c r="Y65" s="450">
        <v>83.74</v>
      </c>
    </row>
    <row r="66" spans="1:25" ht="20.25" customHeight="1">
      <c r="P66" s="449">
        <v>11</v>
      </c>
      <c r="Q66" s="450">
        <v>35.590000000000003</v>
      </c>
      <c r="R66" s="450">
        <v>26.89</v>
      </c>
      <c r="S66" s="450">
        <v>448.3</v>
      </c>
      <c r="T66" s="450">
        <v>169.95</v>
      </c>
      <c r="U66" s="450">
        <v>51.21</v>
      </c>
      <c r="V66" s="450">
        <v>26.15</v>
      </c>
      <c r="W66" s="450">
        <v>8.66</v>
      </c>
      <c r="X66" s="450">
        <v>219.86</v>
      </c>
      <c r="Y66" s="450">
        <v>62.42</v>
      </c>
    </row>
    <row r="67" spans="1:25">
      <c r="O67" s="448">
        <v>12</v>
      </c>
      <c r="P67" s="449">
        <v>12</v>
      </c>
      <c r="Q67" s="450">
        <v>37.82</v>
      </c>
      <c r="R67" s="450">
        <v>20.6</v>
      </c>
      <c r="S67" s="450">
        <v>350.87</v>
      </c>
      <c r="T67" s="450">
        <v>146.01</v>
      </c>
      <c r="U67" s="450">
        <v>38.08</v>
      </c>
      <c r="V67" s="450">
        <v>12.43</v>
      </c>
      <c r="W67" s="450">
        <v>5.63</v>
      </c>
      <c r="X67" s="450">
        <v>190.11</v>
      </c>
      <c r="Y67" s="450">
        <v>52.01</v>
      </c>
    </row>
    <row r="68" spans="1:25">
      <c r="P68" s="449">
        <v>13</v>
      </c>
      <c r="Q68" s="450">
        <v>35.93</v>
      </c>
      <c r="R68" s="450">
        <v>24.02</v>
      </c>
      <c r="S68" s="450">
        <v>380.48</v>
      </c>
      <c r="T68" s="450">
        <v>173.02</v>
      </c>
      <c r="U68" s="450">
        <v>38.869999999999997</v>
      </c>
      <c r="V68" s="450">
        <v>11.98</v>
      </c>
      <c r="W68" s="450">
        <v>5.83</v>
      </c>
      <c r="X68" s="450">
        <v>272.08999999999997</v>
      </c>
      <c r="Y68" s="450">
        <v>65.430000000000007</v>
      </c>
    </row>
    <row r="69" spans="1:25">
      <c r="P69" s="449">
        <v>14</v>
      </c>
      <c r="Q69" s="450">
        <v>42.9</v>
      </c>
      <c r="R69" s="450">
        <v>17.87</v>
      </c>
      <c r="S69" s="450">
        <v>427.28</v>
      </c>
      <c r="T69" s="450">
        <v>137.65</v>
      </c>
      <c r="U69" s="450">
        <v>35.950000000000003</v>
      </c>
      <c r="V69" s="450">
        <v>28.72</v>
      </c>
      <c r="W69" s="450">
        <v>4.95</v>
      </c>
      <c r="X69" s="450">
        <v>301.82</v>
      </c>
      <c r="Y69" s="450">
        <v>71.06</v>
      </c>
    </row>
    <row r="70" spans="1:25">
      <c r="P70" s="449">
        <v>15</v>
      </c>
      <c r="Q70" s="450">
        <v>31.19</v>
      </c>
      <c r="R70" s="450">
        <v>17.87</v>
      </c>
      <c r="S70" s="450">
        <v>334.14</v>
      </c>
      <c r="T70" s="450">
        <v>129.9</v>
      </c>
      <c r="U70" s="450">
        <v>29.93</v>
      </c>
      <c r="V70" s="450">
        <v>16.28</v>
      </c>
      <c r="W70" s="450">
        <v>1.82</v>
      </c>
      <c r="X70" s="450">
        <v>203.49</v>
      </c>
      <c r="Y70" s="450">
        <v>77.099999999999994</v>
      </c>
    </row>
    <row r="71" spans="1:25">
      <c r="O71" s="448">
        <v>16</v>
      </c>
      <c r="P71" s="449">
        <v>16</v>
      </c>
      <c r="Q71" s="450">
        <v>22.8</v>
      </c>
      <c r="R71" s="450">
        <v>11.46</v>
      </c>
      <c r="S71" s="450">
        <v>218.96</v>
      </c>
      <c r="T71" s="450">
        <v>100.66</v>
      </c>
      <c r="U71" s="450">
        <v>21.85</v>
      </c>
      <c r="V71" s="450">
        <v>15.43</v>
      </c>
      <c r="W71" s="450">
        <v>2.33</v>
      </c>
      <c r="X71" s="450">
        <v>155.33000000000001</v>
      </c>
      <c r="Y71" s="450">
        <v>48.77</v>
      </c>
    </row>
    <row r="72" spans="1:25">
      <c r="P72" s="449">
        <v>17</v>
      </c>
      <c r="Q72" s="450">
        <v>20.18</v>
      </c>
      <c r="R72" s="450">
        <v>11.46</v>
      </c>
      <c r="S72" s="450">
        <v>180.47</v>
      </c>
      <c r="T72" s="450">
        <v>91.24</v>
      </c>
      <c r="U72" s="450">
        <v>18.89</v>
      </c>
      <c r="V72" s="450">
        <v>12.29</v>
      </c>
      <c r="W72" s="450">
        <v>1.9</v>
      </c>
      <c r="X72" s="450">
        <v>111.37</v>
      </c>
      <c r="Y72" s="450">
        <v>34.409999999999997</v>
      </c>
    </row>
    <row r="73" spans="1:25">
      <c r="P73" s="449">
        <v>18</v>
      </c>
      <c r="Q73" s="450">
        <v>19.84</v>
      </c>
      <c r="R73" s="450">
        <v>10.36</v>
      </c>
      <c r="S73" s="450">
        <v>212.89</v>
      </c>
      <c r="T73" s="450">
        <v>98.95</v>
      </c>
      <c r="U73" s="450">
        <v>19.899999999999999</v>
      </c>
      <c r="V73" s="450">
        <v>11.64</v>
      </c>
      <c r="W73" s="450">
        <v>1.46</v>
      </c>
      <c r="X73" s="450">
        <v>117.05</v>
      </c>
      <c r="Y73" s="450">
        <v>28.8</v>
      </c>
    </row>
    <row r="74" spans="1:25">
      <c r="P74" s="449">
        <v>19</v>
      </c>
      <c r="Q74" s="450">
        <v>21.4</v>
      </c>
      <c r="R74" s="450">
        <v>9.25</v>
      </c>
      <c r="S74" s="450">
        <v>199.54</v>
      </c>
      <c r="T74" s="450">
        <v>89.02</v>
      </c>
      <c r="U74" s="450">
        <v>15.9</v>
      </c>
      <c r="V74" s="450">
        <v>11</v>
      </c>
      <c r="W74" s="450">
        <v>1.36</v>
      </c>
      <c r="X74" s="450">
        <v>79.2</v>
      </c>
      <c r="Y74" s="450">
        <v>22.78</v>
      </c>
    </row>
    <row r="75" spans="1:25">
      <c r="O75" s="448">
        <v>20</v>
      </c>
      <c r="P75" s="449">
        <v>20</v>
      </c>
      <c r="Q75" s="450">
        <v>17.23</v>
      </c>
      <c r="R75" s="450">
        <v>6.32</v>
      </c>
      <c r="S75" s="450">
        <v>136.84</v>
      </c>
      <c r="T75" s="450">
        <v>72.95</v>
      </c>
      <c r="U75" s="450">
        <v>15.03</v>
      </c>
      <c r="V75" s="450">
        <v>11</v>
      </c>
      <c r="W75" s="450">
        <v>1.98</v>
      </c>
      <c r="X75" s="450">
        <v>69.37</v>
      </c>
      <c r="Y75" s="450">
        <v>17.8</v>
      </c>
    </row>
    <row r="76" spans="1:25">
      <c r="P76" s="449">
        <v>21</v>
      </c>
      <c r="Q76" s="450">
        <v>16.09</v>
      </c>
      <c r="R76" s="450">
        <v>6.32</v>
      </c>
      <c r="S76" s="450">
        <v>116.86</v>
      </c>
      <c r="T76" s="450">
        <v>99.42</v>
      </c>
      <c r="U76" s="450">
        <v>20.059999999999999</v>
      </c>
      <c r="V76" s="450">
        <v>11.01</v>
      </c>
      <c r="W76" s="450">
        <v>1.6</v>
      </c>
      <c r="X76" s="450">
        <v>68.8</v>
      </c>
      <c r="Y76" s="450">
        <v>17.84</v>
      </c>
    </row>
    <row r="77" spans="1:25">
      <c r="P77" s="449">
        <v>22</v>
      </c>
      <c r="Q77" s="450">
        <v>15.1</v>
      </c>
      <c r="R77" s="450">
        <v>5.59</v>
      </c>
      <c r="S77" s="450">
        <v>118.58</v>
      </c>
      <c r="T77" s="450">
        <v>79.099999999999994</v>
      </c>
      <c r="U77" s="450">
        <v>16</v>
      </c>
      <c r="V77" s="450">
        <v>11</v>
      </c>
      <c r="W77" s="450">
        <v>1.01</v>
      </c>
      <c r="X77" s="450">
        <v>69.05</v>
      </c>
      <c r="Y77" s="450">
        <v>16.37</v>
      </c>
    </row>
    <row r="78" spans="1:25">
      <c r="P78" s="449">
        <v>23</v>
      </c>
      <c r="Q78" s="450">
        <v>14.28</v>
      </c>
      <c r="R78" s="450">
        <v>4.8499999999999996</v>
      </c>
      <c r="S78" s="450">
        <v>112.05</v>
      </c>
      <c r="T78" s="450">
        <v>63.27</v>
      </c>
      <c r="U78" s="450">
        <v>13.78</v>
      </c>
      <c r="V78" s="450">
        <v>11</v>
      </c>
      <c r="W78" s="450">
        <v>1.82</v>
      </c>
      <c r="X78" s="450">
        <v>54.09</v>
      </c>
      <c r="Y78" s="450">
        <v>13.15</v>
      </c>
    </row>
    <row r="79" spans="1:25">
      <c r="O79" s="448">
        <v>24</v>
      </c>
      <c r="P79" s="449">
        <v>24</v>
      </c>
      <c r="Q79" s="450">
        <v>13.3</v>
      </c>
      <c r="R79" s="450">
        <v>4.8499999999999996</v>
      </c>
      <c r="S79" s="450">
        <v>91.62</v>
      </c>
      <c r="T79" s="450">
        <v>49.79</v>
      </c>
      <c r="U79" s="450">
        <v>11.29</v>
      </c>
      <c r="V79" s="450">
        <v>11</v>
      </c>
      <c r="W79" s="450">
        <v>1.89</v>
      </c>
      <c r="X79" s="450">
        <v>45.31</v>
      </c>
      <c r="Y79" s="450">
        <v>10.85</v>
      </c>
    </row>
    <row r="80" spans="1:25">
      <c r="P80" s="449">
        <v>25</v>
      </c>
      <c r="Q80" s="450">
        <v>12.63</v>
      </c>
      <c r="R80" s="450">
        <v>3.77</v>
      </c>
      <c r="S80" s="450">
        <v>81.33</v>
      </c>
      <c r="T80" s="450">
        <v>46.74</v>
      </c>
      <c r="U80" s="450">
        <v>10.02</v>
      </c>
      <c r="V80" s="450">
        <v>11</v>
      </c>
      <c r="W80" s="450">
        <v>1.77</v>
      </c>
      <c r="X80" s="450">
        <v>40.42</v>
      </c>
      <c r="Y80" s="450">
        <v>8.98</v>
      </c>
    </row>
    <row r="81" spans="15:25">
      <c r="P81" s="449">
        <v>26</v>
      </c>
      <c r="Q81" s="450">
        <v>11.92</v>
      </c>
      <c r="R81" s="450">
        <v>3.77</v>
      </c>
      <c r="S81" s="450">
        <v>80.900000000000006</v>
      </c>
      <c r="T81" s="450">
        <v>41.45</v>
      </c>
      <c r="U81" s="450">
        <v>9.24</v>
      </c>
      <c r="V81" s="450">
        <v>12</v>
      </c>
      <c r="W81" s="450">
        <v>1.86</v>
      </c>
      <c r="X81" s="450">
        <v>37.89</v>
      </c>
      <c r="Y81" s="450">
        <v>9.41</v>
      </c>
    </row>
    <row r="82" spans="15:25">
      <c r="P82" s="449">
        <v>27</v>
      </c>
      <c r="Q82" s="450">
        <v>11.92</v>
      </c>
      <c r="R82" s="450">
        <v>3.91</v>
      </c>
      <c r="S82" s="450">
        <v>82.99</v>
      </c>
      <c r="T82" s="450">
        <v>60.31</v>
      </c>
      <c r="U82" s="450">
        <v>9.73</v>
      </c>
      <c r="V82" s="450">
        <v>12</v>
      </c>
      <c r="W82" s="450">
        <v>1.9</v>
      </c>
      <c r="X82" s="450">
        <v>38.229999999999997</v>
      </c>
      <c r="Y82" s="450">
        <v>8.58</v>
      </c>
    </row>
    <row r="83" spans="15:25">
      <c r="O83" s="448">
        <v>28</v>
      </c>
      <c r="P83" s="449">
        <v>28</v>
      </c>
      <c r="Q83" s="450">
        <v>11.04</v>
      </c>
      <c r="R83" s="450">
        <v>3.91</v>
      </c>
      <c r="S83" s="450">
        <v>71.739999999999995</v>
      </c>
      <c r="T83" s="450">
        <v>39.090000000000003</v>
      </c>
      <c r="U83" s="450">
        <v>8.42</v>
      </c>
      <c r="V83" s="450">
        <v>12</v>
      </c>
      <c r="W83" s="450">
        <v>1.65</v>
      </c>
      <c r="X83" s="450">
        <v>33.9</v>
      </c>
      <c r="Y83" s="450">
        <v>6.64</v>
      </c>
    </row>
    <row r="84" spans="15:25">
      <c r="P84" s="449">
        <v>29</v>
      </c>
      <c r="Q84" s="450">
        <v>10.27</v>
      </c>
      <c r="R84" s="450">
        <v>3.42</v>
      </c>
      <c r="S84" s="450">
        <v>67.8</v>
      </c>
      <c r="T84" s="450">
        <v>32.590000000000003</v>
      </c>
      <c r="U84" s="450">
        <v>7.7</v>
      </c>
      <c r="V84" s="450">
        <v>10.51</v>
      </c>
      <c r="W84" s="450">
        <v>1.79</v>
      </c>
      <c r="X84" s="450">
        <v>31.97</v>
      </c>
      <c r="Y84" s="450">
        <v>6.49</v>
      </c>
    </row>
    <row r="85" spans="15:25">
      <c r="P85" s="449">
        <v>30</v>
      </c>
      <c r="Q85" s="450">
        <v>9.4700000000000006</v>
      </c>
      <c r="R85" s="450">
        <v>3.42</v>
      </c>
      <c r="S85" s="450">
        <v>69.62</v>
      </c>
      <c r="T85" s="450">
        <v>28.39</v>
      </c>
      <c r="U85" s="450">
        <v>7.39</v>
      </c>
      <c r="V85" s="450">
        <v>12</v>
      </c>
      <c r="W85" s="450">
        <v>1.64</v>
      </c>
      <c r="X85" s="450">
        <v>31.76</v>
      </c>
      <c r="Y85" s="450">
        <v>6.15</v>
      </c>
    </row>
    <row r="86" spans="15:25">
      <c r="P86" s="449">
        <v>31</v>
      </c>
      <c r="Q86" s="450">
        <v>9.0500000000000007</v>
      </c>
      <c r="R86" s="450">
        <v>3.3</v>
      </c>
      <c r="S86" s="450">
        <v>61.71</v>
      </c>
      <c r="T86" s="450">
        <v>26.51</v>
      </c>
      <c r="U86" s="450">
        <v>7.02</v>
      </c>
      <c r="V86" s="450">
        <v>12</v>
      </c>
      <c r="W86" s="450">
        <v>1.87</v>
      </c>
      <c r="X86" s="450">
        <v>31.68</v>
      </c>
      <c r="Y86" s="450">
        <v>5.51</v>
      </c>
    </row>
    <row r="87" spans="15:25">
      <c r="O87" s="448">
        <v>32</v>
      </c>
      <c r="P87" s="449">
        <v>32</v>
      </c>
      <c r="Q87" s="450">
        <v>9.9</v>
      </c>
      <c r="R87" s="450">
        <v>2.68</v>
      </c>
      <c r="S87" s="450">
        <v>65.38</v>
      </c>
      <c r="T87" s="450">
        <v>24.1</v>
      </c>
      <c r="U87" s="450">
        <v>6.7</v>
      </c>
      <c r="V87" s="450">
        <v>12</v>
      </c>
      <c r="W87" s="450">
        <v>1.95</v>
      </c>
      <c r="X87" s="450">
        <v>31.01</v>
      </c>
      <c r="Y87" s="450">
        <v>5.16</v>
      </c>
    </row>
    <row r="88" spans="15:25">
      <c r="P88" s="449">
        <v>33</v>
      </c>
      <c r="Q88" s="450">
        <v>9.17</v>
      </c>
      <c r="R88" s="450">
        <v>2.4300000000000002</v>
      </c>
      <c r="S88" s="450">
        <v>59.63</v>
      </c>
      <c r="T88" s="450">
        <v>24.29</v>
      </c>
      <c r="U88" s="450">
        <v>6.44</v>
      </c>
      <c r="V88" s="450">
        <v>12</v>
      </c>
      <c r="W88" s="450">
        <v>1.82</v>
      </c>
      <c r="X88" s="450">
        <v>30.23</v>
      </c>
      <c r="Y88" s="450">
        <v>5.27</v>
      </c>
    </row>
    <row r="89" spans="15:25">
      <c r="P89" s="449">
        <v>34</v>
      </c>
      <c r="Q89" s="450">
        <v>7.78</v>
      </c>
      <c r="R89" s="450">
        <v>2.61</v>
      </c>
      <c r="S89" s="450">
        <v>60.62</v>
      </c>
      <c r="T89" s="450">
        <v>25.9</v>
      </c>
      <c r="U89" s="450">
        <v>6.62</v>
      </c>
      <c r="V89" s="450">
        <v>12</v>
      </c>
      <c r="W89" s="450">
        <v>1.89</v>
      </c>
      <c r="X89" s="450">
        <v>32.17</v>
      </c>
      <c r="Y89" s="450">
        <v>5.0599999999999996</v>
      </c>
    </row>
    <row r="90" spans="15:25">
      <c r="P90" s="449">
        <v>35</v>
      </c>
      <c r="Q90" s="450">
        <v>7.73</v>
      </c>
      <c r="R90" s="450">
        <v>3.07</v>
      </c>
      <c r="S90" s="450">
        <v>58.47</v>
      </c>
      <c r="T90" s="450">
        <v>26.33</v>
      </c>
      <c r="U90" s="450">
        <v>6.66</v>
      </c>
      <c r="V90" s="450">
        <v>12.14</v>
      </c>
      <c r="W90" s="450">
        <v>1.97</v>
      </c>
      <c r="X90" s="450">
        <v>31.63</v>
      </c>
      <c r="Y90" s="450">
        <v>4.84</v>
      </c>
    </row>
    <row r="91" spans="15:25">
      <c r="O91" s="448">
        <v>36</v>
      </c>
      <c r="P91" s="449">
        <v>36</v>
      </c>
      <c r="Q91" s="450">
        <v>7.1</v>
      </c>
      <c r="R91" s="450">
        <v>3.57</v>
      </c>
      <c r="S91" s="450">
        <v>61.13</v>
      </c>
      <c r="T91" s="450">
        <v>27.35</v>
      </c>
      <c r="U91" s="450">
        <v>6.84</v>
      </c>
      <c r="V91" s="450">
        <v>13</v>
      </c>
      <c r="W91" s="450">
        <v>1.76</v>
      </c>
      <c r="X91" s="450">
        <v>34.090000000000003</v>
      </c>
      <c r="Y91" s="450">
        <v>4.8899999999999997</v>
      </c>
    </row>
    <row r="92" spans="15:25">
      <c r="P92" s="449">
        <v>37</v>
      </c>
      <c r="Q92" s="450">
        <v>7.53</v>
      </c>
      <c r="R92" s="450">
        <v>5.04</v>
      </c>
      <c r="S92" s="450">
        <v>59.93</v>
      </c>
      <c r="T92" s="450">
        <v>34.56</v>
      </c>
      <c r="U92" s="450">
        <v>7.96</v>
      </c>
      <c r="V92" s="450">
        <v>13</v>
      </c>
      <c r="W92" s="450">
        <v>1.7</v>
      </c>
      <c r="X92" s="450">
        <v>38.06</v>
      </c>
      <c r="Y92" s="450">
        <v>8.4</v>
      </c>
    </row>
    <row r="93" spans="15:25">
      <c r="P93" s="449">
        <v>38</v>
      </c>
      <c r="Q93" s="450">
        <v>9.73</v>
      </c>
      <c r="R93" s="450">
        <v>3.75</v>
      </c>
      <c r="S93" s="450">
        <v>64.319999999999993</v>
      </c>
      <c r="T93" s="450">
        <v>41.74</v>
      </c>
      <c r="U93" s="450">
        <v>9.43</v>
      </c>
      <c r="V93" s="450">
        <v>13</v>
      </c>
      <c r="W93" s="450">
        <v>1.77</v>
      </c>
      <c r="X93" s="450">
        <v>41.12</v>
      </c>
      <c r="Y93" s="450">
        <v>6.42</v>
      </c>
    </row>
    <row r="94" spans="15:25">
      <c r="O94" s="448">
        <v>39</v>
      </c>
      <c r="P94" s="449">
        <v>39</v>
      </c>
      <c r="Q94" s="450">
        <v>7.21</v>
      </c>
      <c r="R94" s="450">
        <v>3.83</v>
      </c>
      <c r="S94" s="450">
        <v>66.83</v>
      </c>
      <c r="T94" s="450">
        <v>46.48</v>
      </c>
      <c r="U94" s="450">
        <v>7.93</v>
      </c>
      <c r="V94" s="450">
        <v>13</v>
      </c>
      <c r="W94" s="450">
        <v>1.99</v>
      </c>
      <c r="X94" s="450">
        <v>33.06</v>
      </c>
      <c r="Y94" s="450">
        <v>7.98</v>
      </c>
    </row>
    <row r="95" spans="15:25">
      <c r="P95" s="449">
        <v>40</v>
      </c>
      <c r="Q95" s="450">
        <v>6.89</v>
      </c>
      <c r="R95" s="450">
        <v>3.2</v>
      </c>
      <c r="S95" s="450">
        <v>56.32</v>
      </c>
      <c r="T95" s="450">
        <v>28.11</v>
      </c>
      <c r="U95" s="450">
        <v>6.02</v>
      </c>
      <c r="V95" s="450">
        <v>13</v>
      </c>
      <c r="W95" s="450">
        <v>1.48</v>
      </c>
      <c r="X95" s="450">
        <v>35.54</v>
      </c>
      <c r="Y95" s="450">
        <v>5.32</v>
      </c>
    </row>
    <row r="96" spans="15:25">
      <c r="P96" s="449">
        <v>41</v>
      </c>
      <c r="Q96" s="450">
        <v>7.51</v>
      </c>
      <c r="R96" s="450">
        <v>3.26</v>
      </c>
      <c r="S96" s="450">
        <v>57.18</v>
      </c>
      <c r="T96" s="450">
        <v>32.11</v>
      </c>
      <c r="U96" s="450">
        <v>6.5</v>
      </c>
      <c r="V96" s="450">
        <v>13</v>
      </c>
      <c r="W96" s="450">
        <v>1.53</v>
      </c>
      <c r="X96" s="450">
        <v>37.47</v>
      </c>
      <c r="Y96" s="450">
        <v>4.95</v>
      </c>
    </row>
    <row r="97" spans="14:25">
      <c r="P97" s="449">
        <v>42</v>
      </c>
      <c r="Q97" s="450">
        <v>7.92</v>
      </c>
      <c r="R97" s="450">
        <v>3.59</v>
      </c>
      <c r="S97" s="450">
        <v>71.87</v>
      </c>
      <c r="T97" s="450">
        <v>64.69</v>
      </c>
      <c r="U97" s="450">
        <v>9.44</v>
      </c>
      <c r="V97" s="450">
        <v>13</v>
      </c>
      <c r="W97" s="450">
        <v>1.93</v>
      </c>
      <c r="X97" s="450">
        <v>52.42</v>
      </c>
      <c r="Y97" s="450">
        <v>7.39</v>
      </c>
    </row>
    <row r="98" spans="14:25">
      <c r="O98" s="448">
        <v>43</v>
      </c>
      <c r="P98" s="449">
        <v>43</v>
      </c>
      <c r="Q98" s="450">
        <v>9.16</v>
      </c>
      <c r="R98" s="450">
        <v>3.99</v>
      </c>
      <c r="S98" s="450">
        <v>73.22</v>
      </c>
      <c r="T98" s="450">
        <v>71.16</v>
      </c>
      <c r="U98" s="450">
        <v>8.8800000000000008</v>
      </c>
      <c r="V98" s="450">
        <v>13</v>
      </c>
      <c r="W98" s="450">
        <v>1.69</v>
      </c>
      <c r="X98" s="450">
        <v>43.93</v>
      </c>
      <c r="Y98" s="450">
        <v>6.18</v>
      </c>
    </row>
    <row r="99" spans="14:25">
      <c r="P99" s="449">
        <v>44</v>
      </c>
      <c r="Q99" s="450">
        <v>8.81</v>
      </c>
      <c r="R99" s="450">
        <v>5.0199999999999996</v>
      </c>
      <c r="S99" s="450">
        <v>75.150000000000006</v>
      </c>
      <c r="T99" s="450">
        <v>62.33</v>
      </c>
      <c r="U99" s="450">
        <v>10.59</v>
      </c>
      <c r="V99" s="450">
        <v>13</v>
      </c>
      <c r="W99" s="450">
        <v>1.65</v>
      </c>
      <c r="X99" s="450">
        <v>40.229999999999997</v>
      </c>
      <c r="Y99" s="450">
        <v>8.7899999999999991</v>
      </c>
    </row>
    <row r="100" spans="14:25">
      <c r="P100" s="449">
        <v>45</v>
      </c>
      <c r="Q100" s="450">
        <v>8.3800000000000008</v>
      </c>
      <c r="R100" s="450">
        <v>4.2</v>
      </c>
      <c r="S100" s="450">
        <v>67.39</v>
      </c>
      <c r="T100" s="450">
        <v>61.76</v>
      </c>
      <c r="U100" s="450">
        <v>10.039999999999999</v>
      </c>
      <c r="V100" s="450">
        <v>13</v>
      </c>
      <c r="W100" s="450">
        <v>1.51</v>
      </c>
      <c r="X100" s="450">
        <v>41.85</v>
      </c>
      <c r="Y100" s="450">
        <v>11.45</v>
      </c>
    </row>
    <row r="101" spans="14:25">
      <c r="P101" s="449">
        <v>46</v>
      </c>
      <c r="Q101" s="450">
        <v>7.55</v>
      </c>
      <c r="R101" s="450">
        <v>3.7</v>
      </c>
      <c r="S101" s="450">
        <v>66.959999999999994</v>
      </c>
      <c r="T101" s="450">
        <v>66.040000000000006</v>
      </c>
      <c r="U101" s="450">
        <v>8.7799999999999994</v>
      </c>
      <c r="V101" s="450">
        <v>13</v>
      </c>
      <c r="W101" s="450">
        <v>1.65</v>
      </c>
      <c r="X101" s="450">
        <v>70.849999999999994</v>
      </c>
      <c r="Y101" s="450">
        <v>14.58</v>
      </c>
    </row>
    <row r="102" spans="14:25">
      <c r="P102" s="449">
        <v>47</v>
      </c>
      <c r="Q102" s="450">
        <v>7.39</v>
      </c>
      <c r="R102" s="450">
        <v>3.85</v>
      </c>
      <c r="S102" s="450">
        <v>67.72</v>
      </c>
      <c r="T102" s="450">
        <v>52.82</v>
      </c>
      <c r="U102" s="450">
        <v>7.81</v>
      </c>
      <c r="V102" s="450">
        <v>13</v>
      </c>
      <c r="W102" s="450">
        <v>1.6</v>
      </c>
      <c r="X102" s="450">
        <v>64.819999999999993</v>
      </c>
      <c r="Y102" s="450">
        <v>12.14</v>
      </c>
    </row>
    <row r="103" spans="14:25">
      <c r="O103" s="448">
        <v>48</v>
      </c>
      <c r="P103" s="449">
        <v>48</v>
      </c>
      <c r="Q103" s="450">
        <v>7.9678571564285718</v>
      </c>
      <c r="R103" s="450">
        <v>3.558142900428571</v>
      </c>
      <c r="S103" s="450">
        <v>77.366571698571434</v>
      </c>
      <c r="T103" s="450">
        <v>66.577285762857144</v>
      </c>
      <c r="U103" s="450">
        <v>9.1851428580000007</v>
      </c>
      <c r="V103" s="450">
        <v>13.005714417142858</v>
      </c>
      <c r="W103" s="450">
        <v>1.6</v>
      </c>
      <c r="X103" s="450">
        <v>47.846427917142854</v>
      </c>
      <c r="Y103" s="450">
        <v>12.516714369142859</v>
      </c>
    </row>
    <row r="104" spans="14:25">
      <c r="P104" s="449">
        <v>49</v>
      </c>
      <c r="Q104" s="450">
        <v>8.4875713758571436</v>
      </c>
      <c r="R104" s="450">
        <v>3.2600000074285718</v>
      </c>
      <c r="S104" s="450">
        <v>84.55585806714285</v>
      </c>
      <c r="T104" s="450">
        <v>72.732000077142857</v>
      </c>
      <c r="U104" s="450">
        <v>14.04828548342857</v>
      </c>
      <c r="V104" s="450">
        <v>13.002857208571429</v>
      </c>
      <c r="W104" s="450">
        <v>1.6</v>
      </c>
      <c r="X104" s="450">
        <v>57.322143555714298</v>
      </c>
      <c r="Y104" s="450">
        <v>18.826999800000003</v>
      </c>
    </row>
    <row r="105" spans="14:25">
      <c r="P105" s="449">
        <v>50</v>
      </c>
      <c r="Q105" s="450">
        <v>8.7257142747142868</v>
      </c>
      <c r="R105" s="450">
        <v>3.4628571441428577</v>
      </c>
      <c r="S105" s="450">
        <v>77.460142951428566</v>
      </c>
      <c r="T105" s="450">
        <v>64.097142899999994</v>
      </c>
      <c r="U105" s="450">
        <v>11.032857077571427</v>
      </c>
      <c r="V105" s="450">
        <v>13</v>
      </c>
      <c r="W105" s="450">
        <v>1.6000000240000001</v>
      </c>
      <c r="X105" s="450">
        <v>51.470714571428573</v>
      </c>
      <c r="Y105" s="450">
        <v>20.280285972857143</v>
      </c>
    </row>
    <row r="106" spans="14:25">
      <c r="P106" s="449">
        <v>51</v>
      </c>
      <c r="Q106" s="450">
        <v>9.7215715127142861</v>
      </c>
      <c r="R106" s="450">
        <v>4.2539999484285715</v>
      </c>
      <c r="S106" s="450">
        <v>78.166143688571424</v>
      </c>
      <c r="T106" s="450">
        <v>94.237856191428577</v>
      </c>
      <c r="U106" s="450">
        <v>14.381428445285712</v>
      </c>
      <c r="V106" s="450">
        <v>13.01285743857143</v>
      </c>
      <c r="W106" s="450">
        <v>1.6257142851428572</v>
      </c>
      <c r="X106" s="450">
        <v>65.58357184285714</v>
      </c>
      <c r="Y106" s="450">
        <v>34.849000112857141</v>
      </c>
    </row>
    <row r="107" spans="14:25">
      <c r="O107" s="448">
        <v>52</v>
      </c>
      <c r="P107" s="449">
        <v>52</v>
      </c>
      <c r="Q107" s="450">
        <v>10.323285784571427</v>
      </c>
      <c r="R107" s="450">
        <v>4.6457142829999993</v>
      </c>
      <c r="S107" s="450">
        <v>86.972714017142849</v>
      </c>
      <c r="T107" s="450">
        <v>94.357285634285716</v>
      </c>
      <c r="U107" s="450">
        <v>13.293999945714287</v>
      </c>
      <c r="V107" s="450">
        <v>13.09681579142857</v>
      </c>
      <c r="W107" s="450">
        <v>1.644999981</v>
      </c>
      <c r="X107" s="450">
        <v>104.27285767571428</v>
      </c>
      <c r="Y107" s="450">
        <v>35.335714887142856</v>
      </c>
    </row>
    <row r="108" spans="14:25">
      <c r="N108" s="448">
        <v>2018</v>
      </c>
      <c r="O108" s="448">
        <v>1</v>
      </c>
      <c r="P108" s="449">
        <v>1</v>
      </c>
      <c r="Q108" s="450">
        <v>10.34</v>
      </c>
      <c r="R108" s="450">
        <v>4.4628571428571426</v>
      </c>
      <c r="S108" s="450">
        <v>140.04142857142858</v>
      </c>
      <c r="T108" s="450">
        <v>143.09</v>
      </c>
      <c r="U108" s="450">
        <v>20.63</v>
      </c>
      <c r="V108" s="450">
        <v>13</v>
      </c>
      <c r="W108" s="450">
        <v>1.64</v>
      </c>
      <c r="X108" s="450">
        <v>201.2428571428571</v>
      </c>
      <c r="Y108" s="450">
        <v>63.23</v>
      </c>
    </row>
    <row r="109" spans="14:25">
      <c r="P109" s="449">
        <v>2</v>
      </c>
      <c r="Q109" s="450">
        <v>13.730999947142859</v>
      </c>
      <c r="R109" s="450">
        <v>3.5944285392857145</v>
      </c>
      <c r="S109" s="450">
        <v>209.91800362857143</v>
      </c>
      <c r="T109" s="450">
        <v>160.98214394285716</v>
      </c>
      <c r="U109" s="450">
        <v>36.213856559999996</v>
      </c>
      <c r="V109" s="450">
        <v>11.774285724285715</v>
      </c>
      <c r="W109" s="450">
        <v>1.5914286031428568</v>
      </c>
      <c r="X109" s="450">
        <v>229.4250030571429</v>
      </c>
      <c r="Y109" s="450">
        <v>56.654285431428562</v>
      </c>
    </row>
    <row r="110" spans="14:25">
      <c r="P110" s="449">
        <v>3</v>
      </c>
      <c r="Q110" s="450">
        <v>15.983285902857142</v>
      </c>
      <c r="R110" s="450">
        <v>8.3045714242857152</v>
      </c>
      <c r="S110" s="450">
        <v>223.6645725857143</v>
      </c>
      <c r="T110" s="450">
        <v>190.44042751428574</v>
      </c>
      <c r="U110" s="450">
        <v>30.819142750000001</v>
      </c>
      <c r="V110" s="450">
        <v>11.857142857142858</v>
      </c>
      <c r="W110" s="450">
        <v>1.5814286125714285</v>
      </c>
      <c r="X110" s="450">
        <v>261.56357028571426</v>
      </c>
      <c r="Y110" s="450">
        <v>68.516428267142857</v>
      </c>
    </row>
    <row r="111" spans="14:25">
      <c r="O111" s="448">
        <v>4</v>
      </c>
      <c r="P111" s="449">
        <v>4</v>
      </c>
      <c r="Q111" s="450">
        <v>21.988571574285714</v>
      </c>
      <c r="R111" s="450">
        <v>15.598142828000002</v>
      </c>
      <c r="S111" s="450">
        <v>346.88342720000003</v>
      </c>
      <c r="T111" s="450">
        <v>205.5832868285714</v>
      </c>
      <c r="U111" s="450">
        <v>40.893000467142862</v>
      </c>
      <c r="V111" s="450">
        <v>18.734285627142857</v>
      </c>
      <c r="W111" s="450">
        <v>1.5700000519999997</v>
      </c>
      <c r="X111" s="450">
        <v>261.98000009999998</v>
      </c>
      <c r="Y111" s="450">
        <v>58.935427530000005</v>
      </c>
    </row>
    <row r="112" spans="14:25">
      <c r="P112" s="449">
        <v>5</v>
      </c>
      <c r="Q112" s="450">
        <v>17.729000225714284</v>
      </c>
      <c r="R112" s="450">
        <v>13.724571365714285</v>
      </c>
      <c r="S112" s="450">
        <v>214.95928737142859</v>
      </c>
      <c r="T112" s="450">
        <v>93.607142857142861</v>
      </c>
      <c r="U112" s="450">
        <v>17.748285841428572</v>
      </c>
      <c r="V112" s="450">
        <v>23.390000208571426</v>
      </c>
      <c r="W112" s="450">
        <v>1.5700000519999997</v>
      </c>
      <c r="X112" s="450">
        <v>141.83571514285714</v>
      </c>
      <c r="Y112" s="450">
        <v>45.332857951428579</v>
      </c>
    </row>
    <row r="113" spans="15:25">
      <c r="P113" s="449">
        <v>6</v>
      </c>
      <c r="Q113" s="450">
        <v>13.582571572857143</v>
      </c>
      <c r="R113" s="450">
        <v>8.6634286477142854</v>
      </c>
      <c r="S113" s="450">
        <v>166.34242902857142</v>
      </c>
      <c r="T113" s="450">
        <v>108.25571334000001</v>
      </c>
      <c r="U113" s="450">
        <v>18.79157175142857</v>
      </c>
      <c r="V113" s="450">
        <v>20.201017107142857</v>
      </c>
      <c r="W113" s="450">
        <v>2.3694285491428571</v>
      </c>
      <c r="X113" s="450">
        <v>164.55714089999998</v>
      </c>
      <c r="Y113" s="450">
        <v>65.987571171428584</v>
      </c>
    </row>
    <row r="114" spans="15:25">
      <c r="P114" s="449">
        <v>7</v>
      </c>
      <c r="Q114" s="450">
        <v>14.722571237142859</v>
      </c>
      <c r="R114" s="450">
        <v>11.071428435428571</v>
      </c>
      <c r="S114" s="450">
        <v>239.50057330000001</v>
      </c>
      <c r="T114" s="450">
        <v>202.98199900000003</v>
      </c>
      <c r="U114" s="450">
        <v>42.088571821428573</v>
      </c>
      <c r="V114" s="450">
        <v>15.283185821428571</v>
      </c>
      <c r="W114" s="450">
        <v>3.1689999100000001</v>
      </c>
      <c r="X114" s="450">
        <v>355.31285748571423</v>
      </c>
      <c r="Y114" s="450">
        <v>97.722999031428586</v>
      </c>
    </row>
    <row r="115" spans="15:25">
      <c r="O115" s="448">
        <v>8</v>
      </c>
      <c r="P115" s="449">
        <v>8</v>
      </c>
      <c r="Q115" s="450">
        <v>18.48</v>
      </c>
      <c r="R115" s="450">
        <v>14.97</v>
      </c>
      <c r="S115" s="450">
        <v>357.61814662857148</v>
      </c>
      <c r="T115" s="450">
        <v>251.1</v>
      </c>
      <c r="U115" s="450">
        <v>43.74</v>
      </c>
      <c r="V115" s="450">
        <v>16.564</v>
      </c>
      <c r="W115" s="450">
        <v>3.16</v>
      </c>
      <c r="X115" s="450">
        <v>437.78</v>
      </c>
      <c r="Y115" s="450">
        <v>142.13</v>
      </c>
    </row>
    <row r="116" spans="15:25">
      <c r="P116" s="449">
        <v>9</v>
      </c>
      <c r="Q116" s="450">
        <v>21.652428627142854</v>
      </c>
      <c r="R116" s="450">
        <v>14.185285431142857</v>
      </c>
      <c r="S116" s="450">
        <v>333.90885488571433</v>
      </c>
      <c r="T116" s="450">
        <v>204.95843285714287</v>
      </c>
      <c r="U116" s="450">
        <v>31.755000522857138</v>
      </c>
      <c r="V116" s="450">
        <v>15.852976190476195</v>
      </c>
      <c r="W116" s="450">
        <v>3.1689999100000001</v>
      </c>
      <c r="X116" s="450">
        <v>424.14571271428576</v>
      </c>
      <c r="Y116" s="450">
        <v>142.13857270714286</v>
      </c>
    </row>
    <row r="117" spans="15:25">
      <c r="P117" s="449">
        <v>10</v>
      </c>
      <c r="Q117" s="450">
        <v>30.272714344285713</v>
      </c>
      <c r="R117" s="450">
        <v>17.434571538571429</v>
      </c>
      <c r="S117" s="450">
        <v>431.64157101428572</v>
      </c>
      <c r="T117" s="450">
        <v>177.15485925714287</v>
      </c>
      <c r="U117" s="450">
        <v>31.196571622857142</v>
      </c>
      <c r="V117" s="450">
        <v>14.442</v>
      </c>
      <c r="W117" s="450">
        <v>4.7437142644285712</v>
      </c>
      <c r="X117" s="450">
        <v>293.69142804285718</v>
      </c>
      <c r="Y117" s="450">
        <v>72.30971418</v>
      </c>
    </row>
    <row r="118" spans="15:25">
      <c r="P118" s="449">
        <v>11</v>
      </c>
      <c r="Q118" s="450">
        <v>28.071857179999999</v>
      </c>
      <c r="R118" s="450">
        <v>17.048571724285715</v>
      </c>
      <c r="S118" s="450">
        <v>485.98543439999997</v>
      </c>
      <c r="T118" s="450">
        <v>169.375</v>
      </c>
      <c r="U118" s="450">
        <v>52.626284462857136</v>
      </c>
      <c r="V118" s="450">
        <v>18.273</v>
      </c>
      <c r="W118" s="450">
        <v>3.0879999738571429</v>
      </c>
      <c r="X118" s="450">
        <v>511.54500034285724</v>
      </c>
      <c r="Y118" s="450">
        <v>119.7894287057143</v>
      </c>
    </row>
    <row r="119" spans="15:25">
      <c r="O119" s="448">
        <v>12</v>
      </c>
      <c r="P119" s="449">
        <v>12</v>
      </c>
      <c r="Q119" s="450">
        <v>29.90999984714286</v>
      </c>
      <c r="R119" s="450">
        <v>21.62</v>
      </c>
      <c r="S119" s="450">
        <v>465.24414497142863</v>
      </c>
      <c r="T119" s="450">
        <v>201.58328465714288</v>
      </c>
      <c r="U119" s="450">
        <v>57.669144221428567</v>
      </c>
      <c r="V119" s="450">
        <v>23.244</v>
      </c>
      <c r="W119" s="450">
        <v>4.5095714328571432</v>
      </c>
      <c r="X119" s="450">
        <v>433.89143152857145</v>
      </c>
      <c r="Y119" s="450">
        <v>152.80443028571429</v>
      </c>
    </row>
    <row r="120" spans="15:25">
      <c r="P120" s="449">
        <v>13</v>
      </c>
      <c r="Q120" s="450">
        <v>28.360142844285718</v>
      </c>
      <c r="R120" s="450">
        <v>17.439428465714283</v>
      </c>
      <c r="S120" s="450">
        <v>396.37686155714289</v>
      </c>
      <c r="T120" s="450">
        <v>163.75585502857143</v>
      </c>
      <c r="U120" s="450">
        <v>35.725570951428573</v>
      </c>
      <c r="V120" s="450">
        <v>23.143392837142859</v>
      </c>
      <c r="W120" s="450">
        <v>3.3929999999999998</v>
      </c>
      <c r="X120" s="450">
        <v>281.79928587142859</v>
      </c>
      <c r="Y120" s="450">
        <v>107.32928468714286</v>
      </c>
    </row>
    <row r="121" spans="15:25">
      <c r="P121" s="449">
        <v>14</v>
      </c>
      <c r="Q121" s="450">
        <v>23.830285752857144</v>
      </c>
      <c r="R121" s="450">
        <v>12.833285604571429</v>
      </c>
      <c r="S121" s="450">
        <v>226.32643345714288</v>
      </c>
      <c r="T121" s="450">
        <v>133.53585814285714</v>
      </c>
      <c r="U121" s="450">
        <v>28.622000282857147</v>
      </c>
      <c r="V121" s="450">
        <v>19.16</v>
      </c>
      <c r="W121" s="450">
        <v>1.736</v>
      </c>
      <c r="X121" s="450">
        <v>176.23214502857144</v>
      </c>
      <c r="Y121" s="450">
        <v>80.936570849999995</v>
      </c>
    </row>
    <row r="122" spans="15:25">
      <c r="P122" s="449">
        <v>15</v>
      </c>
      <c r="Q122" s="450">
        <v>27</v>
      </c>
      <c r="R122" s="450">
        <v>15.571285655714286</v>
      </c>
      <c r="S122" s="450">
        <v>207.40800040000002</v>
      </c>
      <c r="T122" s="450">
        <v>107.59514291428572</v>
      </c>
      <c r="U122" s="450">
        <v>30.753999982857145</v>
      </c>
      <c r="V122" s="450">
        <v>14.377143042857142</v>
      </c>
      <c r="W122" s="450">
        <v>1.8612856864285716</v>
      </c>
      <c r="X122" s="450">
        <v>130.09</v>
      </c>
      <c r="Y122" s="450">
        <v>42.693143572857146</v>
      </c>
    </row>
    <row r="123" spans="15:25">
      <c r="O123" s="448">
        <v>16</v>
      </c>
      <c r="P123" s="449">
        <v>16</v>
      </c>
      <c r="Q123" s="450">
        <v>19.899999999999999</v>
      </c>
      <c r="R123" s="450">
        <v>12.83</v>
      </c>
      <c r="S123" s="450">
        <v>166.38871437142856</v>
      </c>
      <c r="T123" s="450">
        <v>95.78</v>
      </c>
      <c r="U123" s="450">
        <v>29.88</v>
      </c>
      <c r="V123" s="450">
        <v>12.36</v>
      </c>
      <c r="W123" s="450">
        <v>1.9</v>
      </c>
      <c r="X123" s="450">
        <v>96.9</v>
      </c>
      <c r="Y123" s="450">
        <v>33.717142651428574</v>
      </c>
    </row>
    <row r="124" spans="15:25">
      <c r="P124" s="449">
        <v>17</v>
      </c>
      <c r="Q124" s="450">
        <v>19.14</v>
      </c>
      <c r="R124" s="450">
        <v>13.52</v>
      </c>
      <c r="S124" s="450">
        <v>168.19342804285716</v>
      </c>
      <c r="T124" s="450">
        <v>95.39</v>
      </c>
      <c r="U124" s="450">
        <v>22.257285525714284</v>
      </c>
      <c r="V124" s="450">
        <v>13.4</v>
      </c>
      <c r="W124" s="450">
        <v>1.7940000124285713</v>
      </c>
      <c r="X124" s="450">
        <v>89.59</v>
      </c>
      <c r="Y124" s="450">
        <v>27.06</v>
      </c>
    </row>
    <row r="125" spans="15:25">
      <c r="P125" s="449">
        <v>18</v>
      </c>
      <c r="Q125" s="450">
        <v>19.703571455714286</v>
      </c>
      <c r="R125" s="450">
        <v>14.166857039571427</v>
      </c>
      <c r="S125" s="450">
        <v>171.5428597714286</v>
      </c>
      <c r="T125" s="450">
        <v>85.958285739999994</v>
      </c>
      <c r="U125" s="450">
        <v>21.651714052857141</v>
      </c>
      <c r="V125" s="450">
        <v>12.785805702857145</v>
      </c>
      <c r="W125" s="450">
        <v>2.3024285860000004</v>
      </c>
      <c r="X125" s="450">
        <v>89.602142331428567</v>
      </c>
      <c r="Y125" s="450">
        <v>22.269714081428571</v>
      </c>
    </row>
    <row r="126" spans="15:25">
      <c r="P126" s="449">
        <v>19</v>
      </c>
      <c r="Q126" s="450">
        <v>15.48828561</v>
      </c>
      <c r="R126" s="450">
        <v>12.650857108142857</v>
      </c>
      <c r="S126" s="450">
        <v>146.54485865714287</v>
      </c>
      <c r="T126" s="450">
        <v>88.244000028571435</v>
      </c>
      <c r="U126" s="450">
        <v>19.037142890000002</v>
      </c>
      <c r="V126" s="450">
        <v>11.328391347142857</v>
      </c>
      <c r="W126" s="450">
        <v>1.8057142665714285</v>
      </c>
      <c r="X126" s="450">
        <v>75.568572998571426</v>
      </c>
      <c r="Y126" s="450">
        <v>17.565999711428571</v>
      </c>
    </row>
    <row r="127" spans="15:25">
      <c r="O127" s="448">
        <v>20</v>
      </c>
      <c r="P127" s="449">
        <v>20</v>
      </c>
      <c r="Q127" s="450">
        <v>14.601142882857145</v>
      </c>
      <c r="R127" s="450">
        <v>10.013285772</v>
      </c>
      <c r="S127" s="450">
        <v>112.76242937142857</v>
      </c>
      <c r="T127" s="450">
        <v>64.809571402857145</v>
      </c>
      <c r="U127" s="450">
        <v>16.531571660000001</v>
      </c>
      <c r="V127" s="450">
        <v>10.899261474285714</v>
      </c>
      <c r="W127" s="450">
        <v>1.7767143248571429</v>
      </c>
      <c r="X127" s="450">
        <v>62.208570752857149</v>
      </c>
      <c r="Y127" s="450">
        <v>14.502285821428572</v>
      </c>
    </row>
    <row r="128" spans="15:25">
      <c r="P128" s="449">
        <v>21</v>
      </c>
      <c r="Q128" s="450">
        <v>13.411285537142858</v>
      </c>
      <c r="R128" s="450">
        <v>7.8631429672857154</v>
      </c>
      <c r="S128" s="450">
        <v>94.636570517142857</v>
      </c>
      <c r="T128" s="450">
        <v>49.303714208571428</v>
      </c>
      <c r="U128" s="450">
        <v>13.450571468571427</v>
      </c>
      <c r="V128" s="450">
        <v>11.166911400000002</v>
      </c>
      <c r="W128" s="450">
        <v>1.8437143055714282</v>
      </c>
      <c r="X128" s="450">
        <v>54.38714218285714</v>
      </c>
      <c r="Y128" s="450">
        <v>12.214999879999999</v>
      </c>
    </row>
    <row r="129" spans="15:26">
      <c r="P129" s="449">
        <v>22</v>
      </c>
      <c r="Q129" s="450">
        <v>12.490285737142855</v>
      </c>
      <c r="R129" s="450">
        <v>6.4215714250000007</v>
      </c>
      <c r="S129" s="450">
        <v>81.718714031428576</v>
      </c>
      <c r="T129" s="450">
        <v>42.928571428571431</v>
      </c>
      <c r="U129" s="450">
        <v>11.897571562857141</v>
      </c>
      <c r="V129" s="450">
        <v>10.57333578442857</v>
      </c>
      <c r="W129" s="450">
        <v>1.8770000252857142</v>
      </c>
      <c r="X129" s="450">
        <v>48.837857382857138</v>
      </c>
      <c r="Y129" s="450">
        <v>10.894571441428569</v>
      </c>
    </row>
    <row r="130" spans="15:26">
      <c r="P130" s="449">
        <v>23</v>
      </c>
      <c r="Q130" s="450">
        <v>12.278000014285713</v>
      </c>
      <c r="R130" s="450">
        <v>5.5577142921428564</v>
      </c>
      <c r="S130" s="450">
        <v>83.760285512857152</v>
      </c>
      <c r="T130" s="450">
        <v>67.797571451428567</v>
      </c>
      <c r="U130" s="450">
        <v>15.801714215714284</v>
      </c>
      <c r="V130" s="450">
        <v>11.341294289999999</v>
      </c>
      <c r="W130" s="450">
        <v>1.7928571701428571</v>
      </c>
      <c r="X130" s="450">
        <v>58.175000328571436</v>
      </c>
      <c r="Y130" s="450">
        <v>13.860571451428571</v>
      </c>
    </row>
    <row r="131" spans="15:26">
      <c r="O131" s="448">
        <v>24</v>
      </c>
      <c r="P131" s="449">
        <v>24</v>
      </c>
      <c r="Q131" s="450">
        <v>10.882714271142857</v>
      </c>
      <c r="R131" s="450">
        <v>5.3317142215714286</v>
      </c>
      <c r="S131" s="450">
        <v>82.799001421428557</v>
      </c>
      <c r="T131" s="450">
        <v>63.982142857142854</v>
      </c>
      <c r="U131" s="450">
        <v>15.595999989999999</v>
      </c>
      <c r="V131" s="450">
        <v>11.96411841142857</v>
      </c>
      <c r="W131" s="450">
        <v>2.0252857377142854</v>
      </c>
      <c r="X131" s="450">
        <v>61.988572801428582</v>
      </c>
      <c r="Y131" s="450">
        <v>13.392856871428572</v>
      </c>
    </row>
    <row r="132" spans="15:26">
      <c r="P132" s="449">
        <v>25</v>
      </c>
      <c r="Q132" s="450">
        <v>10.290999957142857</v>
      </c>
      <c r="R132" s="450">
        <v>3.7498572211428569</v>
      </c>
      <c r="S132" s="450">
        <v>74.093855721428568</v>
      </c>
      <c r="T132" s="450">
        <v>53.035571505714287</v>
      </c>
      <c r="U132" s="450">
        <v>14.135857038571428</v>
      </c>
      <c r="V132" s="450">
        <v>11.79</v>
      </c>
      <c r="W132" s="450">
        <v>2.0514285564285717</v>
      </c>
      <c r="X132" s="450">
        <v>51.970714024285719</v>
      </c>
      <c r="Y132" s="450">
        <v>10.749428476857142</v>
      </c>
    </row>
    <row r="133" spans="15:26">
      <c r="P133" s="449">
        <v>26</v>
      </c>
      <c r="Q133" s="450">
        <v>9.5591429302857147</v>
      </c>
      <c r="R133" s="450">
        <v>3.5651427677142853</v>
      </c>
      <c r="S133" s="450">
        <v>66.795142037142867</v>
      </c>
      <c r="T133" s="450">
        <v>40.369000025714286</v>
      </c>
      <c r="U133" s="450">
        <v>10.912428581428573</v>
      </c>
      <c r="V133" s="450">
        <v>10.93</v>
      </c>
      <c r="W133" s="450">
        <v>2.1038571597142854</v>
      </c>
      <c r="X133" s="450">
        <v>44.390714371428579</v>
      </c>
      <c r="Y133" s="450">
        <v>9.1145714351428584</v>
      </c>
    </row>
    <row r="134" spans="15:26">
      <c r="P134" s="449">
        <v>27</v>
      </c>
      <c r="Q134" s="450">
        <v>9.3137141635714293</v>
      </c>
      <c r="R134" s="450">
        <v>4.7600000245714282</v>
      </c>
      <c r="S134" s="450">
        <v>67.368571689999996</v>
      </c>
      <c r="T134" s="450">
        <v>33.409999999999997</v>
      </c>
      <c r="U134" s="450">
        <v>9.4035714009999989</v>
      </c>
      <c r="V134" s="450">
        <v>12.51</v>
      </c>
      <c r="W134" s="450">
        <v>2.0499999999999998</v>
      </c>
      <c r="X134" s="450">
        <v>39.173571994285716</v>
      </c>
      <c r="Y134" s="450">
        <v>7.6487142698571438</v>
      </c>
    </row>
    <row r="135" spans="15:26">
      <c r="O135" s="448">
        <v>28</v>
      </c>
      <c r="P135" s="449">
        <v>28</v>
      </c>
      <c r="Q135" s="450">
        <v>8.7544284548571447</v>
      </c>
      <c r="R135" s="450">
        <v>2.5707143034285713</v>
      </c>
      <c r="S135" s="450">
        <v>65.073571887142847</v>
      </c>
      <c r="T135" s="450">
        <v>33.160714285714285</v>
      </c>
      <c r="U135" s="450">
        <v>9.4155716217142871</v>
      </c>
      <c r="V135" s="450">
        <v>12.3</v>
      </c>
      <c r="W135" s="450">
        <v>2.2505714212857142</v>
      </c>
      <c r="X135" s="450">
        <v>36.999285560000011</v>
      </c>
      <c r="Y135" s="450">
        <v>7.0544285774285713</v>
      </c>
    </row>
    <row r="136" spans="15:26">
      <c r="P136" s="449">
        <v>29</v>
      </c>
      <c r="Q136" s="450">
        <v>8.6149000000000004</v>
      </c>
      <c r="R136" s="450">
        <v>3.7006000000000001</v>
      </c>
      <c r="S136" s="450">
        <v>62.515714285714289</v>
      </c>
      <c r="T136" s="450">
        <v>35.738</v>
      </c>
      <c r="U136" s="450">
        <v>9.5503999999999998</v>
      </c>
      <c r="V136" s="450">
        <v>12.245714285714286</v>
      </c>
      <c r="W136" s="450">
        <v>1.9771428571428571</v>
      </c>
      <c r="X136" s="450">
        <v>38.677142857142861</v>
      </c>
      <c r="Y136" s="450">
        <v>6.3400000000000007</v>
      </c>
    </row>
    <row r="137" spans="15:26">
      <c r="P137" s="449">
        <v>30</v>
      </c>
      <c r="Q137" s="450">
        <v>8.1221428598571439</v>
      </c>
      <c r="R137" s="450">
        <v>4.9111429789999992</v>
      </c>
      <c r="S137" s="450">
        <v>57.148857115714286</v>
      </c>
      <c r="T137" s="450">
        <v>85.065429679999994</v>
      </c>
      <c r="U137" s="450">
        <v>15.534142631428571</v>
      </c>
      <c r="V137" s="450">
        <v>10.995952741142858</v>
      </c>
      <c r="W137" s="450">
        <v>2.2859999964285715</v>
      </c>
      <c r="X137" s="450">
        <v>56.166428702857139</v>
      </c>
      <c r="Y137" s="450">
        <v>9.4385714285714304</v>
      </c>
    </row>
    <row r="138" spans="15:26">
      <c r="P138" s="449">
        <v>31</v>
      </c>
      <c r="Q138" s="450">
        <v>7.5620000000000003</v>
      </c>
      <c r="R138" s="450">
        <v>3.28</v>
      </c>
      <c r="S138" s="450">
        <v>58.768000000000001</v>
      </c>
      <c r="T138" s="450">
        <v>40.375</v>
      </c>
      <c r="U138" s="450">
        <v>8.5579999999999998</v>
      </c>
      <c r="V138" s="450">
        <v>13.18</v>
      </c>
      <c r="W138" s="450">
        <v>2</v>
      </c>
      <c r="X138" s="450">
        <v>50.215000000000003</v>
      </c>
      <c r="Y138" s="450">
        <v>8.5770238095238049</v>
      </c>
    </row>
    <row r="139" spans="15:26">
      <c r="O139" s="448">
        <v>32</v>
      </c>
      <c r="P139" s="449">
        <v>32</v>
      </c>
      <c r="Q139" s="450">
        <v>8.4994284765714276</v>
      </c>
      <c r="R139" s="450">
        <v>4.8781427315714287</v>
      </c>
      <c r="S139" s="450">
        <v>54.703428540000004</v>
      </c>
      <c r="T139" s="450">
        <v>52.946428571428569</v>
      </c>
      <c r="U139" s="450">
        <v>10.739857128857144</v>
      </c>
      <c r="V139" s="450">
        <v>10.850328444285712</v>
      </c>
      <c r="W139" s="450">
        <v>2.0667142697142857</v>
      </c>
      <c r="X139" s="450">
        <v>50.460713522857141</v>
      </c>
      <c r="Y139" s="450">
        <v>9.7962856299999999</v>
      </c>
    </row>
    <row r="140" spans="15:26">
      <c r="P140" s="449">
        <v>33</v>
      </c>
      <c r="Q140" s="450">
        <v>7.8117142411428571</v>
      </c>
      <c r="R140" s="450">
        <v>4.5999999999999996</v>
      </c>
      <c r="S140" s="450">
        <v>59.066285269999995</v>
      </c>
      <c r="T140" s="450">
        <v>47.13</v>
      </c>
      <c r="U140" s="450">
        <v>9.23</v>
      </c>
      <c r="V140" s="450">
        <v>10.84</v>
      </c>
      <c r="W140" s="450">
        <v>2.0499999999999998</v>
      </c>
      <c r="X140" s="450">
        <v>44.64</v>
      </c>
      <c r="Y140" s="450">
        <v>8.7822855541428577</v>
      </c>
    </row>
    <row r="141" spans="15:26">
      <c r="P141" s="449">
        <v>34</v>
      </c>
      <c r="Q141" s="450">
        <v>6.44</v>
      </c>
      <c r="R141" s="450">
        <v>5.1568571165714285</v>
      </c>
      <c r="S141" s="450">
        <v>82.033571515714272</v>
      </c>
      <c r="T141" s="450">
        <v>63.892999920000001</v>
      </c>
      <c r="U141" s="450">
        <v>10.917285918714287</v>
      </c>
      <c r="V141" s="450">
        <v>10.534582955714285</v>
      </c>
      <c r="W141" s="450">
        <v>1.8788571358571429</v>
      </c>
      <c r="X141" s="450">
        <v>35.627857751428571</v>
      </c>
      <c r="Y141" s="450">
        <v>11.383714402571428</v>
      </c>
    </row>
    <row r="142" spans="15:26">
      <c r="P142" s="449">
        <v>35</v>
      </c>
      <c r="Q142" s="450">
        <v>7.5428571428571427</v>
      </c>
      <c r="R142" s="450">
        <v>2.15</v>
      </c>
      <c r="S142" s="450">
        <v>71.48</v>
      </c>
      <c r="T142" s="450">
        <v>45.64</v>
      </c>
      <c r="U142" s="450">
        <v>9.4700000000000006</v>
      </c>
      <c r="V142" s="450">
        <v>10.92</v>
      </c>
      <c r="W142" s="450">
        <v>1.88</v>
      </c>
      <c r="X142" s="450">
        <v>32.979999999999997</v>
      </c>
      <c r="Y142" s="450">
        <v>7.88</v>
      </c>
    </row>
    <row r="143" spans="15:26">
      <c r="O143" s="448">
        <v>36</v>
      </c>
      <c r="P143" s="449">
        <v>36</v>
      </c>
      <c r="Q143" s="450">
        <v>7.1671427998571433</v>
      </c>
      <c r="R143" s="450">
        <v>4.8342857142857136</v>
      </c>
      <c r="S143" s="450">
        <v>63.092857142857149</v>
      </c>
      <c r="T143" s="450">
        <v>34.571428571428569</v>
      </c>
      <c r="U143" s="450">
        <v>7.5942857142857134</v>
      </c>
      <c r="V143" s="450">
        <v>11.091428571428571</v>
      </c>
      <c r="W143" s="450">
        <v>1.8442857142857143</v>
      </c>
      <c r="X143" s="450">
        <v>31.20428571428571</v>
      </c>
      <c r="Y143" s="450">
        <v>8.0857142857142854</v>
      </c>
      <c r="Z143" s="479"/>
    </row>
    <row r="144" spans="15:26">
      <c r="P144" s="449">
        <v>37</v>
      </c>
      <c r="Q144" s="450">
        <v>7.1637143408571422</v>
      </c>
      <c r="R144" s="450">
        <v>3.1535714688571423</v>
      </c>
      <c r="S144" s="450">
        <v>61.141713821428574</v>
      </c>
      <c r="T144" s="450">
        <v>28.744000025714286</v>
      </c>
      <c r="U144" s="450">
        <v>6.5637142318571433</v>
      </c>
      <c r="V144" s="450">
        <v>10.825238499999999</v>
      </c>
      <c r="W144" s="450">
        <v>1.8114285809999999</v>
      </c>
      <c r="X144" s="450">
        <v>29.614285605714283</v>
      </c>
      <c r="Y144" s="450">
        <v>8.6452856064285708</v>
      </c>
    </row>
    <row r="145" spans="14:25">
      <c r="P145" s="449">
        <v>38</v>
      </c>
      <c r="Q145" s="450">
        <v>8.31</v>
      </c>
      <c r="R145" s="450">
        <v>3.3441428289999995</v>
      </c>
      <c r="S145" s="450">
        <v>49.664428712857145</v>
      </c>
      <c r="T145" s="450">
        <v>35.571571351428574</v>
      </c>
      <c r="U145" s="450">
        <v>7.2939999444285712</v>
      </c>
      <c r="V145" s="450">
        <v>11.159824370000001</v>
      </c>
      <c r="W145" s="450">
        <v>1.8427142925714282</v>
      </c>
      <c r="X145" s="450">
        <v>30.912857054285716</v>
      </c>
      <c r="Y145" s="450">
        <v>8.6452856064285708</v>
      </c>
    </row>
    <row r="146" spans="14:25">
      <c r="P146" s="449">
        <v>39</v>
      </c>
      <c r="Q146" s="450">
        <v>7.621428489714285</v>
      </c>
      <c r="R146" s="450">
        <v>4.6500000000000004</v>
      </c>
      <c r="S146" s="450">
        <v>42.24</v>
      </c>
      <c r="T146" s="450">
        <v>39.39</v>
      </c>
      <c r="U146" s="450">
        <v>7.68</v>
      </c>
      <c r="V146" s="450">
        <v>11.33</v>
      </c>
      <c r="W146" s="450">
        <v>1.64</v>
      </c>
      <c r="X146" s="450">
        <v>37.200000000000003</v>
      </c>
      <c r="Y146" s="450">
        <v>7.4194285528571422</v>
      </c>
    </row>
    <row r="147" spans="14:25">
      <c r="O147" s="448">
        <v>40</v>
      </c>
      <c r="P147" s="449">
        <v>40</v>
      </c>
      <c r="Q147" s="450">
        <v>7.621428489714285</v>
      </c>
      <c r="R147" s="450">
        <v>5.128571373571428</v>
      </c>
      <c r="S147" s="450">
        <v>38.906285422857138</v>
      </c>
      <c r="T147" s="450">
        <v>41.34000069857143</v>
      </c>
      <c r="U147" s="450">
        <v>9.112857137571428</v>
      </c>
      <c r="V147" s="450">
        <v>11.565001485714285</v>
      </c>
      <c r="W147" s="450">
        <v>1.8221428395714285</v>
      </c>
      <c r="X147" s="450">
        <v>42.197143011428572</v>
      </c>
      <c r="Y147" s="450">
        <v>9.6005713597142837</v>
      </c>
    </row>
    <row r="148" spans="14:25">
      <c r="P148" s="449">
        <v>41</v>
      </c>
      <c r="Q148" s="450">
        <v>7.2698572022574259</v>
      </c>
      <c r="R148" s="450">
        <v>4.8594285079410948</v>
      </c>
      <c r="S148" s="450">
        <v>42.923713956560341</v>
      </c>
      <c r="T148" s="450">
        <v>56.607142857142847</v>
      </c>
      <c r="U148" s="450">
        <v>11.170142854962995</v>
      </c>
      <c r="V148" s="450">
        <v>12.740178653172041</v>
      </c>
      <c r="W148" s="450">
        <v>1.7041428429739784</v>
      </c>
      <c r="X148" s="450">
        <v>49.475714547293492</v>
      </c>
      <c r="Y148" s="450">
        <v>10.943285942077617</v>
      </c>
    </row>
    <row r="149" spans="14:25">
      <c r="P149" s="449">
        <v>42</v>
      </c>
      <c r="Q149" s="450">
        <v>6.2732856614249064</v>
      </c>
      <c r="R149" s="450">
        <v>4.00314286776951</v>
      </c>
      <c r="S149" s="450">
        <v>73.976001194545148</v>
      </c>
      <c r="T149" s="450">
        <v>89.232285635811792</v>
      </c>
      <c r="U149" s="450">
        <v>19.282285690307582</v>
      </c>
      <c r="V149" s="450">
        <v>11.792381422860229</v>
      </c>
      <c r="W149" s="450">
        <v>1.5524285691124997</v>
      </c>
      <c r="X149" s="450">
        <v>72.350713457379968</v>
      </c>
      <c r="Y149" s="450">
        <v>17.972571236746628</v>
      </c>
    </row>
    <row r="150" spans="14:25">
      <c r="P150" s="449">
        <v>43</v>
      </c>
      <c r="Q150" s="450">
        <v>8.3208571161542526</v>
      </c>
      <c r="R150" s="450">
        <v>6.0481427737644662</v>
      </c>
      <c r="S150" s="450">
        <v>97.234427315848038</v>
      </c>
      <c r="T150" s="450">
        <v>125.70828465052978</v>
      </c>
      <c r="U150" s="450">
        <v>26.382142475673081</v>
      </c>
      <c r="V150" s="450">
        <v>12.0416071755545</v>
      </c>
      <c r="W150" s="450">
        <v>1.585428544453207</v>
      </c>
      <c r="X150" s="450">
        <v>82.484284537179079</v>
      </c>
      <c r="Y150" s="450">
        <v>19.552571432931028</v>
      </c>
    </row>
    <row r="151" spans="14:25">
      <c r="O151" s="448">
        <v>44</v>
      </c>
      <c r="P151" s="449">
        <v>44</v>
      </c>
      <c r="Q151" s="450">
        <v>9.2941429947142868</v>
      </c>
      <c r="R151" s="450">
        <v>7.6531428608571428</v>
      </c>
      <c r="S151" s="450">
        <v>120.62971387142855</v>
      </c>
      <c r="T151" s="450">
        <v>157.60714285714286</v>
      </c>
      <c r="U151" s="450">
        <v>33.364427840000005</v>
      </c>
      <c r="V151" s="450">
        <v>12.188929967142856</v>
      </c>
      <c r="W151" s="450">
        <v>1.6864285471428571</v>
      </c>
      <c r="X151" s="450">
        <v>110.40928649571428</v>
      </c>
      <c r="Y151" s="450">
        <v>33.081571032857141</v>
      </c>
    </row>
    <row r="152" spans="14:25">
      <c r="P152" s="449">
        <v>45</v>
      </c>
      <c r="Q152" s="450">
        <v>8.6642857274285721</v>
      </c>
      <c r="R152" s="450">
        <v>4.2061428341428568</v>
      </c>
      <c r="S152" s="450">
        <v>125.43157086857143</v>
      </c>
      <c r="T152" s="450">
        <v>105.63685608857143</v>
      </c>
      <c r="U152" s="450">
        <v>18.735571588571428</v>
      </c>
      <c r="V152" s="450">
        <v>13</v>
      </c>
      <c r="W152" s="450">
        <v>1.7397142818571427</v>
      </c>
      <c r="X152" s="450">
        <v>114.14357212285714</v>
      </c>
      <c r="Y152" s="450">
        <v>39.80185754</v>
      </c>
    </row>
    <row r="153" spans="14:25">
      <c r="P153" s="449">
        <v>46</v>
      </c>
      <c r="Q153" s="450">
        <v>8.5371428571428574</v>
      </c>
      <c r="R153" s="450">
        <v>5.9</v>
      </c>
      <c r="S153" s="450">
        <v>78.757142857142853</v>
      </c>
      <c r="T153" s="450">
        <v>79.304285714285712</v>
      </c>
      <c r="U153" s="450">
        <v>13.16</v>
      </c>
      <c r="V153" s="450">
        <v>13.001428571428571</v>
      </c>
      <c r="W153" s="450">
        <v>1.5</v>
      </c>
      <c r="X153" s="450">
        <v>93.457142857142841</v>
      </c>
      <c r="Y153" s="450">
        <v>37.212857142857146</v>
      </c>
    </row>
    <row r="154" spans="14:25">
      <c r="P154" s="449">
        <v>47</v>
      </c>
      <c r="Q154" s="450">
        <v>9.0094285692857135</v>
      </c>
      <c r="R154" s="450">
        <v>7.1015714912857133</v>
      </c>
      <c r="S154" s="450">
        <v>88.111712864285735</v>
      </c>
      <c r="T154" s="450">
        <v>74.684428622857141</v>
      </c>
      <c r="U154" s="450">
        <v>13.483142988571428</v>
      </c>
      <c r="V154" s="450">
        <v>12.142405645714286</v>
      </c>
      <c r="W154" s="450">
        <v>1.5</v>
      </c>
      <c r="X154" s="450">
        <v>104.10500007571429</v>
      </c>
      <c r="Y154" s="450">
        <v>35.055428368571434</v>
      </c>
    </row>
    <row r="155" spans="14:25">
      <c r="O155" s="448">
        <v>48</v>
      </c>
      <c r="P155" s="449">
        <v>48</v>
      </c>
      <c r="Q155" s="450">
        <v>8.5042856081428582</v>
      </c>
      <c r="R155" s="450">
        <v>4.3617142950000005</v>
      </c>
      <c r="S155" s="450">
        <v>80.151286534285717</v>
      </c>
      <c r="T155" s="450">
        <v>95.303570342857142</v>
      </c>
      <c r="U155" s="450">
        <v>12.543571337142859</v>
      </c>
      <c r="V155" s="450">
        <v>11.975262778571429</v>
      </c>
      <c r="W155" s="450">
        <v>1.5</v>
      </c>
      <c r="X155" s="450">
        <v>91.569999695714287</v>
      </c>
      <c r="Y155" s="450">
        <v>28.370000294285713</v>
      </c>
    </row>
    <row r="156" spans="14:25">
      <c r="P156" s="449">
        <v>49</v>
      </c>
      <c r="Q156" s="450">
        <v>8.27</v>
      </c>
      <c r="R156" s="450">
        <v>6.9099999999999993</v>
      </c>
      <c r="S156" s="450">
        <v>66.555714285714288</v>
      </c>
      <c r="T156" s="450">
        <v>54.31</v>
      </c>
      <c r="U156" s="450">
        <v>8.99</v>
      </c>
      <c r="V156" s="450">
        <v>12.26</v>
      </c>
      <c r="W156" s="450">
        <v>1.5</v>
      </c>
      <c r="X156" s="450">
        <v>62.974285714285706</v>
      </c>
      <c r="Y156" s="450">
        <v>22.919999999999998</v>
      </c>
    </row>
    <row r="157" spans="14:25">
      <c r="P157" s="449">
        <v>50</v>
      </c>
      <c r="Q157" s="450">
        <v>8.1765714374285707</v>
      </c>
      <c r="R157" s="450">
        <v>6.5639999597142857</v>
      </c>
      <c r="S157" s="450">
        <v>61.602715082857152</v>
      </c>
      <c r="T157" s="450">
        <v>52.47614288285714</v>
      </c>
      <c r="U157" s="450">
        <v>10.909571511285714</v>
      </c>
      <c r="V157" s="450">
        <v>13.001428604285715</v>
      </c>
      <c r="W157" s="450">
        <v>1.457142846857143</v>
      </c>
      <c r="X157" s="450">
        <v>52.244286674285718</v>
      </c>
      <c r="Y157" s="450">
        <v>17.695714271428571</v>
      </c>
    </row>
    <row r="158" spans="14:25">
      <c r="P158" s="449">
        <v>51</v>
      </c>
      <c r="Q158" s="450">
        <v>10.342857142857142</v>
      </c>
      <c r="R158" s="450">
        <v>7.3285714285714283</v>
      </c>
      <c r="S158" s="450">
        <v>53.9</v>
      </c>
      <c r="T158" s="450">
        <v>126.14285714285714</v>
      </c>
      <c r="U158" s="450">
        <v>16.8</v>
      </c>
      <c r="V158" s="450">
        <v>12.257142857142856</v>
      </c>
      <c r="W158" s="450">
        <v>1.3857142857142859</v>
      </c>
      <c r="X158" s="450">
        <v>86.528571428571439</v>
      </c>
      <c r="Y158" s="450">
        <v>33.51428571428572</v>
      </c>
    </row>
    <row r="159" spans="14:25">
      <c r="O159" s="448">
        <v>52</v>
      </c>
      <c r="P159" s="449">
        <v>52</v>
      </c>
      <c r="Q159" s="450">
        <v>10.661999840142856</v>
      </c>
      <c r="R159" s="450">
        <v>7.4820000789999996</v>
      </c>
      <c r="S159" s="450">
        <v>57.504999978571433</v>
      </c>
      <c r="T159" s="450">
        <v>100.38085719714286</v>
      </c>
      <c r="U159" s="450">
        <v>16.435142652857145</v>
      </c>
      <c r="V159" s="450">
        <v>12.222315514285714</v>
      </c>
      <c r="W159" s="450">
        <v>1.2999999520000001</v>
      </c>
      <c r="X159" s="450">
        <v>103.53357153142858</v>
      </c>
      <c r="Y159" s="450">
        <v>52.753143308571431</v>
      </c>
    </row>
    <row r="160" spans="14:25">
      <c r="N160" s="448">
        <v>2019</v>
      </c>
      <c r="O160" s="448">
        <v>1</v>
      </c>
      <c r="P160" s="449">
        <v>1</v>
      </c>
      <c r="Q160" s="450">
        <v>8.992857251428573</v>
      </c>
      <c r="R160" s="450">
        <v>4.4642857141428571</v>
      </c>
      <c r="S160" s="450">
        <v>57.514999934285704</v>
      </c>
      <c r="T160" s="450">
        <v>79.871427261428579</v>
      </c>
      <c r="U160" s="450">
        <v>13.115714484285716</v>
      </c>
      <c r="V160" s="450">
        <v>11.571904317142856</v>
      </c>
      <c r="W160" s="450">
        <v>1.2999999520000001</v>
      </c>
      <c r="X160" s="450">
        <v>121.75642612857142</v>
      </c>
      <c r="Y160" s="450">
        <v>64.398429325714275</v>
      </c>
    </row>
    <row r="161" spans="15:25">
      <c r="P161" s="449">
        <v>2</v>
      </c>
      <c r="Q161" s="450">
        <v>7.4904285157142843</v>
      </c>
      <c r="R161" s="450">
        <v>3.3685714177142856</v>
      </c>
      <c r="S161" s="450">
        <v>63.363856724285711</v>
      </c>
      <c r="T161" s="450">
        <v>84.184571402857145</v>
      </c>
      <c r="U161" s="450">
        <v>16.11014284285714</v>
      </c>
      <c r="V161" s="450">
        <v>11.570298602857141</v>
      </c>
      <c r="W161" s="450">
        <v>1.2999999520000001</v>
      </c>
      <c r="X161" s="450">
        <v>180.32999965714288</v>
      </c>
      <c r="Y161" s="450">
        <v>70.997858864285703</v>
      </c>
    </row>
    <row r="162" spans="15:25">
      <c r="P162" s="449">
        <v>3</v>
      </c>
      <c r="Q162" s="450">
        <v>14.36</v>
      </c>
      <c r="R162" s="450">
        <v>10.74</v>
      </c>
      <c r="S162" s="450">
        <v>80.75</v>
      </c>
      <c r="T162" s="450">
        <v>149.30000000000001</v>
      </c>
      <c r="U162" s="450">
        <v>29.23</v>
      </c>
      <c r="V162" s="450">
        <v>11.28</v>
      </c>
      <c r="W162" s="450">
        <v>1.33</v>
      </c>
      <c r="X162" s="450">
        <v>167.22</v>
      </c>
      <c r="Y162" s="450">
        <v>68.83</v>
      </c>
    </row>
    <row r="163" spans="15:25">
      <c r="O163" s="448">
        <v>4</v>
      </c>
      <c r="P163" s="449">
        <v>4</v>
      </c>
      <c r="Q163" s="450">
        <v>17.131428719999999</v>
      </c>
      <c r="R163" s="450">
        <v>11.155714580142858</v>
      </c>
      <c r="S163" s="450">
        <v>85.689570837142853</v>
      </c>
      <c r="T163" s="450">
        <v>168.80999974285714</v>
      </c>
      <c r="U163" s="450">
        <v>36.200000218571425</v>
      </c>
      <c r="V163" s="450">
        <v>11.843988554285716</v>
      </c>
      <c r="W163" s="450">
        <v>3.0287143159999999</v>
      </c>
      <c r="X163" s="450">
        <v>185.51500375714286</v>
      </c>
      <c r="Y163" s="450">
        <v>70.089428494285713</v>
      </c>
    </row>
    <row r="164" spans="15:25">
      <c r="P164" s="449">
        <v>5</v>
      </c>
      <c r="Q164" s="450">
        <v>30.592286245714288</v>
      </c>
      <c r="R164" s="450">
        <v>16.463000024285716</v>
      </c>
      <c r="S164" s="450">
        <v>416.48700821428571</v>
      </c>
      <c r="T164" s="450">
        <v>195.24999782857142</v>
      </c>
      <c r="U164" s="450">
        <v>36.703999928571427</v>
      </c>
      <c r="V164" s="450">
        <v>12.496724401428571</v>
      </c>
      <c r="W164" s="450">
        <v>6.6928571292857146</v>
      </c>
      <c r="X164" s="450">
        <v>199.03571430000002</v>
      </c>
      <c r="Y164" s="450">
        <v>74.655428748571438</v>
      </c>
    </row>
    <row r="165" spans="15:25">
      <c r="P165" s="449">
        <v>6</v>
      </c>
      <c r="Q165" s="450">
        <v>20.372857142857146</v>
      </c>
      <c r="R165" s="450">
        <v>17.05857142857143</v>
      </c>
      <c r="S165" s="450">
        <v>426.67142857142863</v>
      </c>
      <c r="T165" s="450">
        <v>265.28000000000003</v>
      </c>
      <c r="U165" s="450">
        <v>51.29</v>
      </c>
      <c r="V165" s="450">
        <v>12.744285714285715</v>
      </c>
      <c r="W165" s="450">
        <v>14.464285714285714</v>
      </c>
      <c r="X165" s="450">
        <v>338.89857142857142</v>
      </c>
      <c r="Y165" s="450">
        <v>117.82857142857142</v>
      </c>
    </row>
    <row r="166" spans="15:25">
      <c r="P166" s="449">
        <v>7</v>
      </c>
      <c r="Q166" s="450">
        <v>28.837571554285717</v>
      </c>
      <c r="R166" s="450">
        <v>18.065285818571429</v>
      </c>
      <c r="S166" s="450">
        <v>581.62514822857145</v>
      </c>
      <c r="T166" s="450">
        <v>230.7322888857143</v>
      </c>
      <c r="U166" s="450">
        <v>46.224000658571427</v>
      </c>
      <c r="V166" s="450">
        <v>23.841369902857146</v>
      </c>
      <c r="W166" s="450">
        <v>21.059571402857141</v>
      </c>
      <c r="X166" s="450">
        <v>288.0957205571429</v>
      </c>
      <c r="Y166" s="450">
        <v>118.07871352857144</v>
      </c>
    </row>
    <row r="167" spans="15:25">
      <c r="O167" s="448">
        <v>8</v>
      </c>
      <c r="P167" s="449">
        <v>8</v>
      </c>
      <c r="Q167" s="450">
        <v>20.077857700000003</v>
      </c>
      <c r="R167" s="450">
        <v>14.531571660571432</v>
      </c>
      <c r="S167" s="450">
        <v>439.74099729999995</v>
      </c>
      <c r="T167" s="450">
        <v>219.37485614285717</v>
      </c>
      <c r="U167" s="450">
        <v>42.94585745571429</v>
      </c>
      <c r="V167" s="450">
        <v>23.894881112857146</v>
      </c>
      <c r="W167" s="450">
        <v>6.8928571428571432</v>
      </c>
      <c r="X167" s="450">
        <v>411.75142995714288</v>
      </c>
      <c r="Y167" s="450">
        <v>98.32</v>
      </c>
    </row>
    <row r="168" spans="15:25">
      <c r="P168" s="449">
        <v>9</v>
      </c>
      <c r="Q168" s="450">
        <v>26.317999977142858</v>
      </c>
      <c r="R168" s="450">
        <v>19.520428521428574</v>
      </c>
      <c r="S168" s="450">
        <v>316.26999772857147</v>
      </c>
      <c r="T168" s="450">
        <v>191.17842539999998</v>
      </c>
      <c r="U168" s="450">
        <v>34.696428571428569</v>
      </c>
      <c r="V168" s="450">
        <v>22.406962801428573</v>
      </c>
      <c r="W168" s="450">
        <v>3.3807143142857146</v>
      </c>
      <c r="X168" s="450">
        <v>249.46285358571427</v>
      </c>
      <c r="Y168" s="450">
        <v>120.90099988571428</v>
      </c>
    </row>
    <row r="169" spans="15:25">
      <c r="P169" s="449">
        <v>10</v>
      </c>
      <c r="Q169" s="450">
        <v>27.959571565714288</v>
      </c>
      <c r="R169" s="450">
        <v>20.831714628571426</v>
      </c>
      <c r="S169" s="450">
        <v>326.63642664285715</v>
      </c>
      <c r="T169" s="450">
        <v>184.08928571428572</v>
      </c>
      <c r="U169" s="450">
        <v>38.680999754285715</v>
      </c>
      <c r="V169" s="450">
        <v>23.828572680000001</v>
      </c>
      <c r="W169" s="450">
        <v>2.3840000118571427</v>
      </c>
      <c r="X169" s="450">
        <v>225.10000174285716</v>
      </c>
      <c r="Y169" s="450">
        <v>78.177285328571429</v>
      </c>
    </row>
    <row r="170" spans="15:25">
      <c r="P170" s="449">
        <v>11</v>
      </c>
      <c r="Q170" s="450">
        <v>27.959571565714288</v>
      </c>
      <c r="R170" s="450">
        <v>22.247142927987216</v>
      </c>
      <c r="S170" s="450">
        <v>416.08099801199745</v>
      </c>
      <c r="T170" s="450">
        <v>226.88085501534573</v>
      </c>
      <c r="U170" s="450">
        <v>42.633285522460888</v>
      </c>
      <c r="V170" s="450">
        <v>23.809881482805473</v>
      </c>
      <c r="W170" s="450">
        <v>1.9291428668158341</v>
      </c>
      <c r="X170" s="450">
        <v>217.45642525809117</v>
      </c>
      <c r="Y170" s="450">
        <v>44.638999938964801</v>
      </c>
    </row>
    <row r="171" spans="15:25">
      <c r="O171" s="448">
        <v>12</v>
      </c>
      <c r="P171" s="449">
        <v>12</v>
      </c>
      <c r="Q171" s="450">
        <v>28.476714270455457</v>
      </c>
      <c r="R171" s="450">
        <v>21.707857131428572</v>
      </c>
      <c r="S171" s="450">
        <v>394.13957431428571</v>
      </c>
      <c r="T171" s="450">
        <v>203.44642857142858</v>
      </c>
      <c r="U171" s="450">
        <v>43.529285431428569</v>
      </c>
      <c r="V171" s="450">
        <v>19.572964258571432</v>
      </c>
      <c r="W171" s="450">
        <v>1.7968571012857144</v>
      </c>
      <c r="X171" s="450">
        <v>327.82142857142861</v>
      </c>
      <c r="Y171" s="450">
        <v>98.4</v>
      </c>
    </row>
    <row r="172" spans="15:25">
      <c r="P172" s="449">
        <v>13</v>
      </c>
      <c r="Q172" s="450">
        <v>24.844714028571435</v>
      </c>
      <c r="R172" s="450">
        <v>20.569142751428576</v>
      </c>
      <c r="S172" s="450">
        <v>522.42285592857138</v>
      </c>
      <c r="T172" s="450">
        <v>225.26185825714285</v>
      </c>
      <c r="U172" s="450">
        <v>57.974427901428569</v>
      </c>
      <c r="V172" s="450">
        <v>12.582738467142859</v>
      </c>
      <c r="W172" s="450">
        <v>1.6904285634285714</v>
      </c>
      <c r="X172" s="450">
        <v>339.04356602857143</v>
      </c>
      <c r="Y172" s="450">
        <v>92.103571201428579</v>
      </c>
    </row>
    <row r="173" spans="15:25">
      <c r="P173" s="449">
        <v>14</v>
      </c>
      <c r="Q173" s="450">
        <v>29.483285902857141</v>
      </c>
      <c r="R173" s="450">
        <v>18.767857142857142</v>
      </c>
      <c r="S173" s="450">
        <v>316.33943394285717</v>
      </c>
      <c r="T173" s="450">
        <v>152.47643277142856</v>
      </c>
      <c r="U173" s="450">
        <v>55.119428907142868</v>
      </c>
      <c r="V173" s="450">
        <v>21.303751674285714</v>
      </c>
      <c r="W173" s="450">
        <v>1.6808571647142858</v>
      </c>
      <c r="X173" s="450">
        <v>250.08571298571431</v>
      </c>
      <c r="Y173" s="450">
        <v>65.665856497142855</v>
      </c>
    </row>
    <row r="174" spans="15:25">
      <c r="P174" s="449">
        <v>15</v>
      </c>
      <c r="Q174" s="450">
        <v>20.040428705714284</v>
      </c>
      <c r="R174" s="450">
        <v>14.275999887714287</v>
      </c>
      <c r="S174" s="450">
        <v>168.45457024285716</v>
      </c>
      <c r="T174" s="450">
        <v>98.160714291428576</v>
      </c>
      <c r="U174" s="450">
        <v>27.713714872857139</v>
      </c>
      <c r="V174" s="450">
        <v>17.810774395714287</v>
      </c>
      <c r="W174" s="450">
        <v>1.7205714498571432</v>
      </c>
      <c r="X174" s="450">
        <v>148.48785617142858</v>
      </c>
      <c r="Y174" s="450">
        <v>49.633285522857136</v>
      </c>
    </row>
    <row r="175" spans="15:25">
      <c r="O175" s="448">
        <v>16</v>
      </c>
      <c r="P175" s="449">
        <v>16</v>
      </c>
      <c r="Q175" s="450">
        <v>16.072142737142858</v>
      </c>
      <c r="R175" s="450">
        <v>10.180143014285713</v>
      </c>
      <c r="S175" s="450">
        <v>131.80142647142856</v>
      </c>
      <c r="T175" s="450">
        <v>98.279714314285712</v>
      </c>
      <c r="U175" s="450">
        <v>22.869143077142859</v>
      </c>
      <c r="V175" s="450">
        <v>12.210951395714286</v>
      </c>
      <c r="W175" s="450">
        <v>1.789857131857143</v>
      </c>
      <c r="X175" s="450">
        <v>105.47928511571429</v>
      </c>
      <c r="Y175" s="450">
        <v>31.291000095714285</v>
      </c>
    </row>
    <row r="176" spans="15:25">
      <c r="P176" s="449">
        <v>17</v>
      </c>
      <c r="Q176" s="450">
        <v>15.383999960000001</v>
      </c>
      <c r="R176" s="450">
        <v>12.121571608857142</v>
      </c>
      <c r="S176" s="450">
        <v>143.84128789999997</v>
      </c>
      <c r="T176" s="450">
        <v>83.547571454285716</v>
      </c>
      <c r="U176" s="450">
        <v>20.273857388571425</v>
      </c>
      <c r="V176" s="450">
        <v>12.949641501428573</v>
      </c>
      <c r="W176" s="450">
        <v>1.6648571664285714</v>
      </c>
      <c r="X176" s="450">
        <v>103.81928579571429</v>
      </c>
      <c r="Y176" s="450">
        <v>25.921857015714284</v>
      </c>
    </row>
    <row r="177" spans="15:25">
      <c r="P177" s="449">
        <v>18</v>
      </c>
      <c r="Q177" s="450">
        <v>16.026142665714286</v>
      </c>
      <c r="R177" s="450">
        <v>11.996285711571428</v>
      </c>
      <c r="S177" s="450">
        <v>111.12314277285714</v>
      </c>
      <c r="T177" s="450">
        <v>74.392857142857139</v>
      </c>
      <c r="U177" s="450">
        <v>18.103142875714287</v>
      </c>
      <c r="V177" s="450">
        <v>11.493274145714285</v>
      </c>
      <c r="W177" s="450">
        <v>1.55</v>
      </c>
      <c r="X177" s="450">
        <v>91.532855442857141</v>
      </c>
      <c r="Y177" s="450">
        <v>22.190428595714284</v>
      </c>
    </row>
    <row r="178" spans="15:25">
      <c r="P178" s="449">
        <v>19</v>
      </c>
      <c r="Q178" s="450">
        <v>14.769714355714287</v>
      </c>
      <c r="R178" s="450">
        <v>10.123285769857144</v>
      </c>
      <c r="S178" s="450">
        <v>89.41828482428572</v>
      </c>
      <c r="T178" s="450">
        <v>60.613000051428571</v>
      </c>
      <c r="U178" s="450">
        <v>15.728999954285714</v>
      </c>
      <c r="V178" s="450">
        <v>10.883738517142858</v>
      </c>
      <c r="W178" s="450">
        <v>1.5914285865714286</v>
      </c>
      <c r="X178" s="450">
        <v>82.45500183</v>
      </c>
      <c r="Y178" s="450">
        <v>20.991285870000006</v>
      </c>
    </row>
    <row r="179" spans="15:25">
      <c r="P179" s="449">
        <v>20</v>
      </c>
      <c r="Q179" s="450">
        <v>13.81242861</v>
      </c>
      <c r="R179" s="450">
        <v>9.3731427190000005</v>
      </c>
      <c r="S179" s="450">
        <v>79.212427410000004</v>
      </c>
      <c r="T179" s="450">
        <v>72.321428569999995</v>
      </c>
      <c r="U179" s="450">
        <v>20.647571429999999</v>
      </c>
      <c r="V179" s="450">
        <v>11.153748650000001</v>
      </c>
      <c r="W179" s="450">
        <v>1.5371428389999999</v>
      </c>
      <c r="X179" s="450">
        <v>76.857142859999996</v>
      </c>
      <c r="Y179" s="450">
        <v>23.085714070000002</v>
      </c>
    </row>
    <row r="180" spans="15:25">
      <c r="P180" s="449">
        <v>21</v>
      </c>
      <c r="Q180" s="450">
        <v>12.849714414285714</v>
      </c>
      <c r="R180" s="450">
        <v>7.085428442285715</v>
      </c>
      <c r="S180" s="450">
        <v>62.717000688571432</v>
      </c>
      <c r="T180" s="450">
        <v>52.565571377142859</v>
      </c>
      <c r="U180" s="450">
        <v>14.46171447</v>
      </c>
      <c r="V180" s="450">
        <v>12</v>
      </c>
      <c r="W180" s="450">
        <v>1.5128571304285714</v>
      </c>
      <c r="X180" s="450">
        <v>58.057856968571436</v>
      </c>
      <c r="Y180" s="450">
        <v>17.858285902857144</v>
      </c>
    </row>
    <row r="181" spans="15:25">
      <c r="O181" s="448">
        <v>22</v>
      </c>
      <c r="P181" s="449">
        <v>22</v>
      </c>
      <c r="Q181" s="450">
        <v>12.105428559999998</v>
      </c>
      <c r="R181" s="450">
        <v>7.3308571058571435</v>
      </c>
      <c r="S181" s="450">
        <v>41.633143151428598</v>
      </c>
      <c r="T181" s="450">
        <v>49.261999948571429</v>
      </c>
      <c r="U181" s="450">
        <v>12.621714454285712</v>
      </c>
      <c r="V181" s="450">
        <v>10.442797251571431</v>
      </c>
      <c r="W181" s="450">
        <v>1.5</v>
      </c>
      <c r="X181" s="450">
        <v>51.520714895714285</v>
      </c>
      <c r="Y181" s="450">
        <v>15.324571202857143</v>
      </c>
    </row>
    <row r="182" spans="15:25">
      <c r="P182" s="449">
        <v>23</v>
      </c>
      <c r="Q182" s="450">
        <v>11.272714207142856</v>
      </c>
      <c r="R182" s="450">
        <v>7.7242857718571427</v>
      </c>
      <c r="S182" s="450">
        <v>41.633143151428598</v>
      </c>
      <c r="T182" s="450">
        <v>40.500142779999997</v>
      </c>
      <c r="U182" s="450">
        <v>10.571857179142857</v>
      </c>
      <c r="V182" s="450">
        <v>10.979225701428572</v>
      </c>
      <c r="W182" s="450">
        <v>1.5</v>
      </c>
      <c r="X182" s="450">
        <v>46.520714351428573</v>
      </c>
      <c r="Y182" s="450">
        <v>13.868142808571431</v>
      </c>
    </row>
    <row r="183" spans="15:25">
      <c r="P183" s="449">
        <v>24</v>
      </c>
      <c r="Q183" s="450">
        <v>10.867999894285715</v>
      </c>
      <c r="R183" s="450">
        <v>8.8337143495714301</v>
      </c>
      <c r="S183" s="450">
        <v>78.434000150000003</v>
      </c>
      <c r="T183" s="450">
        <v>35.785857065714289</v>
      </c>
      <c r="U183" s="450">
        <v>9.2180000031428584</v>
      </c>
      <c r="V183" s="450">
        <v>11.096784181428571</v>
      </c>
      <c r="W183" s="450">
        <v>1.5</v>
      </c>
      <c r="X183" s="450">
        <v>42.473571777142858</v>
      </c>
      <c r="Y183" s="450">
        <v>12.512571334285715</v>
      </c>
    </row>
    <row r="184" spans="15:25">
      <c r="P184" s="449">
        <v>25</v>
      </c>
      <c r="Q184" s="450">
        <v>10.167285918857143</v>
      </c>
      <c r="R184" s="450">
        <v>7.6592858184285708</v>
      </c>
      <c r="S184" s="450">
        <v>77.872000559999989</v>
      </c>
      <c r="T184" s="450">
        <v>33.357000077142857</v>
      </c>
      <c r="U184" s="450">
        <v>8.9321429390000002</v>
      </c>
      <c r="V184" s="450">
        <v>10.461965969999998</v>
      </c>
      <c r="W184" s="450">
        <v>1.5</v>
      </c>
      <c r="X184" s="450">
        <v>43.729285104285715</v>
      </c>
      <c r="Y184" s="450">
        <v>11.450428658571429</v>
      </c>
    </row>
    <row r="185" spans="15:25">
      <c r="O185" s="448">
        <v>26</v>
      </c>
      <c r="P185" s="449">
        <v>26</v>
      </c>
      <c r="Q185" s="450">
        <v>9.3535717554285718</v>
      </c>
      <c r="R185" s="450">
        <v>6.2751428064285708</v>
      </c>
      <c r="S185" s="450">
        <v>76.447856358571428</v>
      </c>
      <c r="T185" s="450">
        <v>29.154571531428569</v>
      </c>
      <c r="U185" s="450">
        <v>8.3007144928571428</v>
      </c>
      <c r="V185" s="450">
        <v>11.259941372857144</v>
      </c>
      <c r="W185" s="450">
        <v>1.5</v>
      </c>
      <c r="X185" s="450">
        <v>44.616428919999997</v>
      </c>
      <c r="Y185" s="450">
        <v>9.6660000944285702</v>
      </c>
    </row>
    <row r="186" spans="15:25">
      <c r="P186" s="449">
        <v>27</v>
      </c>
      <c r="Q186" s="450">
        <v>8.86</v>
      </c>
      <c r="R186" s="450">
        <v>7.15</v>
      </c>
      <c r="S186" s="829">
        <v>77.430000000000007</v>
      </c>
      <c r="T186" s="450">
        <v>30.35</v>
      </c>
      <c r="U186" s="450">
        <v>8.59</v>
      </c>
      <c r="V186" s="450">
        <v>10.758154460361988</v>
      </c>
      <c r="W186" s="450">
        <v>1.59</v>
      </c>
      <c r="X186" s="450">
        <v>43.84</v>
      </c>
      <c r="Y186" s="450">
        <v>8.27</v>
      </c>
    </row>
    <row r="187" spans="15:25">
      <c r="P187" s="449">
        <v>28</v>
      </c>
      <c r="Q187" s="450">
        <v>8.9135712215714289</v>
      </c>
      <c r="R187" s="450">
        <v>5.7058570728571425</v>
      </c>
      <c r="S187" s="829">
        <v>76.24514443428572</v>
      </c>
      <c r="T187" s="450">
        <v>27.702285765714286</v>
      </c>
      <c r="U187" s="450">
        <v>7.8261427880000003</v>
      </c>
      <c r="V187" s="450">
        <v>11.139168601428571</v>
      </c>
      <c r="W187" s="450">
        <v>1.6000000240000001</v>
      </c>
      <c r="X187" s="450">
        <v>39.995714458571435</v>
      </c>
      <c r="Y187" s="450">
        <v>7.4899999752857136</v>
      </c>
    </row>
    <row r="188" spans="15:25">
      <c r="P188" s="449">
        <v>29</v>
      </c>
      <c r="Q188" s="450">
        <v>9.1244284766060932</v>
      </c>
      <c r="R188" s="450">
        <v>6.4564285959516052</v>
      </c>
      <c r="S188" s="829">
        <v>66.31271307809007</v>
      </c>
      <c r="T188" s="450">
        <v>29.940428597586454</v>
      </c>
      <c r="U188" s="450">
        <v>7.6488569804600273</v>
      </c>
      <c r="V188" s="450">
        <v>10.810358456202879</v>
      </c>
      <c r="W188" s="450">
        <v>1.6000000238418504</v>
      </c>
      <c r="X188" s="450">
        <v>42.704285757882197</v>
      </c>
      <c r="Y188" s="450">
        <v>6.46428571428571</v>
      </c>
    </row>
    <row r="189" spans="15:25">
      <c r="O189" s="448">
        <v>30</v>
      </c>
      <c r="P189" s="449">
        <v>30</v>
      </c>
      <c r="Q189" s="450">
        <v>8.5528571428571407</v>
      </c>
      <c r="R189" s="450">
        <v>4.6828571428571433</v>
      </c>
      <c r="S189" s="829">
        <v>72.048571428571435</v>
      </c>
      <c r="T189" s="450">
        <v>36.729999999999997</v>
      </c>
      <c r="U189" s="450">
        <v>8.18</v>
      </c>
      <c r="V189" s="450">
        <v>12.61</v>
      </c>
      <c r="W189" s="450">
        <v>1.6285714285714283</v>
      </c>
      <c r="X189" s="450">
        <v>44.611428571428576</v>
      </c>
      <c r="Y189" s="450">
        <v>8.2285714285714295</v>
      </c>
    </row>
    <row r="190" spans="15:25">
      <c r="P190" s="449">
        <v>31</v>
      </c>
      <c r="Q190" s="450">
        <v>8.6655714172857152</v>
      </c>
      <c r="R190" s="450">
        <v>6.0697142064285714</v>
      </c>
      <c r="S190" s="829">
        <v>71.543143134285714</v>
      </c>
      <c r="T190" s="450">
        <v>31.720428468571431</v>
      </c>
      <c r="U190" s="450">
        <v>7.0618571554285712</v>
      </c>
      <c r="V190" s="450">
        <v>12.322975702857141</v>
      </c>
      <c r="W190" s="450">
        <v>1.7000000479999999</v>
      </c>
      <c r="X190" s="450">
        <v>43.444999694285706</v>
      </c>
      <c r="Y190" s="450">
        <v>6.7562857354285706</v>
      </c>
    </row>
    <row r="191" spans="15:25">
      <c r="P191" s="449">
        <v>32</v>
      </c>
      <c r="Q191" s="450">
        <v>8.8231430052857132</v>
      </c>
      <c r="R191" s="450">
        <v>7.5088570807142858</v>
      </c>
      <c r="S191" s="450">
        <v>73.754999434285722</v>
      </c>
      <c r="T191" s="450">
        <v>23.255857194285714</v>
      </c>
      <c r="U191" s="450">
        <v>6.2595714159999991</v>
      </c>
      <c r="V191" s="450">
        <v>12.551451548571427</v>
      </c>
      <c r="W191" s="450">
        <v>1.7214285988571427</v>
      </c>
      <c r="X191" s="450">
        <v>38.432857512857147</v>
      </c>
      <c r="Y191" s="450">
        <v>6.4201429230000002</v>
      </c>
    </row>
    <row r="192" spans="15:25">
      <c r="P192" s="449">
        <v>33</v>
      </c>
      <c r="Q192" s="450">
        <v>7.5077142715714285</v>
      </c>
      <c r="R192" s="450">
        <v>3.2121428764285715</v>
      </c>
      <c r="S192" s="450">
        <v>68.878572191428574</v>
      </c>
      <c r="T192" s="450">
        <v>21.297428674285715</v>
      </c>
      <c r="U192" s="450">
        <v>6.3691428730000004</v>
      </c>
      <c r="V192" s="450">
        <v>12.137084417142857</v>
      </c>
      <c r="W192" s="450">
        <v>1.7482857022857143</v>
      </c>
      <c r="X192" s="450">
        <v>36.690713608571421</v>
      </c>
      <c r="Y192" s="450">
        <v>4.7154285567142855</v>
      </c>
    </row>
    <row r="193" spans="15:25">
      <c r="P193" s="449">
        <v>34</v>
      </c>
      <c r="Q193" s="450">
        <v>7.6147142817142859</v>
      </c>
      <c r="R193" s="450">
        <v>3.3949999810000002</v>
      </c>
      <c r="S193" s="450">
        <v>65.663999831428569</v>
      </c>
      <c r="T193" s="450">
        <v>20.922428674285715</v>
      </c>
      <c r="U193" s="450">
        <v>6.115428584</v>
      </c>
      <c r="V193" s="450">
        <v>12.034524235714285</v>
      </c>
      <c r="W193" s="450">
        <v>1.7482857022857143</v>
      </c>
      <c r="X193" s="450">
        <v>34.872856138571429</v>
      </c>
      <c r="Y193" s="450">
        <v>5.7421428814285713</v>
      </c>
    </row>
    <row r="194" spans="15:25">
      <c r="P194" s="449">
        <v>35</v>
      </c>
      <c r="Q194" s="450">
        <v>8.7815715245714294</v>
      </c>
      <c r="R194" s="450">
        <v>7.1025714534285722</v>
      </c>
      <c r="S194" s="450">
        <v>65.224427905714279</v>
      </c>
      <c r="T194" s="450">
        <v>19.458285740000001</v>
      </c>
      <c r="U194" s="450">
        <v>6.3137143680000003</v>
      </c>
      <c r="V194" s="450">
        <v>12.041607177142856</v>
      </c>
      <c r="W194" s="450">
        <v>1.75</v>
      </c>
      <c r="X194" s="450">
        <v>34.16142872428572</v>
      </c>
      <c r="Y194" s="450">
        <v>6.5945714541428577</v>
      </c>
    </row>
    <row r="195" spans="15:25">
      <c r="O195" s="448">
        <v>36</v>
      </c>
      <c r="P195" s="449">
        <v>36</v>
      </c>
      <c r="Q195" s="450">
        <v>8.2851428302857144</v>
      </c>
      <c r="R195" s="450">
        <v>6.7619999824285708</v>
      </c>
      <c r="S195" s="450">
        <v>60.719142914285719</v>
      </c>
      <c r="T195" s="450">
        <v>25.369000025714286</v>
      </c>
      <c r="U195" s="450">
        <v>5.8737142427142857</v>
      </c>
      <c r="V195" s="450">
        <v>12.055594308571429</v>
      </c>
      <c r="W195" s="450">
        <v>1.6425714154285713</v>
      </c>
      <c r="X195" s="450">
        <v>35.968571799999999</v>
      </c>
      <c r="Y195" s="450">
        <v>4.9847143037142851</v>
      </c>
    </row>
    <row r="196" spans="15:25">
      <c r="P196" s="449">
        <v>37</v>
      </c>
      <c r="Q196" s="450">
        <v>7.6475714954285712</v>
      </c>
      <c r="R196" s="450">
        <v>6.5272856442857137</v>
      </c>
      <c r="S196" s="450">
        <v>62.679428645714289</v>
      </c>
      <c r="T196" s="450">
        <v>28.136857168571428</v>
      </c>
      <c r="U196" s="450">
        <v>6.1154285838571436</v>
      </c>
      <c r="V196" s="450">
        <v>12.130952835714286</v>
      </c>
      <c r="W196" s="450">
        <v>1.6457142658571429</v>
      </c>
      <c r="X196" s="450">
        <v>34.324999674285714</v>
      </c>
      <c r="Y196" s="450">
        <v>5.502714293285714</v>
      </c>
    </row>
    <row r="197" spans="15:25">
      <c r="P197" s="449">
        <v>38</v>
      </c>
      <c r="Q197" s="450">
        <v>7.6971428571428575</v>
      </c>
      <c r="R197" s="450">
        <v>5.444285714285714</v>
      </c>
      <c r="S197" s="450">
        <v>65.47</v>
      </c>
      <c r="T197" s="450">
        <v>29.351428571428567</v>
      </c>
      <c r="U197" s="450">
        <v>6.8328571428571419</v>
      </c>
      <c r="V197" s="450">
        <v>12.194285714285716</v>
      </c>
      <c r="W197" s="450">
        <v>1.6014285714285712</v>
      </c>
      <c r="X197" s="450">
        <v>33.131428571428572</v>
      </c>
      <c r="Y197" s="450">
        <v>6.8414285714285716</v>
      </c>
    </row>
    <row r="198" spans="15:25">
      <c r="P198" s="449">
        <v>39</v>
      </c>
      <c r="Q198" s="450">
        <v>7.6702859061104887</v>
      </c>
      <c r="R198" s="450">
        <v>5.896142857415323</v>
      </c>
      <c r="S198" s="450">
        <v>72.930715288434641</v>
      </c>
      <c r="T198" s="450">
        <v>26.470285688127774</v>
      </c>
      <c r="U198" s="450">
        <v>9.2337144442966927</v>
      </c>
      <c r="V198" s="450">
        <v>12.167024339948341</v>
      </c>
      <c r="W198" s="450">
        <v>1.4285714115415273</v>
      </c>
      <c r="X198" s="450">
        <v>32.532142911638481</v>
      </c>
      <c r="Y198" s="450">
        <v>5.5879999569484111</v>
      </c>
    </row>
    <row r="199" spans="15:25">
      <c r="O199" s="448">
        <v>40</v>
      </c>
      <c r="P199" s="449">
        <v>40</v>
      </c>
      <c r="Q199" s="450">
        <v>6.5494285314285721</v>
      </c>
      <c r="R199" s="450">
        <v>3.8238571030000004</v>
      </c>
      <c r="S199" s="450">
        <v>70.661287578571418</v>
      </c>
      <c r="T199" s="450">
        <v>28.190571377142856</v>
      </c>
      <c r="U199" s="450">
        <v>9.6928569934285722</v>
      </c>
      <c r="V199" s="450">
        <v>12.594642775714282</v>
      </c>
      <c r="W199" s="450">
        <v>1.3999999759999999</v>
      </c>
      <c r="X199" s="450">
        <v>36.384999957142853</v>
      </c>
      <c r="Y199" s="450">
        <v>8.0550000327142861</v>
      </c>
    </row>
    <row r="200" spans="15:25">
      <c r="P200" s="449">
        <v>41</v>
      </c>
      <c r="Q200" s="450">
        <v>8.096428529999999</v>
      </c>
      <c r="R200" s="450">
        <v>4.0404286040000006</v>
      </c>
      <c r="S200" s="450">
        <v>65.047571455714291</v>
      </c>
      <c r="T200" s="450">
        <v>47.010571615714284</v>
      </c>
      <c r="U200" s="450">
        <v>10.709857054714286</v>
      </c>
      <c r="V200" s="450">
        <v>13.274107117142858</v>
      </c>
      <c r="W200" s="450">
        <v>1.3785714251428571</v>
      </c>
      <c r="X200" s="450">
        <v>40.987143380000006</v>
      </c>
      <c r="Y200" s="450">
        <v>6.9969999451428562</v>
      </c>
    </row>
    <row r="201" spans="15:25">
      <c r="P201" s="449">
        <v>42</v>
      </c>
      <c r="Q201" s="450">
        <v>7.4685714285714289</v>
      </c>
      <c r="R201" s="450">
        <v>4.8257142857142856</v>
      </c>
      <c r="S201" s="450">
        <v>67.597142857142856</v>
      </c>
      <c r="T201" s="450">
        <v>47.291428571428575</v>
      </c>
      <c r="U201" s="450">
        <v>8.5642857142857132</v>
      </c>
      <c r="V201" s="450">
        <v>13.001428571428571</v>
      </c>
      <c r="W201" s="450">
        <v>1.3499999999999999</v>
      </c>
      <c r="X201" s="450">
        <v>37.554285714285712</v>
      </c>
      <c r="Y201" s="450">
        <v>6.2985714285714289</v>
      </c>
    </row>
    <row r="202" spans="15:25">
      <c r="P202" s="449">
        <v>43</v>
      </c>
      <c r="Q202" s="450">
        <v>8.9041427881428579</v>
      </c>
      <c r="R202" s="450">
        <v>7.354714223857143</v>
      </c>
      <c r="S202" s="450">
        <v>80.445570807142857</v>
      </c>
      <c r="T202" s="450">
        <v>71.934570317142857</v>
      </c>
      <c r="U202" s="450">
        <v>12.279142925142859</v>
      </c>
      <c r="V202" s="450">
        <v>13.139822822857143</v>
      </c>
      <c r="W202" s="450">
        <v>1.2642857177142857</v>
      </c>
      <c r="X202" s="450">
        <v>52.87071446142857</v>
      </c>
      <c r="Y202" s="450">
        <v>11.989999907285712</v>
      </c>
    </row>
    <row r="203" spans="15:25">
      <c r="O203" s="448">
        <v>44</v>
      </c>
      <c r="P203" s="449">
        <v>44</v>
      </c>
      <c r="Q203" s="450">
        <v>7.8245713370000001</v>
      </c>
      <c r="R203" s="450">
        <v>6.0929999348571409</v>
      </c>
      <c r="S203" s="450">
        <v>68.079284669999993</v>
      </c>
      <c r="T203" s="450">
        <v>33.011999948571429</v>
      </c>
      <c r="U203" s="450">
        <v>8.685571329857142</v>
      </c>
      <c r="V203" s="450">
        <v>13.275356975714287</v>
      </c>
      <c r="W203" s="450">
        <v>1.1857142621428574</v>
      </c>
      <c r="X203" s="450">
        <v>36.208572388571426</v>
      </c>
      <c r="Y203" s="450">
        <v>7.9394285338571438</v>
      </c>
    </row>
    <row r="204" spans="15:25">
      <c r="P204" s="449">
        <v>45</v>
      </c>
      <c r="Q204" s="450"/>
      <c r="R204" s="450"/>
      <c r="S204" s="450"/>
      <c r="T204" s="450"/>
      <c r="U204" s="450"/>
      <c r="V204" s="450"/>
      <c r="W204" s="450"/>
      <c r="X204" s="450"/>
      <c r="Y204" s="450"/>
    </row>
    <row r="205" spans="15:25">
      <c r="P205" s="449">
        <v>46</v>
      </c>
      <c r="Q205" s="450"/>
      <c r="R205" s="450"/>
      <c r="S205" s="450"/>
      <c r="T205" s="450"/>
      <c r="U205" s="450"/>
      <c r="V205" s="450"/>
      <c r="W205" s="450"/>
      <c r="X205" s="450"/>
      <c r="Y205" s="450"/>
    </row>
    <row r="206" spans="15:25">
      <c r="P206" s="449">
        <v>47</v>
      </c>
      <c r="Q206" s="450"/>
      <c r="R206" s="450"/>
      <c r="S206" s="450"/>
      <c r="T206" s="450"/>
      <c r="U206" s="450"/>
      <c r="V206" s="450"/>
      <c r="W206" s="450"/>
      <c r="X206" s="450"/>
      <c r="Y206" s="450"/>
    </row>
    <row r="207" spans="15:25">
      <c r="O207" s="448">
        <v>48</v>
      </c>
      <c r="P207" s="449">
        <v>48</v>
      </c>
      <c r="Q207" s="450"/>
      <c r="R207" s="450"/>
      <c r="S207" s="450"/>
      <c r="T207" s="450"/>
      <c r="U207" s="450"/>
      <c r="V207" s="450"/>
      <c r="W207" s="450"/>
      <c r="X207" s="450"/>
      <c r="Y207" s="450"/>
    </row>
    <row r="208" spans="15:25">
      <c r="P208" s="449">
        <v>49</v>
      </c>
      <c r="Q208" s="450"/>
      <c r="R208" s="450"/>
      <c r="S208" s="450"/>
      <c r="T208" s="450"/>
      <c r="U208" s="450"/>
      <c r="V208" s="450"/>
      <c r="W208" s="450"/>
      <c r="X208" s="450"/>
      <c r="Y208" s="450"/>
    </row>
    <row r="209" spans="15:25">
      <c r="P209" s="449">
        <v>50</v>
      </c>
      <c r="Q209" s="450"/>
      <c r="R209" s="450"/>
      <c r="S209" s="450"/>
      <c r="T209" s="450"/>
      <c r="U209" s="450"/>
      <c r="V209" s="450"/>
      <c r="W209" s="450"/>
      <c r="X209" s="450"/>
      <c r="Y209" s="450"/>
    </row>
    <row r="210" spans="15:25">
      <c r="P210" s="449">
        <v>51</v>
      </c>
      <c r="Q210" s="450"/>
      <c r="R210" s="450"/>
      <c r="S210" s="450"/>
      <c r="T210" s="450"/>
      <c r="U210" s="450"/>
      <c r="V210" s="450"/>
      <c r="W210" s="450"/>
      <c r="X210" s="450"/>
      <c r="Y210" s="450"/>
    </row>
    <row r="211" spans="15:25">
      <c r="O211" s="448">
        <v>52</v>
      </c>
      <c r="P211" s="449">
        <v>52</v>
      </c>
      <c r="Q211" s="450"/>
      <c r="R211" s="450"/>
      <c r="S211" s="450"/>
      <c r="T211" s="450"/>
      <c r="U211" s="450"/>
      <c r="V211" s="450"/>
      <c r="W211" s="450"/>
      <c r="X211" s="450"/>
      <c r="Y211" s="450"/>
    </row>
    <row r="212" spans="15:25" hidden="1">
      <c r="P212" s="449"/>
    </row>
    <row r="213" spans="15:25" hidden="1">
      <c r="P213" s="449"/>
    </row>
    <row r="214" spans="15:25" hidden="1">
      <c r="P214" s="449"/>
    </row>
    <row r="215" spans="15:25" hidden="1"/>
    <row r="216" spans="15:25" hidden="1"/>
    <row r="217" spans="15:25" hidden="1"/>
    <row r="218" spans="15:25" hidden="1"/>
    <row r="219" spans="15:25" hidden="1"/>
    <row r="220" spans="15:25">
      <c r="Q220" s="478" t="s">
        <v>277</v>
      </c>
      <c r="R220" s="478" t="s">
        <v>278</v>
      </c>
      <c r="S220" s="478" t="s">
        <v>279</v>
      </c>
      <c r="T220" s="478" t="s">
        <v>280</v>
      </c>
      <c r="U220" s="478" t="s">
        <v>281</v>
      </c>
      <c r="V220" s="478" t="s">
        <v>282</v>
      </c>
      <c r="W220" s="478" t="s">
        <v>283</v>
      </c>
      <c r="X220" s="478" t="s">
        <v>284</v>
      </c>
      <c r="Y220" s="478" t="s">
        <v>285</v>
      </c>
    </row>
  </sheetData>
  <mergeCells count="3">
    <mergeCell ref="A65:L65"/>
    <mergeCell ref="A40:L40"/>
    <mergeCell ref="A18:L18"/>
  </mergeCells>
  <pageMargins left="0.70866141732283472" right="0.70866141732283472" top="1.0236220472440944" bottom="0.62992125984251968" header="0.31496062992125984" footer="0.31496062992125984"/>
  <pageSetup paperSize="9" scale="95" orientation="portrait" r:id="rId1"/>
  <headerFooter>
    <oddHeader>&amp;R&amp;7Informe de la Operación Mensual-Octubre 2019
INFSGI-MES-10-2019
18/10/2019
Versión: 01</oddHeader>
    <oddFooter>&amp;L&amp;7COES, 2019&amp;C13&amp;R&amp;7Dirección Ejecutiva
Sub Dirección de Gestión de Información</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6">
    <tabColor theme="4"/>
  </sheetPr>
  <dimension ref="A1:T59"/>
  <sheetViews>
    <sheetView showGridLines="0" view="pageBreakPreview" zoomScale="115" zoomScaleNormal="100" zoomScaleSheetLayoutView="115" zoomScalePageLayoutView="160" workbookViewId="0">
      <selection activeCell="M12" sqref="M12"/>
    </sheetView>
  </sheetViews>
  <sheetFormatPr defaultColWidth="9.33203125" defaultRowHeight="11.25"/>
  <cols>
    <col min="1" max="1" width="6" customWidth="1"/>
    <col min="2" max="3" width="13.5" customWidth="1"/>
    <col min="4" max="4" width="12.5" customWidth="1"/>
    <col min="5" max="5" width="12.1640625" customWidth="1"/>
    <col min="6" max="6" width="15.83203125" customWidth="1"/>
    <col min="7" max="7" width="13.5" customWidth="1"/>
    <col min="8" max="8" width="12.5" customWidth="1"/>
    <col min="9" max="9" width="11.6640625" customWidth="1"/>
    <col min="10" max="11" width="9.33203125" style="691" customWidth="1"/>
    <col min="12" max="12" width="9.33203125" style="691"/>
    <col min="13" max="13" width="20.5" style="737" customWidth="1"/>
    <col min="14" max="15" width="9.33203125" style="307"/>
    <col min="16" max="20" width="9.33203125" style="691"/>
  </cols>
  <sheetData>
    <row r="1" spans="1:15" ht="11.25" customHeight="1"/>
    <row r="2" spans="1:15" ht="11.25" customHeight="1">
      <c r="A2" s="930" t="s">
        <v>621</v>
      </c>
      <c r="B2" s="930"/>
      <c r="C2" s="930"/>
      <c r="D2" s="930"/>
      <c r="E2" s="930"/>
      <c r="F2" s="930"/>
      <c r="G2" s="930"/>
      <c r="H2" s="930"/>
      <c r="I2" s="930"/>
      <c r="J2" s="930"/>
      <c r="K2" s="930"/>
    </row>
    <row r="3" spans="1:15" ht="11.25" customHeight="1">
      <c r="A3" s="18"/>
      <c r="B3" s="18"/>
      <c r="C3" s="18"/>
      <c r="D3" s="18"/>
      <c r="E3" s="18"/>
      <c r="F3" s="18"/>
      <c r="G3" s="18"/>
      <c r="H3" s="18"/>
      <c r="I3" s="18"/>
      <c r="J3" s="720"/>
      <c r="K3" s="720"/>
      <c r="L3" s="351"/>
    </row>
    <row r="4" spans="1:15" ht="11.25" customHeight="1">
      <c r="A4" s="914" t="s">
        <v>445</v>
      </c>
      <c r="B4" s="914"/>
      <c r="C4" s="914"/>
      <c r="D4" s="914"/>
      <c r="E4" s="914"/>
      <c r="F4" s="914"/>
      <c r="G4" s="914"/>
      <c r="H4" s="914"/>
      <c r="I4" s="183"/>
      <c r="J4" s="721"/>
      <c r="L4" s="351"/>
    </row>
    <row r="5" spans="1:15" ht="7.5" customHeight="1">
      <c r="A5" s="184"/>
      <c r="B5" s="184"/>
      <c r="C5" s="184"/>
      <c r="D5" s="184"/>
      <c r="E5" s="184"/>
      <c r="F5" s="184"/>
      <c r="G5" s="184"/>
      <c r="H5" s="184"/>
      <c r="I5" s="184"/>
      <c r="J5" s="722"/>
      <c r="L5" s="723"/>
    </row>
    <row r="6" spans="1:15" ht="11.25" customHeight="1">
      <c r="A6" s="184"/>
      <c r="B6" s="188" t="s">
        <v>446</v>
      </c>
      <c r="C6" s="184"/>
      <c r="D6" s="184"/>
      <c r="E6" s="184"/>
      <c r="F6" s="184"/>
      <c r="G6" s="184"/>
      <c r="H6" s="184"/>
      <c r="I6" s="184"/>
      <c r="J6" s="722"/>
      <c r="L6" s="724"/>
    </row>
    <row r="7" spans="1:15" ht="7.5" customHeight="1">
      <c r="A7" s="184"/>
      <c r="B7" s="185"/>
      <c r="C7" s="184"/>
      <c r="D7" s="184"/>
      <c r="E7" s="184"/>
      <c r="F7" s="184"/>
      <c r="G7" s="184"/>
      <c r="H7" s="184"/>
      <c r="I7" s="184"/>
      <c r="J7" s="722"/>
      <c r="L7" s="725"/>
    </row>
    <row r="8" spans="1:15" ht="21" customHeight="1">
      <c r="A8" s="184"/>
      <c r="B8" s="534" t="s">
        <v>167</v>
      </c>
      <c r="C8" s="535" t="s">
        <v>168</v>
      </c>
      <c r="D8" s="535" t="s">
        <v>169</v>
      </c>
      <c r="E8" s="535" t="s">
        <v>172</v>
      </c>
      <c r="F8" s="535" t="s">
        <v>171</v>
      </c>
      <c r="G8" s="536" t="s">
        <v>170</v>
      </c>
      <c r="H8" s="180"/>
      <c r="I8" s="180"/>
      <c r="J8" s="726"/>
      <c r="L8" s="727"/>
      <c r="M8" s="738" t="s">
        <v>168</v>
      </c>
      <c r="N8" s="739" t="str">
        <f>M8&amp;"
 ("&amp;ROUND(HLOOKUP(M8,$C$8:$G$9,2,0),2)&amp;"   USD/MWh)"</f>
        <v>PIURA OESTE 220
 (14.89   USD/MWh)</v>
      </c>
    </row>
    <row r="9" spans="1:15" ht="18" customHeight="1">
      <c r="A9" s="184"/>
      <c r="B9" s="537" t="s">
        <v>173</v>
      </c>
      <c r="C9" s="276">
        <v>14.88623809486538</v>
      </c>
      <c r="D9" s="276">
        <v>14.759848142359939</v>
      </c>
      <c r="E9" s="276">
        <v>14.60939067351193</v>
      </c>
      <c r="F9" s="276">
        <v>14.533518283824067</v>
      </c>
      <c r="G9" s="276">
        <v>14.43356135377436</v>
      </c>
      <c r="H9" s="180"/>
      <c r="I9" s="180"/>
      <c r="J9" s="726"/>
      <c r="K9" s="726"/>
      <c r="L9" s="727"/>
      <c r="M9" s="738" t="s">
        <v>169</v>
      </c>
      <c r="N9" s="739" t="str">
        <f>M9&amp;"
("&amp;ROUND(HLOOKUP(M9,$C$8:$G$9,2,0),2)&amp;" USD/MWh)"</f>
        <v>CHICLAYO 220
(14.76 USD/MWh)</v>
      </c>
    </row>
    <row r="10" spans="1:15" ht="14.25" customHeight="1">
      <c r="A10" s="184"/>
      <c r="B10" s="954" t="str">
        <f>"Cuadro N°11: Valor de los costos marginales medios registrados en las principales barras del área norte durante el mes de "&amp;'1. Resumen'!Q4</f>
        <v>Cuadro N°11: Valor de los costos marginales medios registrados en las principales barras del área norte durante el mes de octubre</v>
      </c>
      <c r="C10" s="954"/>
      <c r="D10" s="954"/>
      <c r="E10" s="954"/>
      <c r="F10" s="954"/>
      <c r="G10" s="954"/>
      <c r="H10" s="954"/>
      <c r="I10" s="954"/>
      <c r="J10" s="726"/>
      <c r="K10" s="726"/>
      <c r="L10" s="727"/>
      <c r="M10" s="738" t="s">
        <v>171</v>
      </c>
      <c r="N10" s="739" t="str">
        <f>M10&amp;"
("&amp;ROUND(HLOOKUP(M10,$C$8:$G$9,2,0),2)&amp;" USD/MWh)"</f>
        <v>TRUJILLO 220
(14.53 USD/MWh)</v>
      </c>
    </row>
    <row r="11" spans="1:15" ht="11.25" customHeight="1">
      <c r="A11" s="184"/>
      <c r="B11" s="191"/>
      <c r="C11" s="180"/>
      <c r="D11" s="180"/>
      <c r="E11" s="180"/>
      <c r="F11" s="180"/>
      <c r="G11" s="180"/>
      <c r="H11" s="180"/>
      <c r="I11" s="180"/>
      <c r="J11" s="726"/>
      <c r="K11" s="726"/>
      <c r="L11" s="727"/>
      <c r="M11" s="738" t="s">
        <v>170</v>
      </c>
      <c r="N11" s="739" t="str">
        <f>M11&amp;"
("&amp;ROUND(HLOOKUP(M11,$C$8:$G$9,2,0),2)&amp;" USD/MWh)"</f>
        <v>CHIMBOTE1 138
(14.43 USD/MWh)</v>
      </c>
    </row>
    <row r="12" spans="1:15" ht="11.25" customHeight="1">
      <c r="A12" s="184"/>
      <c r="B12" s="180"/>
      <c r="C12" s="180"/>
      <c r="D12" s="180"/>
      <c r="E12" s="180"/>
      <c r="F12" s="180"/>
      <c r="G12" s="180"/>
      <c r="H12" s="180"/>
      <c r="I12" s="180"/>
      <c r="J12" s="726"/>
      <c r="K12" s="726"/>
      <c r="L12" s="728"/>
      <c r="M12" s="738" t="s">
        <v>172</v>
      </c>
      <c r="N12" s="739" t="str">
        <f>M12&amp;"
("&amp;ROUND(HLOOKUP(M12,$C$8:$G$9,2,0),2)&amp;" USD/MWh)"</f>
        <v>CAJAMARCA 220
(14.61 USD/MWh)</v>
      </c>
    </row>
    <row r="13" spans="1:15" ht="11.25" customHeight="1">
      <c r="A13" s="184"/>
      <c r="B13" s="180"/>
      <c r="C13" s="180"/>
      <c r="D13" s="180"/>
      <c r="E13" s="180"/>
      <c r="F13" s="180"/>
      <c r="G13" s="180"/>
      <c r="H13" s="180"/>
      <c r="I13" s="180"/>
      <c r="J13" s="726"/>
      <c r="K13" s="726"/>
      <c r="L13" s="727"/>
      <c r="M13" s="738"/>
      <c r="N13" s="739"/>
      <c r="O13" s="738"/>
    </row>
    <row r="14" spans="1:15" ht="11.25" customHeight="1">
      <c r="A14" s="184"/>
      <c r="B14" s="180"/>
      <c r="C14" s="180"/>
      <c r="D14" s="180"/>
      <c r="E14" s="180"/>
      <c r="F14" s="180"/>
      <c r="G14" s="180"/>
      <c r="H14" s="180"/>
      <c r="I14" s="180"/>
      <c r="J14" s="726"/>
      <c r="K14" s="726"/>
      <c r="L14" s="727"/>
      <c r="M14" s="738" t="s">
        <v>562</v>
      </c>
      <c r="N14" s="739" t="str">
        <f>M14&amp;"
("&amp;ROUND(HLOOKUP(M14,$C$26:$I$27,2,0),2)&amp;" USD/MWh)"</f>
        <v>CHAVARRIA 220
(14 USD/MWh)</v>
      </c>
    </row>
    <row r="15" spans="1:15" ht="11.25" customHeight="1">
      <c r="A15" s="184"/>
      <c r="B15" s="180"/>
      <c r="C15" s="180"/>
      <c r="D15" s="180"/>
      <c r="E15" s="180"/>
      <c r="F15" s="180"/>
      <c r="G15" s="180"/>
      <c r="H15" s="180"/>
      <c r="I15" s="180"/>
      <c r="J15" s="726"/>
      <c r="K15" s="726"/>
      <c r="L15" s="727"/>
      <c r="M15" s="738" t="s">
        <v>176</v>
      </c>
      <c r="N15" s="739" t="str">
        <f t="shared" ref="N15:N20" si="0">M15&amp;"
("&amp;ROUND(HLOOKUP(M15,$C$26:$I$27,2,0),2)&amp;" USD/MWh)"</f>
        <v>INDEPENDENCIA 220
(14.05 USD/MWh)</v>
      </c>
    </row>
    <row r="16" spans="1:15" ht="11.25" customHeight="1">
      <c r="A16" s="184"/>
      <c r="B16" s="180"/>
      <c r="C16" s="180"/>
      <c r="D16" s="180"/>
      <c r="E16" s="180"/>
      <c r="F16" s="180"/>
      <c r="G16" s="180"/>
      <c r="H16" s="180"/>
      <c r="I16" s="180"/>
      <c r="J16" s="726"/>
      <c r="K16" s="726"/>
      <c r="L16" s="727"/>
      <c r="M16" s="738" t="s">
        <v>177</v>
      </c>
      <c r="N16" s="739" t="str">
        <f t="shared" si="0"/>
        <v>CARABAYLLO 220
(13.99 USD/MWh)</v>
      </c>
    </row>
    <row r="17" spans="1:14" ht="11.25" customHeight="1">
      <c r="A17" s="184"/>
      <c r="B17" s="180"/>
      <c r="C17" s="180"/>
      <c r="D17" s="180"/>
      <c r="E17" s="180"/>
      <c r="F17" s="180"/>
      <c r="G17" s="180"/>
      <c r="H17" s="180"/>
      <c r="I17" s="180"/>
      <c r="J17" s="726"/>
      <c r="K17" s="726"/>
      <c r="L17" s="727"/>
      <c r="M17" s="738" t="s">
        <v>174</v>
      </c>
      <c r="N17" s="739" t="str">
        <f t="shared" si="0"/>
        <v>SANTA ROSA 220
(13.98 USD/MWh)</v>
      </c>
    </row>
    <row r="18" spans="1:14" ht="11.25" customHeight="1">
      <c r="A18" s="184"/>
      <c r="B18" s="180"/>
      <c r="C18" s="180"/>
      <c r="D18" s="180"/>
      <c r="E18" s="180"/>
      <c r="F18" s="180"/>
      <c r="G18" s="180"/>
      <c r="H18" s="180"/>
      <c r="I18" s="180"/>
      <c r="J18" s="726"/>
      <c r="K18" s="726"/>
      <c r="L18" s="727"/>
      <c r="M18" s="738" t="s">
        <v>175</v>
      </c>
      <c r="N18" s="739" t="str">
        <f t="shared" si="0"/>
        <v>SAN JUAN 220
(13.89 USD/MWh)</v>
      </c>
    </row>
    <row r="19" spans="1:14" ht="11.25" customHeight="1">
      <c r="A19" s="184"/>
      <c r="B19" s="180"/>
      <c r="C19" s="180"/>
      <c r="D19" s="180"/>
      <c r="E19" s="180"/>
      <c r="F19" s="180"/>
      <c r="G19" s="180"/>
      <c r="H19" s="180"/>
      <c r="I19" s="180"/>
      <c r="J19" s="726"/>
      <c r="K19" s="726"/>
      <c r="L19" s="729"/>
      <c r="M19" s="738" t="s">
        <v>178</v>
      </c>
      <c r="N19" s="739" t="str">
        <f t="shared" si="0"/>
        <v>POMACOCHA 220
(13.75 USD/MWh)</v>
      </c>
    </row>
    <row r="20" spans="1:14" ht="11.25" customHeight="1">
      <c r="A20" s="184"/>
      <c r="B20" s="190"/>
      <c r="C20" s="190"/>
      <c r="D20" s="190"/>
      <c r="E20" s="190"/>
      <c r="F20" s="190"/>
      <c r="G20" s="180"/>
      <c r="H20" s="180"/>
      <c r="I20" s="180"/>
      <c r="J20" s="726"/>
      <c r="K20" s="726"/>
      <c r="L20" s="727"/>
      <c r="M20" s="738" t="s">
        <v>179</v>
      </c>
      <c r="N20" s="739" t="str">
        <f t="shared" si="0"/>
        <v>OROYA NUEVA 50
(13.67 USD/MWh)</v>
      </c>
    </row>
    <row r="21" spans="1:14" ht="11.25" customHeight="1">
      <c r="A21" s="184"/>
      <c r="B21" s="955" t="str">
        <f>"Gráfico N°20: Costos marginales medios registrados en las principales barras del área norte durante el mes de "&amp;'1. Resumen'!Q4</f>
        <v>Gráfico N°20: Costos marginales medios registrados en las principales barras del área norte durante el mes de octubre</v>
      </c>
      <c r="C21" s="955"/>
      <c r="D21" s="955"/>
      <c r="E21" s="955"/>
      <c r="F21" s="955"/>
      <c r="G21" s="955"/>
      <c r="H21" s="955"/>
      <c r="I21" s="955"/>
      <c r="J21" s="726"/>
      <c r="K21" s="726"/>
      <c r="L21" s="727"/>
      <c r="M21" s="738"/>
      <c r="N21" s="739"/>
    </row>
    <row r="22" spans="1:14" ht="7.5" customHeight="1">
      <c r="A22" s="184"/>
      <c r="B22" s="186"/>
      <c r="C22" s="186"/>
      <c r="D22" s="186"/>
      <c r="E22" s="186"/>
      <c r="F22" s="186"/>
      <c r="G22" s="184"/>
      <c r="H22" s="184"/>
      <c r="I22" s="184"/>
      <c r="J22" s="722"/>
      <c r="K22" s="722"/>
      <c r="L22" s="724"/>
      <c r="M22" s="738"/>
      <c r="N22" s="739"/>
    </row>
    <row r="23" spans="1:14" ht="11.25" customHeight="1">
      <c r="A23" s="184"/>
      <c r="B23" s="186"/>
      <c r="C23" s="186"/>
      <c r="D23" s="186"/>
      <c r="E23" s="186"/>
      <c r="F23" s="186"/>
      <c r="G23" s="184"/>
      <c r="H23" s="184"/>
      <c r="I23" s="184"/>
      <c r="J23" s="722"/>
      <c r="K23" s="722"/>
      <c r="L23" s="730"/>
      <c r="M23" s="738" t="s">
        <v>180</v>
      </c>
      <c r="N23" s="739" t="str">
        <f t="shared" ref="N23:N29" si="1">M23&amp;"
("&amp;ROUND(HLOOKUP(M23,$C$45:$I$46,2,0),2)&amp;" USD/MWh)"</f>
        <v>TINTAYA NUEVA 220
(15.37 USD/MWh)</v>
      </c>
    </row>
    <row r="24" spans="1:14" ht="11.25" customHeight="1">
      <c r="A24" s="184"/>
      <c r="B24" s="189" t="s">
        <v>447</v>
      </c>
      <c r="C24" s="186"/>
      <c r="D24" s="186"/>
      <c r="E24" s="186"/>
      <c r="F24" s="186"/>
      <c r="G24" s="184"/>
      <c r="H24" s="184"/>
      <c r="I24" s="184"/>
      <c r="J24" s="722"/>
      <c r="K24" s="722"/>
      <c r="L24" s="724"/>
      <c r="M24" s="738" t="s">
        <v>181</v>
      </c>
      <c r="N24" s="739" t="str">
        <f t="shared" si="1"/>
        <v>PUNO 138
(14.97 USD/MWh)</v>
      </c>
    </row>
    <row r="25" spans="1:14" ht="6.75" customHeight="1">
      <c r="A25" s="184"/>
      <c r="B25" s="186"/>
      <c r="C25" s="186"/>
      <c r="D25" s="186"/>
      <c r="E25" s="186"/>
      <c r="F25" s="186"/>
      <c r="G25" s="184"/>
      <c r="H25" s="184"/>
      <c r="I25" s="184"/>
      <c r="J25" s="722"/>
      <c r="K25" s="722"/>
      <c r="L25" s="724"/>
      <c r="M25" s="738" t="s">
        <v>182</v>
      </c>
      <c r="N25" s="739" t="str">
        <f t="shared" si="1"/>
        <v>SOCABAYA 220
(14.82 USD/MWh)</v>
      </c>
    </row>
    <row r="26" spans="1:14" ht="25.5" customHeight="1">
      <c r="A26" s="184"/>
      <c r="B26" s="538" t="s">
        <v>167</v>
      </c>
      <c r="C26" s="535" t="s">
        <v>176</v>
      </c>
      <c r="D26" s="535" t="s">
        <v>562</v>
      </c>
      <c r="E26" s="535" t="s">
        <v>177</v>
      </c>
      <c r="F26" s="535" t="s">
        <v>174</v>
      </c>
      <c r="G26" s="535" t="s">
        <v>175</v>
      </c>
      <c r="H26" s="535" t="s">
        <v>178</v>
      </c>
      <c r="I26" s="536" t="s">
        <v>179</v>
      </c>
      <c r="J26" s="731"/>
      <c r="K26" s="726"/>
      <c r="L26" s="727"/>
      <c r="M26" s="738" t="s">
        <v>183</v>
      </c>
      <c r="N26" s="739" t="str">
        <f t="shared" si="1"/>
        <v>MOQUEGUA 138
(14.79 USD/MWh)</v>
      </c>
    </row>
    <row r="27" spans="1:14" ht="18" customHeight="1">
      <c r="A27" s="184"/>
      <c r="B27" s="539" t="s">
        <v>173</v>
      </c>
      <c r="C27" s="276">
        <v>14.049397749528863</v>
      </c>
      <c r="D27" s="276">
        <v>14.000900318503033</v>
      </c>
      <c r="E27" s="276">
        <v>13.990982526681028</v>
      </c>
      <c r="F27" s="276">
        <v>13.980669452364253</v>
      </c>
      <c r="G27" s="276">
        <v>13.888253240816574</v>
      </c>
      <c r="H27" s="276">
        <v>13.748896514807832</v>
      </c>
      <c r="I27" s="276">
        <v>13.671687706890506</v>
      </c>
      <c r="J27" s="732"/>
      <c r="K27" s="726"/>
      <c r="L27" s="727"/>
      <c r="M27" s="738" t="s">
        <v>184</v>
      </c>
      <c r="N27" s="739" t="str">
        <f t="shared" si="1"/>
        <v>DOLORESPATA 138
(14.61 USD/MWh)</v>
      </c>
    </row>
    <row r="28" spans="1:14" ht="19.5" customHeight="1">
      <c r="A28" s="184"/>
      <c r="B28" s="956" t="str">
        <f>"Cuadro N°12: Valor de los costos marginales medios registrados en las principales barras del área centro durante el mes de "&amp;'1. Resumen'!Q4</f>
        <v>Cuadro N°12: Valor de los costos marginales medios registrados en las principales barras del área centro durante el mes de octubre</v>
      </c>
      <c r="C28" s="956"/>
      <c r="D28" s="956"/>
      <c r="E28" s="956"/>
      <c r="F28" s="956"/>
      <c r="G28" s="956"/>
      <c r="H28" s="956"/>
      <c r="I28" s="956"/>
      <c r="J28" s="726"/>
      <c r="K28" s="726"/>
      <c r="L28" s="727"/>
      <c r="M28" s="738" t="s">
        <v>185</v>
      </c>
      <c r="N28" s="739" t="str">
        <f t="shared" si="1"/>
        <v>COTARUSE 220
(14.31 USD/MWh)</v>
      </c>
    </row>
    <row r="29" spans="1:14" ht="11.25" customHeight="1">
      <c r="A29" s="184"/>
      <c r="B29" s="190"/>
      <c r="C29" s="190"/>
      <c r="D29" s="190"/>
      <c r="E29" s="190"/>
      <c r="F29" s="190"/>
      <c r="G29" s="190"/>
      <c r="H29" s="190"/>
      <c r="I29" s="190"/>
      <c r="J29" s="733"/>
      <c r="K29" s="733"/>
      <c r="L29" s="727"/>
      <c r="M29" s="738" t="s">
        <v>186</v>
      </c>
      <c r="N29" s="739" t="str">
        <f t="shared" si="1"/>
        <v>SAN GABAN 138
(14.12 USD/MWh)</v>
      </c>
    </row>
    <row r="30" spans="1:14" ht="11.25" customHeight="1">
      <c r="A30" s="184"/>
      <c r="B30" s="190"/>
      <c r="C30" s="190"/>
      <c r="D30" s="190"/>
      <c r="E30" s="190"/>
      <c r="F30" s="190"/>
      <c r="G30" s="190"/>
      <c r="H30" s="190"/>
      <c r="I30" s="190"/>
      <c r="J30" s="733"/>
      <c r="K30" s="733"/>
      <c r="L30" s="727"/>
      <c r="M30" s="738"/>
      <c r="N30" s="690"/>
    </row>
    <row r="31" spans="1:14" ht="11.25" customHeight="1">
      <c r="A31" s="184"/>
      <c r="B31" s="190"/>
      <c r="C31" s="190"/>
      <c r="D31" s="190"/>
      <c r="E31" s="190"/>
      <c r="F31" s="190"/>
      <c r="G31" s="190"/>
      <c r="H31" s="190"/>
      <c r="I31" s="190"/>
      <c r="J31" s="733"/>
      <c r="K31" s="733"/>
      <c r="L31" s="727"/>
      <c r="M31" s="738"/>
      <c r="N31" s="690"/>
    </row>
    <row r="32" spans="1:14" ht="11.25" customHeight="1">
      <c r="A32" s="184"/>
      <c r="B32" s="190"/>
      <c r="C32" s="190"/>
      <c r="D32" s="190"/>
      <c r="E32" s="190"/>
      <c r="F32" s="190"/>
      <c r="G32" s="190"/>
      <c r="H32" s="190"/>
      <c r="I32" s="190"/>
      <c r="J32" s="733"/>
      <c r="K32" s="733"/>
      <c r="L32" s="727"/>
      <c r="M32" s="738"/>
    </row>
    <row r="33" spans="1:12" ht="11.25" customHeight="1">
      <c r="A33" s="184"/>
      <c r="B33" s="190"/>
      <c r="C33" s="190"/>
      <c r="D33" s="190"/>
      <c r="E33" s="190"/>
      <c r="F33" s="190"/>
      <c r="G33" s="190"/>
      <c r="H33" s="190"/>
      <c r="I33" s="190"/>
      <c r="J33" s="733"/>
      <c r="K33" s="733"/>
      <c r="L33" s="727"/>
    </row>
    <row r="34" spans="1:12" ht="11.25" customHeight="1">
      <c r="A34" s="184"/>
      <c r="B34" s="190"/>
      <c r="C34" s="190"/>
      <c r="D34" s="190"/>
      <c r="E34" s="190"/>
      <c r="F34" s="190"/>
      <c r="G34" s="190"/>
      <c r="H34" s="190"/>
      <c r="I34" s="190"/>
      <c r="J34" s="733"/>
      <c r="K34" s="733"/>
      <c r="L34" s="727"/>
    </row>
    <row r="35" spans="1:12" ht="11.25" customHeight="1">
      <c r="A35" s="184"/>
      <c r="B35" s="190"/>
      <c r="C35" s="190"/>
      <c r="D35" s="190"/>
      <c r="E35" s="190"/>
      <c r="F35" s="190"/>
      <c r="G35" s="190"/>
      <c r="H35" s="190"/>
      <c r="I35" s="190"/>
      <c r="J35" s="733"/>
      <c r="K35" s="733"/>
      <c r="L35" s="734"/>
    </row>
    <row r="36" spans="1:12" ht="11.25" customHeight="1">
      <c r="A36" s="184"/>
      <c r="B36" s="190"/>
      <c r="C36" s="190"/>
      <c r="D36" s="190"/>
      <c r="E36" s="190"/>
      <c r="F36" s="190"/>
      <c r="G36" s="190"/>
      <c r="H36" s="190"/>
      <c r="I36" s="190"/>
      <c r="J36" s="733"/>
      <c r="K36" s="733"/>
      <c r="L36" s="727"/>
    </row>
    <row r="37" spans="1:12" ht="11.25" customHeight="1">
      <c r="A37" s="184"/>
      <c r="B37" s="190"/>
      <c r="C37" s="190"/>
      <c r="D37" s="190"/>
      <c r="E37" s="190"/>
      <c r="F37" s="190"/>
      <c r="G37" s="190"/>
      <c r="H37" s="190"/>
      <c r="I37" s="190"/>
      <c r="J37" s="733"/>
      <c r="K37" s="733"/>
      <c r="L37" s="727"/>
    </row>
    <row r="38" spans="1:12" ht="11.25" customHeight="1">
      <c r="A38" s="184"/>
      <c r="B38" s="190"/>
      <c r="C38" s="190"/>
      <c r="D38" s="190"/>
      <c r="E38" s="190"/>
      <c r="F38" s="190"/>
      <c r="G38" s="190"/>
      <c r="H38" s="190"/>
      <c r="I38" s="190"/>
      <c r="J38" s="733"/>
      <c r="K38" s="733"/>
      <c r="L38" s="727"/>
    </row>
    <row r="39" spans="1:12" ht="11.25" customHeight="1">
      <c r="A39" s="184"/>
      <c r="B39" s="190"/>
      <c r="C39" s="190"/>
      <c r="D39" s="190"/>
      <c r="E39" s="190"/>
      <c r="F39" s="190"/>
      <c r="G39" s="190"/>
      <c r="H39" s="190"/>
      <c r="I39" s="190"/>
      <c r="J39" s="733"/>
      <c r="K39" s="733"/>
      <c r="L39" s="727"/>
    </row>
    <row r="40" spans="1:12" ht="13.5" customHeight="1">
      <c r="A40" s="184"/>
      <c r="B40" s="954" t="str">
        <f>"Gráfico N°21: Costos marginales medios registrados en las principales barras del área centro durante el mes de "&amp;'1. Resumen'!Q4</f>
        <v>Gráfico N°21: Costos marginales medios registrados en las principales barras del área centro durante el mes de octubre</v>
      </c>
      <c r="C40" s="954"/>
      <c r="D40" s="954"/>
      <c r="E40" s="954"/>
      <c r="F40" s="954"/>
      <c r="G40" s="954"/>
      <c r="H40" s="954"/>
      <c r="I40" s="954"/>
      <c r="J40" s="733"/>
      <c r="K40" s="733"/>
      <c r="L40" s="727"/>
    </row>
    <row r="41" spans="1:12" ht="6.75" customHeight="1">
      <c r="A41" s="184"/>
      <c r="B41" s="190"/>
      <c r="C41" s="190"/>
      <c r="D41" s="190"/>
      <c r="E41" s="190"/>
      <c r="F41" s="190"/>
      <c r="G41" s="190"/>
      <c r="H41" s="190"/>
      <c r="I41" s="190"/>
      <c r="J41" s="733"/>
      <c r="K41" s="733"/>
      <c r="L41" s="727"/>
    </row>
    <row r="42" spans="1:12" ht="8.25" customHeight="1">
      <c r="A42" s="184"/>
      <c r="B42" s="186"/>
      <c r="C42" s="186"/>
      <c r="D42" s="186"/>
      <c r="E42" s="186"/>
      <c r="F42" s="186"/>
      <c r="G42" s="186"/>
      <c r="H42" s="186"/>
      <c r="I42" s="186"/>
      <c r="J42" s="735"/>
      <c r="K42" s="735"/>
      <c r="L42" s="11"/>
    </row>
    <row r="43" spans="1:12" ht="11.25" customHeight="1">
      <c r="A43" s="184"/>
      <c r="B43" s="189" t="s">
        <v>448</v>
      </c>
      <c r="C43" s="186"/>
      <c r="D43" s="186"/>
      <c r="E43" s="186"/>
      <c r="F43" s="186"/>
      <c r="G43" s="186"/>
      <c r="H43" s="186"/>
      <c r="I43" s="186"/>
      <c r="J43" s="735"/>
      <c r="K43" s="735"/>
      <c r="L43" s="11"/>
    </row>
    <row r="44" spans="1:12" ht="6.75" customHeight="1">
      <c r="A44" s="184"/>
      <c r="B44" s="186"/>
      <c r="C44" s="186"/>
      <c r="D44" s="186"/>
      <c r="E44" s="186"/>
      <c r="F44" s="186"/>
      <c r="G44" s="186"/>
      <c r="H44" s="186"/>
      <c r="I44" s="186"/>
      <c r="J44" s="735"/>
      <c r="K44" s="735"/>
      <c r="L44" s="11"/>
    </row>
    <row r="45" spans="1:12" ht="27" customHeight="1">
      <c r="A45" s="184"/>
      <c r="B45" s="538" t="s">
        <v>167</v>
      </c>
      <c r="C45" s="535" t="s">
        <v>180</v>
      </c>
      <c r="D45" s="535" t="s">
        <v>181</v>
      </c>
      <c r="E45" s="535" t="s">
        <v>182</v>
      </c>
      <c r="F45" s="535" t="s">
        <v>183</v>
      </c>
      <c r="G45" s="535" t="s">
        <v>184</v>
      </c>
      <c r="H45" s="535" t="s">
        <v>185</v>
      </c>
      <c r="I45" s="536" t="s">
        <v>186</v>
      </c>
      <c r="J45" s="731"/>
      <c r="K45" s="733"/>
    </row>
    <row r="46" spans="1:12" ht="18.75" customHeight="1">
      <c r="A46" s="184"/>
      <c r="B46" s="539" t="s">
        <v>173</v>
      </c>
      <c r="C46" s="276">
        <v>15.374052217280427</v>
      </c>
      <c r="D46" s="276">
        <v>14.971215681257803</v>
      </c>
      <c r="E46" s="276">
        <v>14.824149589269163</v>
      </c>
      <c r="F46" s="276">
        <v>14.790788485850371</v>
      </c>
      <c r="G46" s="276">
        <v>14.609456221484795</v>
      </c>
      <c r="H46" s="276">
        <v>14.313759890610934</v>
      </c>
      <c r="I46" s="276">
        <v>14.12483929302441</v>
      </c>
      <c r="J46" s="732"/>
      <c r="K46" s="733"/>
    </row>
    <row r="47" spans="1:12" ht="18" customHeight="1">
      <c r="A47" s="184"/>
      <c r="B47" s="956" t="str">
        <f>"Cuadro N°13: Valor de los costos marginales medios registrados en las principales barras del área sur durante el mes de "&amp;'1. Resumen'!Q4</f>
        <v>Cuadro N°13: Valor de los costos marginales medios registrados en las principales barras del área sur durante el mes de octubre</v>
      </c>
      <c r="C47" s="956"/>
      <c r="D47" s="956"/>
      <c r="E47" s="956"/>
      <c r="F47" s="956"/>
      <c r="G47" s="956"/>
      <c r="H47" s="956"/>
      <c r="I47" s="956"/>
      <c r="J47" s="732"/>
      <c r="K47" s="733"/>
    </row>
    <row r="48" spans="1:12" ht="12.75">
      <c r="A48" s="184"/>
      <c r="B48" s="190"/>
      <c r="C48" s="190"/>
      <c r="D48" s="190"/>
      <c r="E48" s="190"/>
      <c r="F48" s="190"/>
      <c r="G48" s="180"/>
      <c r="H48" s="180"/>
      <c r="I48" s="180"/>
      <c r="J48" s="726"/>
      <c r="K48" s="733"/>
    </row>
    <row r="49" spans="1:11" ht="12.75">
      <c r="A49" s="184"/>
      <c r="B49" s="180"/>
      <c r="C49" s="180"/>
      <c r="D49" s="180"/>
      <c r="E49" s="180"/>
      <c r="F49" s="180"/>
      <c r="G49" s="180"/>
      <c r="H49" s="180"/>
      <c r="I49" s="180"/>
      <c r="J49" s="726"/>
      <c r="K49" s="733"/>
    </row>
    <row r="50" spans="1:11" ht="12.75">
      <c r="A50" s="184"/>
      <c r="B50" s="111"/>
      <c r="C50" s="111"/>
      <c r="D50" s="111"/>
      <c r="E50" s="111"/>
      <c r="F50" s="111"/>
      <c r="G50" s="111"/>
      <c r="H50" s="111"/>
      <c r="I50" s="111"/>
      <c r="J50" s="736"/>
      <c r="K50" s="733"/>
    </row>
    <row r="51" spans="1:11" ht="12.75">
      <c r="A51" s="184"/>
      <c r="B51" s="111"/>
      <c r="C51" s="111"/>
      <c r="D51" s="111"/>
      <c r="E51" s="111"/>
      <c r="F51" s="111"/>
      <c r="G51" s="111"/>
      <c r="H51" s="111"/>
      <c r="I51" s="111"/>
      <c r="J51" s="736"/>
      <c r="K51" s="733"/>
    </row>
    <row r="52" spans="1:11" ht="12.75">
      <c r="A52" s="184"/>
      <c r="B52" s="111"/>
      <c r="C52" s="111"/>
      <c r="D52" s="111"/>
      <c r="E52" s="111"/>
      <c r="F52" s="111"/>
      <c r="G52" s="111"/>
      <c r="H52" s="111"/>
      <c r="I52" s="111"/>
      <c r="J52" s="736"/>
      <c r="K52" s="733"/>
    </row>
    <row r="53" spans="1:11" ht="12.75">
      <c r="A53" s="184"/>
      <c r="B53" s="111"/>
      <c r="C53" s="111"/>
      <c r="D53" s="111"/>
      <c r="E53" s="111"/>
      <c r="F53" s="111"/>
      <c r="G53" s="111"/>
      <c r="H53" s="111"/>
      <c r="I53" s="111"/>
      <c r="J53" s="736"/>
      <c r="K53" s="733"/>
    </row>
    <row r="54" spans="1:11" ht="12.75">
      <c r="A54" s="184"/>
      <c r="B54" s="111"/>
      <c r="C54" s="111"/>
      <c r="D54" s="111"/>
      <c r="E54" s="111"/>
      <c r="F54" s="111"/>
      <c r="G54" s="111"/>
      <c r="H54" s="111"/>
      <c r="I54" s="111"/>
      <c r="J54" s="736"/>
      <c r="K54" s="733"/>
    </row>
    <row r="55" spans="1:11" ht="12.75">
      <c r="A55" s="184"/>
      <c r="B55" s="111"/>
      <c r="C55" s="111"/>
      <c r="D55" s="111"/>
      <c r="E55" s="111"/>
      <c r="F55" s="111"/>
      <c r="G55" s="111"/>
      <c r="H55" s="111"/>
      <c r="I55" s="111"/>
      <c r="J55" s="736"/>
      <c r="K55" s="733"/>
    </row>
    <row r="56" spans="1:11" ht="12.75">
      <c r="A56" s="184"/>
      <c r="B56" s="180"/>
      <c r="C56" s="180"/>
      <c r="D56" s="180"/>
      <c r="E56" s="180"/>
      <c r="F56" s="180"/>
      <c r="G56" s="180"/>
      <c r="H56" s="180"/>
      <c r="I56" s="180"/>
      <c r="J56" s="726"/>
      <c r="K56" s="733"/>
    </row>
    <row r="57" spans="1:11" ht="12.75">
      <c r="A57" s="184"/>
      <c r="B57" s="180"/>
      <c r="C57" s="180"/>
      <c r="D57" s="180"/>
      <c r="E57" s="180"/>
      <c r="F57" s="180"/>
      <c r="G57" s="180"/>
      <c r="H57" s="180"/>
      <c r="I57" s="180"/>
      <c r="J57" s="726"/>
      <c r="K57" s="733"/>
    </row>
    <row r="58" spans="1:11" ht="12.75">
      <c r="A58" s="184"/>
      <c r="B58" s="954" t="str">
        <f>"Gráfico N°22: Costos marginales medios registrados en las principales barras del área sur durante el mes de "&amp;'1. Resumen'!Q4</f>
        <v>Gráfico N°22: Costos marginales medios registrados en las principales barras del área sur durante el mes de octubre</v>
      </c>
      <c r="C58" s="954"/>
      <c r="D58" s="954"/>
      <c r="E58" s="954"/>
      <c r="F58" s="954"/>
      <c r="G58" s="954"/>
      <c r="H58" s="954"/>
      <c r="I58" s="954"/>
      <c r="J58" s="726"/>
      <c r="K58" s="733"/>
    </row>
    <row r="59" spans="1:11" ht="12.75">
      <c r="A59" s="74"/>
      <c r="B59" s="136"/>
      <c r="C59" s="136"/>
      <c r="D59" s="136"/>
      <c r="E59" s="136"/>
      <c r="F59" s="136"/>
      <c r="G59" s="136"/>
      <c r="H59" s="180"/>
      <c r="I59" s="180"/>
      <c r="J59" s="726"/>
      <c r="K59" s="733"/>
    </row>
  </sheetData>
  <mergeCells count="8">
    <mergeCell ref="B58:I58"/>
    <mergeCell ref="B21:I21"/>
    <mergeCell ref="B10:I10"/>
    <mergeCell ref="A2:K2"/>
    <mergeCell ref="A4:H4"/>
    <mergeCell ref="B28:I28"/>
    <mergeCell ref="B47:I47"/>
    <mergeCell ref="B40:I40"/>
  </mergeCells>
  <pageMargins left="0.70866141732283472" right="0.70866141732283472" top="1.0236220472440944" bottom="0.62992125984251968" header="0.31496062992125984" footer="0.31496062992125984"/>
  <pageSetup paperSize="9" scale="95" orientation="portrait" r:id="rId1"/>
  <headerFooter>
    <oddHeader>&amp;R&amp;7Informe de la Operación Mensual-Octubre 2019
INFSGI-MES-10-2019
18/10/2019
Versión: 01</oddHeader>
    <oddFooter>&amp;L&amp;7COES, 2019&amp;C14&amp;R&amp;7Dirección Ejecutiva
Sub Dirección de Gestión de Información</oddFooter>
  </headerFooter>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7">
    <tabColor theme="4"/>
  </sheetPr>
  <dimension ref="A1:L71"/>
  <sheetViews>
    <sheetView showGridLines="0" view="pageBreakPreview" zoomScale="160" zoomScaleNormal="100" zoomScaleSheetLayoutView="160" zoomScalePageLayoutView="145" workbookViewId="0">
      <selection activeCell="M12" sqref="M12"/>
    </sheetView>
  </sheetViews>
  <sheetFormatPr defaultColWidth="9.33203125" defaultRowHeight="11.25"/>
  <cols>
    <col min="10" max="10" width="9.33203125" customWidth="1"/>
    <col min="11" max="11" width="11.33203125" customWidth="1"/>
    <col min="12" max="12" width="12.33203125" customWidth="1"/>
  </cols>
  <sheetData>
    <row r="1" spans="1:12" ht="11.25" customHeight="1"/>
    <row r="2" spans="1:12" ht="26.25" customHeight="1">
      <c r="A2" s="914" t="s">
        <v>450</v>
      </c>
      <c r="B2" s="914"/>
      <c r="C2" s="914"/>
      <c r="D2" s="914"/>
      <c r="E2" s="914"/>
      <c r="F2" s="914"/>
      <c r="G2" s="914"/>
      <c r="H2" s="914"/>
      <c r="I2" s="914"/>
      <c r="J2" s="914"/>
      <c r="K2" s="914"/>
      <c r="L2" s="914"/>
    </row>
    <row r="3" spans="1:12" ht="11.25" customHeight="1">
      <c r="A3" s="184"/>
      <c r="B3" s="184"/>
      <c r="C3" s="184"/>
      <c r="D3" s="184"/>
      <c r="E3" s="184"/>
      <c r="F3" s="184"/>
      <c r="G3" s="184"/>
      <c r="H3" s="184"/>
      <c r="I3" s="184"/>
      <c r="J3" s="184"/>
      <c r="K3" s="184"/>
      <c r="L3" s="192"/>
    </row>
    <row r="4" spans="1:12" ht="11.25" customHeight="1">
      <c r="A4" s="184"/>
      <c r="B4" s="184"/>
      <c r="C4" s="184"/>
      <c r="D4" s="184"/>
      <c r="E4" s="184"/>
      <c r="F4" s="184"/>
      <c r="G4" s="184"/>
      <c r="H4" s="184"/>
      <c r="I4" s="184"/>
      <c r="J4" s="184"/>
      <c r="K4" s="184"/>
      <c r="L4" s="17"/>
    </row>
    <row r="5" spans="1:12" ht="11.25" customHeight="1">
      <c r="A5" s="184"/>
      <c r="B5" s="184"/>
      <c r="C5" s="184"/>
      <c r="D5" s="184"/>
      <c r="E5" s="184"/>
      <c r="F5" s="184"/>
      <c r="G5" s="184"/>
      <c r="H5" s="184"/>
      <c r="I5" s="184"/>
      <c r="J5" s="184"/>
      <c r="K5" s="184"/>
      <c r="L5" s="17"/>
    </row>
    <row r="6" spans="1:12" ht="11.25" customHeight="1">
      <c r="A6" s="184"/>
      <c r="B6" s="184"/>
      <c r="C6" s="184"/>
      <c r="D6" s="184"/>
      <c r="E6" s="184"/>
      <c r="F6" s="184"/>
      <c r="G6" s="184"/>
      <c r="H6" s="184"/>
      <c r="I6" s="184"/>
      <c r="J6" s="184"/>
      <c r="K6" s="184"/>
      <c r="L6" s="17"/>
    </row>
    <row r="7" spans="1:12" ht="11.25" customHeight="1">
      <c r="A7" s="184"/>
      <c r="B7" s="185"/>
      <c r="C7" s="184"/>
      <c r="D7" s="184"/>
      <c r="E7" s="184"/>
      <c r="F7" s="184"/>
      <c r="G7" s="184"/>
      <c r="H7" s="184"/>
      <c r="I7" s="184"/>
      <c r="J7" s="184"/>
      <c r="K7" s="184"/>
      <c r="L7" s="17"/>
    </row>
    <row r="8" spans="1:12" ht="11.25" customHeight="1">
      <c r="A8" s="184"/>
      <c r="B8" s="185"/>
      <c r="C8" s="184"/>
      <c r="D8" s="184"/>
      <c r="E8" s="184"/>
      <c r="F8" s="184"/>
      <c r="G8" s="184"/>
      <c r="H8" s="184"/>
      <c r="I8" s="184"/>
      <c r="J8" s="184"/>
      <c r="K8" s="184"/>
      <c r="L8" s="17"/>
    </row>
    <row r="9" spans="1:12" ht="11.25" customHeight="1">
      <c r="A9" s="184"/>
      <c r="B9" s="185"/>
      <c r="C9" s="184"/>
      <c r="D9" s="184"/>
      <c r="E9" s="184"/>
      <c r="F9" s="184"/>
      <c r="G9" s="184"/>
      <c r="H9" s="184"/>
      <c r="I9" s="184"/>
      <c r="J9" s="184"/>
      <c r="K9" s="184"/>
      <c r="L9" s="17"/>
    </row>
    <row r="10" spans="1:12" ht="11.25" customHeight="1">
      <c r="A10" s="184"/>
      <c r="B10" s="184"/>
      <c r="C10" s="184"/>
      <c r="D10" s="184"/>
      <c r="E10" s="184"/>
      <c r="F10" s="184"/>
      <c r="G10" s="184"/>
      <c r="H10" s="184"/>
      <c r="I10" s="184"/>
      <c r="J10" s="184"/>
      <c r="K10" s="184"/>
      <c r="L10" s="17"/>
    </row>
    <row r="11" spans="1:12" ht="11.25" customHeight="1">
      <c r="A11" s="184"/>
      <c r="B11" s="184"/>
      <c r="C11" s="184"/>
      <c r="D11" s="184"/>
      <c r="E11" s="184"/>
      <c r="F11" s="184"/>
      <c r="G11" s="184"/>
      <c r="H11" s="184"/>
      <c r="I11" s="184"/>
      <c r="J11" s="184"/>
      <c r="K11" s="184"/>
      <c r="L11" s="17"/>
    </row>
    <row r="12" spans="1:12" ht="11.25" customHeight="1">
      <c r="A12" s="184"/>
      <c r="B12" s="184"/>
      <c r="C12" s="184"/>
      <c r="D12" s="184"/>
      <c r="E12" s="184"/>
      <c r="F12" s="184"/>
      <c r="G12" s="184"/>
      <c r="H12" s="184"/>
      <c r="I12" s="184"/>
      <c r="J12" s="184"/>
      <c r="K12" s="184"/>
      <c r="L12" s="17"/>
    </row>
    <row r="13" spans="1:12" ht="11.25" customHeight="1">
      <c r="A13" s="184"/>
      <c r="B13" s="184"/>
      <c r="C13" s="184"/>
      <c r="D13" s="184"/>
      <c r="E13" s="184"/>
      <c r="F13" s="184"/>
      <c r="G13" s="184"/>
      <c r="H13" s="184"/>
      <c r="I13" s="184"/>
      <c r="J13" s="184"/>
      <c r="K13" s="184"/>
      <c r="L13" s="17"/>
    </row>
    <row r="14" spans="1:12" ht="11.25" customHeight="1">
      <c r="A14" s="184"/>
      <c r="B14" s="184"/>
      <c r="C14" s="184"/>
      <c r="D14" s="184"/>
      <c r="E14" s="184"/>
      <c r="F14" s="184"/>
      <c r="G14" s="184"/>
      <c r="H14" s="184"/>
      <c r="I14" s="184"/>
      <c r="J14" s="184"/>
      <c r="K14" s="184"/>
      <c r="L14" s="17"/>
    </row>
    <row r="15" spans="1:12" ht="11.25" customHeight="1">
      <c r="A15" s="184"/>
      <c r="B15" s="184"/>
      <c r="C15" s="184"/>
      <c r="D15" s="184"/>
      <c r="E15" s="184"/>
      <c r="F15" s="184"/>
      <c r="G15" s="184"/>
      <c r="H15" s="184"/>
      <c r="I15" s="184"/>
      <c r="J15" s="184"/>
      <c r="K15" s="184"/>
      <c r="L15" s="17"/>
    </row>
    <row r="16" spans="1:12" ht="11.25" customHeight="1">
      <c r="A16" s="184"/>
      <c r="B16" s="184"/>
      <c r="C16" s="184"/>
      <c r="D16" s="184"/>
      <c r="E16" s="184"/>
      <c r="F16" s="184"/>
      <c r="G16" s="184"/>
      <c r="H16" s="184"/>
      <c r="I16" s="184"/>
      <c r="J16" s="184"/>
      <c r="K16" s="184"/>
      <c r="L16" s="17"/>
    </row>
    <row r="17" spans="1:12" ht="11.25" customHeight="1">
      <c r="A17" s="184"/>
      <c r="B17" s="184"/>
      <c r="C17" s="184"/>
      <c r="D17" s="184"/>
      <c r="E17" s="184"/>
      <c r="F17" s="184"/>
      <c r="G17" s="184"/>
      <c r="H17" s="184"/>
      <c r="I17" s="184"/>
      <c r="J17" s="184"/>
      <c r="K17" s="184"/>
      <c r="L17" s="17"/>
    </row>
    <row r="18" spans="1:12" ht="11.25" customHeight="1">
      <c r="A18" s="184"/>
      <c r="B18" s="184"/>
      <c r="C18" s="184"/>
      <c r="D18" s="184"/>
      <c r="E18" s="184"/>
      <c r="F18" s="184"/>
      <c r="G18" s="184"/>
      <c r="H18" s="184"/>
      <c r="I18" s="184"/>
      <c r="J18" s="184"/>
      <c r="K18" s="184"/>
      <c r="L18" s="192"/>
    </row>
    <row r="19" spans="1:12" ht="11.25" customHeight="1">
      <c r="A19" s="184"/>
      <c r="B19" s="184"/>
      <c r="C19" s="184"/>
      <c r="D19" s="184"/>
      <c r="E19" s="184"/>
      <c r="F19" s="184"/>
      <c r="G19" s="184"/>
      <c r="H19" s="184"/>
      <c r="I19" s="184"/>
      <c r="J19" s="184"/>
      <c r="K19" s="184"/>
      <c r="L19" s="192"/>
    </row>
    <row r="20" spans="1:12" ht="11.25" customHeight="1">
      <c r="A20" s="184"/>
      <c r="B20" s="184"/>
      <c r="C20" s="184"/>
      <c r="D20" s="184"/>
      <c r="E20" s="184"/>
      <c r="F20" s="184"/>
      <c r="G20" s="184"/>
      <c r="H20" s="184"/>
      <c r="I20" s="184"/>
      <c r="J20" s="184"/>
      <c r="K20" s="184"/>
      <c r="L20" s="192"/>
    </row>
    <row r="21" spans="1:12" ht="11.25" customHeight="1">
      <c r="A21" s="184"/>
      <c r="B21" s="184"/>
      <c r="C21" s="184"/>
      <c r="D21" s="184"/>
      <c r="E21" s="184"/>
      <c r="F21" s="184"/>
      <c r="G21" s="184"/>
      <c r="H21" s="184"/>
      <c r="I21" s="184"/>
      <c r="J21" s="184"/>
      <c r="K21" s="184"/>
      <c r="L21" s="192"/>
    </row>
    <row r="22" spans="1:12" ht="11.25" customHeight="1">
      <c r="A22" s="184"/>
      <c r="B22" s="184"/>
      <c r="C22" s="184"/>
      <c r="D22" s="184"/>
      <c r="E22" s="184"/>
      <c r="F22" s="184"/>
      <c r="G22" s="184"/>
      <c r="H22" s="184"/>
      <c r="I22" s="184"/>
      <c r="J22" s="184"/>
      <c r="K22" s="184"/>
      <c r="L22" s="192"/>
    </row>
    <row r="23" spans="1:12" ht="11.25" customHeight="1">
      <c r="A23" s="184"/>
      <c r="B23" s="184"/>
      <c r="C23" s="184"/>
      <c r="D23" s="184"/>
      <c r="E23" s="184"/>
      <c r="F23" s="184"/>
      <c r="G23" s="184"/>
      <c r="H23" s="184"/>
      <c r="I23" s="184"/>
      <c r="J23" s="184"/>
      <c r="K23" s="184"/>
      <c r="L23" s="192"/>
    </row>
    <row r="24" spans="1:12" ht="11.25" customHeight="1">
      <c r="A24" s="184"/>
      <c r="B24" s="184"/>
      <c r="C24" s="184"/>
      <c r="D24" s="184"/>
      <c r="E24" s="184"/>
      <c r="F24" s="184"/>
      <c r="G24" s="184"/>
      <c r="H24" s="184"/>
      <c r="I24" s="184"/>
      <c r="J24" s="184"/>
      <c r="K24" s="184"/>
      <c r="L24" s="192"/>
    </row>
    <row r="25" spans="1:12" ht="11.25" customHeight="1">
      <c r="A25" s="184"/>
      <c r="B25" s="184"/>
      <c r="C25" s="184"/>
      <c r="D25" s="184"/>
      <c r="E25" s="184"/>
      <c r="F25" s="184"/>
      <c r="G25" s="184"/>
      <c r="H25" s="184"/>
      <c r="I25" s="184"/>
      <c r="J25" s="184"/>
      <c r="K25" s="184"/>
      <c r="L25" s="192"/>
    </row>
    <row r="26" spans="1:12" ht="11.25" customHeight="1">
      <c r="A26" s="184"/>
      <c r="B26" s="184"/>
      <c r="C26" s="184"/>
      <c r="D26" s="184"/>
      <c r="E26" s="184"/>
      <c r="F26" s="184"/>
      <c r="G26" s="184"/>
      <c r="H26" s="184"/>
      <c r="I26" s="184"/>
      <c r="J26" s="184"/>
      <c r="K26" s="184"/>
      <c r="L26" s="192"/>
    </row>
    <row r="27" spans="1:12" ht="11.25" customHeight="1">
      <c r="A27" s="184"/>
      <c r="B27" s="184"/>
      <c r="C27" s="184"/>
      <c r="D27" s="184"/>
      <c r="E27" s="184"/>
      <c r="F27" s="184"/>
      <c r="G27" s="184"/>
      <c r="H27" s="184"/>
      <c r="I27" s="184"/>
      <c r="J27" s="184"/>
      <c r="K27" s="184"/>
      <c r="L27" s="192"/>
    </row>
    <row r="28" spans="1:12" ht="11.25" customHeight="1">
      <c r="A28" s="184"/>
      <c r="B28" s="184"/>
      <c r="C28" s="184"/>
      <c r="D28" s="184"/>
      <c r="E28" s="184"/>
      <c r="F28" s="184"/>
      <c r="G28" s="184"/>
      <c r="H28" s="184"/>
      <c r="I28" s="184"/>
      <c r="J28" s="184"/>
      <c r="K28" s="184"/>
      <c r="L28" s="192"/>
    </row>
    <row r="29" spans="1:12" ht="11.25" customHeight="1">
      <c r="A29" s="184"/>
      <c r="B29" s="184"/>
      <c r="C29" s="184"/>
      <c r="D29" s="184"/>
      <c r="E29" s="184"/>
      <c r="F29" s="184"/>
      <c r="G29" s="184"/>
      <c r="H29" s="184"/>
      <c r="I29" s="184"/>
      <c r="J29" s="184"/>
      <c r="K29" s="184"/>
      <c r="L29" s="192"/>
    </row>
    <row r="30" spans="1:12" ht="11.25" customHeight="1">
      <c r="A30" s="184"/>
      <c r="B30" s="184"/>
      <c r="C30" s="184"/>
      <c r="D30" s="184"/>
      <c r="E30" s="184"/>
      <c r="F30" s="184"/>
      <c r="G30" s="184"/>
      <c r="H30" s="184"/>
      <c r="I30" s="184"/>
      <c r="J30" s="184"/>
      <c r="K30" s="184"/>
      <c r="L30" s="192"/>
    </row>
    <row r="31" spans="1:12" ht="11.25" customHeight="1">
      <c r="A31" s="184"/>
      <c r="B31" s="184"/>
      <c r="C31" s="184"/>
      <c r="D31" s="184"/>
      <c r="E31" s="184"/>
      <c r="F31" s="184"/>
      <c r="G31" s="184"/>
      <c r="H31" s="184"/>
      <c r="I31" s="184"/>
      <c r="J31" s="184"/>
      <c r="K31" s="184"/>
      <c r="L31" s="192"/>
    </row>
    <row r="32" spans="1:12" ht="11.25" customHeight="1">
      <c r="A32" s="184"/>
      <c r="B32" s="184"/>
      <c r="C32" s="184"/>
      <c r="D32" s="184"/>
      <c r="E32" s="184"/>
      <c r="F32" s="184"/>
      <c r="G32" s="184"/>
      <c r="H32" s="184"/>
      <c r="I32" s="184"/>
      <c r="J32" s="184"/>
      <c r="K32" s="184"/>
      <c r="L32" s="73"/>
    </row>
    <row r="33" spans="1:12" ht="11.25" customHeight="1">
      <c r="A33" s="184"/>
      <c r="B33" s="184"/>
      <c r="C33" s="184"/>
      <c r="D33" s="184"/>
      <c r="E33" s="184"/>
      <c r="F33" s="184"/>
      <c r="G33" s="184"/>
      <c r="H33" s="184"/>
      <c r="I33" s="184"/>
      <c r="J33" s="184"/>
      <c r="K33" s="184"/>
      <c r="L33" s="73"/>
    </row>
    <row r="34" spans="1:12" ht="11.25" customHeight="1">
      <c r="A34" s="184"/>
      <c r="B34" s="184"/>
      <c r="C34" s="184"/>
      <c r="D34" s="184"/>
      <c r="E34" s="184"/>
      <c r="F34" s="184"/>
      <c r="G34" s="184"/>
      <c r="H34" s="184"/>
      <c r="I34" s="184"/>
      <c r="J34" s="184"/>
      <c r="K34" s="184"/>
      <c r="L34" s="73"/>
    </row>
    <row r="35" spans="1:12" ht="11.25" customHeight="1">
      <c r="A35" s="184"/>
      <c r="B35" s="184"/>
      <c r="C35" s="184"/>
      <c r="D35" s="184"/>
      <c r="E35" s="184"/>
      <c r="F35" s="184"/>
      <c r="G35" s="184"/>
      <c r="H35" s="184"/>
      <c r="I35" s="184"/>
      <c r="J35" s="184"/>
      <c r="K35" s="184"/>
      <c r="L35" s="73"/>
    </row>
    <row r="36" spans="1:12" ht="11.25" customHeight="1">
      <c r="A36" s="184"/>
      <c r="B36" s="184"/>
      <c r="C36" s="184"/>
      <c r="D36" s="184"/>
      <c r="E36" s="184"/>
      <c r="F36" s="184"/>
      <c r="G36" s="184"/>
      <c r="H36" s="184"/>
      <c r="I36" s="184"/>
      <c r="J36" s="184"/>
      <c r="K36" s="184"/>
      <c r="L36" s="73"/>
    </row>
    <row r="37" spans="1:12" ht="11.25" customHeight="1">
      <c r="A37" s="184"/>
      <c r="B37" s="184"/>
      <c r="C37" s="184"/>
      <c r="D37" s="184"/>
      <c r="E37" s="184"/>
      <c r="F37" s="184"/>
      <c r="G37" s="184"/>
      <c r="H37" s="184"/>
      <c r="I37" s="184"/>
      <c r="J37" s="184"/>
      <c r="K37" s="184"/>
      <c r="L37" s="73"/>
    </row>
    <row r="38" spans="1:12" ht="11.25" customHeight="1">
      <c r="A38" s="184"/>
      <c r="B38" s="184"/>
      <c r="C38" s="184"/>
      <c r="D38" s="184"/>
      <c r="E38" s="184"/>
      <c r="F38" s="184"/>
      <c r="G38" s="184"/>
      <c r="H38" s="184"/>
      <c r="I38" s="184"/>
      <c r="J38" s="184"/>
      <c r="K38" s="184"/>
      <c r="L38" s="73"/>
    </row>
    <row r="39" spans="1:12" ht="11.25" customHeight="1">
      <c r="A39" s="184"/>
      <c r="B39" s="184"/>
      <c r="C39" s="184"/>
      <c r="D39" s="184"/>
      <c r="E39" s="184"/>
      <c r="F39" s="184"/>
      <c r="G39" s="184"/>
      <c r="H39" s="184"/>
      <c r="I39" s="184"/>
      <c r="J39" s="184"/>
      <c r="K39" s="184"/>
      <c r="L39" s="73"/>
    </row>
    <row r="40" spans="1:12" ht="11.25" customHeight="1">
      <c r="A40" s="184"/>
      <c r="B40" s="184"/>
      <c r="C40" s="184"/>
      <c r="D40" s="184"/>
      <c r="E40" s="184"/>
      <c r="F40" s="184"/>
      <c r="G40" s="184"/>
      <c r="H40" s="184"/>
      <c r="I40" s="184"/>
      <c r="J40" s="184"/>
      <c r="K40" s="184"/>
      <c r="L40" s="73"/>
    </row>
    <row r="41" spans="1:12" ht="11.25" customHeight="1">
      <c r="A41" s="184"/>
      <c r="B41" s="184"/>
      <c r="C41" s="184"/>
      <c r="D41" s="184"/>
      <c r="E41" s="184"/>
      <c r="F41" s="184"/>
      <c r="G41" s="184"/>
      <c r="H41" s="184"/>
      <c r="I41" s="184"/>
      <c r="J41" s="184"/>
      <c r="K41" s="184"/>
      <c r="L41" s="73"/>
    </row>
    <row r="42" spans="1:12" ht="11.25" customHeight="1">
      <c r="A42" s="184"/>
      <c r="B42" s="184"/>
      <c r="C42" s="184"/>
      <c r="D42" s="184"/>
      <c r="E42" s="184"/>
      <c r="F42" s="184"/>
      <c r="G42" s="184"/>
      <c r="H42" s="184"/>
      <c r="I42" s="184"/>
      <c r="J42" s="184"/>
      <c r="K42" s="184"/>
      <c r="L42" s="73"/>
    </row>
    <row r="43" spans="1:12" ht="11.25" customHeight="1">
      <c r="A43" s="184"/>
      <c r="B43" s="184"/>
      <c r="C43" s="184"/>
      <c r="D43" s="184"/>
      <c r="E43" s="184"/>
      <c r="F43" s="184"/>
      <c r="G43" s="184"/>
      <c r="H43" s="184"/>
      <c r="I43" s="184"/>
      <c r="J43" s="184"/>
      <c r="K43" s="184"/>
      <c r="L43" s="73"/>
    </row>
    <row r="44" spans="1:12" ht="11.25" customHeight="1">
      <c r="A44" s="74"/>
      <c r="B44" s="74"/>
      <c r="C44" s="74"/>
      <c r="D44" s="74"/>
      <c r="E44" s="74"/>
      <c r="F44" s="74"/>
      <c r="G44" s="74"/>
      <c r="H44" s="74"/>
      <c r="I44" s="74"/>
      <c r="J44" s="74"/>
      <c r="K44" s="184"/>
      <c r="L44" s="73"/>
    </row>
    <row r="45" spans="1:12" ht="11.25" customHeight="1">
      <c r="A45" s="74"/>
      <c r="B45" s="74"/>
      <c r="C45" s="74"/>
      <c r="D45" s="74"/>
      <c r="E45" s="74"/>
      <c r="F45" s="74"/>
      <c r="G45" s="74"/>
      <c r="H45" s="74"/>
      <c r="I45" s="74"/>
      <c r="J45" s="74"/>
      <c r="K45" s="184"/>
      <c r="L45" s="73"/>
    </row>
    <row r="46" spans="1:12" ht="11.25" customHeight="1">
      <c r="A46" s="74"/>
      <c r="B46" s="74"/>
      <c r="C46" s="74"/>
      <c r="D46" s="74"/>
      <c r="E46" s="74"/>
      <c r="F46" s="74"/>
      <c r="G46" s="74"/>
      <c r="H46" s="74"/>
      <c r="I46" s="74"/>
      <c r="J46" s="74"/>
      <c r="K46" s="184"/>
      <c r="L46" s="73"/>
    </row>
    <row r="47" spans="1:12" ht="11.25" customHeight="1">
      <c r="A47" s="74"/>
      <c r="B47" s="74"/>
      <c r="C47" s="74"/>
      <c r="D47" s="74"/>
      <c r="E47" s="74"/>
      <c r="F47" s="74"/>
      <c r="G47" s="74"/>
      <c r="H47" s="74"/>
      <c r="I47" s="74"/>
      <c r="J47" s="74"/>
      <c r="K47" s="184"/>
      <c r="L47" s="73"/>
    </row>
    <row r="48" spans="1:12" ht="11.25" customHeight="1">
      <c r="A48" s="74"/>
      <c r="B48" s="74"/>
      <c r="C48" s="74"/>
      <c r="D48" s="74"/>
      <c r="E48" s="74"/>
      <c r="F48" s="74"/>
      <c r="G48" s="74"/>
      <c r="H48" s="74"/>
      <c r="I48" s="74"/>
      <c r="J48" s="74"/>
      <c r="K48" s="184"/>
      <c r="L48" s="73"/>
    </row>
    <row r="49" spans="1:12" ht="11.25" customHeight="1">
      <c r="A49" s="74"/>
      <c r="B49" s="74"/>
      <c r="C49" s="74"/>
      <c r="D49" s="74"/>
      <c r="E49" s="74"/>
      <c r="F49" s="74"/>
      <c r="G49" s="74"/>
      <c r="H49" s="74"/>
      <c r="I49" s="74"/>
      <c r="J49" s="74"/>
      <c r="K49" s="184"/>
      <c r="L49" s="73"/>
    </row>
    <row r="50" spans="1:12" ht="12.75">
      <c r="A50" s="74"/>
      <c r="B50" s="74"/>
      <c r="C50" s="74"/>
      <c r="D50" s="74"/>
      <c r="E50" s="74"/>
      <c r="F50" s="74"/>
      <c r="G50" s="74"/>
      <c r="H50" s="74"/>
      <c r="I50" s="74"/>
      <c r="J50" s="74"/>
      <c r="K50" s="184"/>
      <c r="L50" s="73"/>
    </row>
    <row r="51" spans="1:12" ht="12.75">
      <c r="A51" s="74"/>
      <c r="B51" s="74"/>
      <c r="C51" s="74"/>
      <c r="D51" s="74"/>
      <c r="E51" s="74"/>
      <c r="F51" s="74"/>
      <c r="G51" s="74"/>
      <c r="H51" s="74"/>
      <c r="I51" s="74"/>
      <c r="J51" s="74"/>
      <c r="K51" s="184"/>
      <c r="L51" s="73"/>
    </row>
    <row r="52" spans="1:12" ht="12.75">
      <c r="A52" s="74"/>
      <c r="B52" s="74"/>
      <c r="C52" s="74"/>
      <c r="D52" s="74"/>
      <c r="E52" s="74"/>
      <c r="F52" s="74"/>
      <c r="G52" s="74"/>
      <c r="H52" s="74"/>
      <c r="I52" s="74"/>
      <c r="J52" s="74"/>
      <c r="K52" s="184"/>
      <c r="L52" s="73"/>
    </row>
    <row r="53" spans="1:12" ht="12.75">
      <c r="A53" s="74"/>
      <c r="B53" s="74"/>
      <c r="C53" s="74"/>
      <c r="D53" s="74"/>
      <c r="E53" s="74"/>
      <c r="F53" s="74"/>
      <c r="G53" s="74"/>
      <c r="H53" s="74"/>
      <c r="I53" s="74"/>
      <c r="J53" s="74"/>
      <c r="K53" s="184"/>
      <c r="L53" s="73"/>
    </row>
    <row r="54" spans="1:12" ht="12.75">
      <c r="A54" s="74"/>
      <c r="B54" s="74"/>
      <c r="C54" s="74"/>
      <c r="D54" s="74"/>
      <c r="E54" s="74"/>
      <c r="F54" s="74"/>
      <c r="G54" s="74"/>
      <c r="H54" s="74"/>
      <c r="I54" s="74"/>
      <c r="J54" s="74"/>
      <c r="K54" s="184"/>
      <c r="L54" s="73"/>
    </row>
    <row r="55" spans="1:12" ht="12.75">
      <c r="A55" s="74"/>
      <c r="B55" s="74"/>
      <c r="C55" s="74"/>
      <c r="D55" s="74"/>
      <c r="E55" s="74"/>
      <c r="F55" s="74"/>
      <c r="G55" s="74"/>
      <c r="H55" s="74"/>
      <c r="I55" s="74"/>
      <c r="J55" s="74"/>
      <c r="K55" s="184"/>
      <c r="L55" s="73"/>
    </row>
    <row r="56" spans="1:12" ht="12.75">
      <c r="A56" s="74"/>
      <c r="B56" s="74"/>
      <c r="C56" s="74"/>
      <c r="D56" s="74"/>
      <c r="E56" s="74"/>
      <c r="F56" s="74"/>
      <c r="G56" s="74"/>
      <c r="H56" s="74"/>
      <c r="I56" s="74"/>
      <c r="J56" s="74"/>
      <c r="K56" s="184"/>
      <c r="L56" s="73"/>
    </row>
    <row r="57" spans="1:12" ht="12.75">
      <c r="A57" s="74"/>
      <c r="B57" s="74"/>
      <c r="C57" s="74"/>
      <c r="D57" s="74"/>
      <c r="E57" s="74"/>
      <c r="F57" s="74"/>
      <c r="G57" s="74"/>
      <c r="H57" s="74"/>
      <c r="I57" s="74"/>
      <c r="J57" s="74"/>
      <c r="K57" s="184"/>
      <c r="L57" s="73"/>
    </row>
    <row r="58" spans="1:12" ht="12.75">
      <c r="A58" s="74"/>
      <c r="B58" s="74"/>
      <c r="C58" s="74"/>
      <c r="D58" s="74"/>
      <c r="E58" s="74"/>
      <c r="F58" s="74"/>
      <c r="G58" s="74"/>
      <c r="H58" s="74"/>
      <c r="I58" s="74"/>
      <c r="J58" s="74"/>
      <c r="K58" s="184"/>
      <c r="L58" s="73"/>
    </row>
    <row r="59" spans="1:12" ht="12.75">
      <c r="A59" s="74"/>
      <c r="B59" s="74"/>
      <c r="C59" s="74"/>
      <c r="D59" s="74"/>
      <c r="E59" s="74"/>
      <c r="F59" s="74"/>
      <c r="G59" s="74"/>
      <c r="H59" s="74"/>
      <c r="I59" s="74"/>
      <c r="J59" s="74"/>
      <c r="K59" s="184"/>
      <c r="L59" s="73"/>
    </row>
    <row r="60" spans="1:12" ht="12.75">
      <c r="A60" s="74"/>
      <c r="B60" s="74"/>
      <c r="C60" s="74"/>
      <c r="D60" s="74"/>
      <c r="E60" s="74"/>
      <c r="F60" s="74"/>
      <c r="G60" s="74"/>
      <c r="H60" s="74"/>
      <c r="I60" s="74"/>
      <c r="J60" s="74"/>
      <c r="K60" s="184"/>
      <c r="L60" s="73"/>
    </row>
    <row r="61" spans="1:12" ht="12.75">
      <c r="A61" s="74"/>
      <c r="B61" s="74"/>
      <c r="C61" s="74"/>
      <c r="D61" s="74"/>
      <c r="E61" s="74"/>
      <c r="F61" s="74"/>
      <c r="G61" s="74"/>
      <c r="H61" s="74"/>
      <c r="I61" s="74"/>
      <c r="J61" s="74"/>
      <c r="K61" s="184"/>
      <c r="L61" s="73"/>
    </row>
    <row r="62" spans="1:12" ht="12.75">
      <c r="A62" s="74"/>
      <c r="B62" s="74"/>
      <c r="C62" s="74"/>
      <c r="D62" s="74"/>
      <c r="E62" s="74"/>
      <c r="F62" s="74"/>
      <c r="G62" s="74"/>
      <c r="H62" s="74"/>
      <c r="I62" s="74"/>
      <c r="J62" s="74"/>
      <c r="K62" s="184"/>
      <c r="L62" s="73"/>
    </row>
    <row r="63" spans="1:12" ht="12.75">
      <c r="A63" s="74"/>
      <c r="B63" s="74"/>
      <c r="C63" s="74"/>
      <c r="D63" s="74"/>
      <c r="E63" s="74"/>
      <c r="F63" s="74"/>
      <c r="G63" s="74"/>
      <c r="H63" s="74"/>
      <c r="I63" s="74"/>
      <c r="J63" s="74"/>
      <c r="K63" s="184"/>
      <c r="L63" s="73"/>
    </row>
    <row r="64" spans="1:12" ht="12.75">
      <c r="A64" s="74"/>
      <c r="B64" s="74"/>
      <c r="C64" s="74"/>
      <c r="D64" s="74"/>
      <c r="E64" s="74"/>
      <c r="F64" s="74"/>
      <c r="G64" s="74"/>
      <c r="H64" s="74"/>
      <c r="I64" s="74"/>
      <c r="J64" s="74"/>
      <c r="K64" s="184"/>
      <c r="L64" s="73"/>
    </row>
    <row r="65" spans="1:12" ht="12.75">
      <c r="A65" s="74"/>
      <c r="B65" s="74"/>
      <c r="C65" s="74"/>
      <c r="D65" s="74"/>
      <c r="E65" s="74"/>
      <c r="F65" s="74"/>
      <c r="G65" s="74"/>
      <c r="H65" s="74"/>
      <c r="I65" s="74"/>
      <c r="J65" s="74"/>
      <c r="K65" s="184"/>
      <c r="L65" s="73"/>
    </row>
    <row r="66" spans="1:12" ht="12.75">
      <c r="A66" s="74"/>
      <c r="B66" s="74"/>
      <c r="C66" s="74"/>
      <c r="D66" s="74"/>
      <c r="E66" s="74"/>
      <c r="F66" s="74"/>
      <c r="G66" s="74"/>
      <c r="H66" s="74"/>
      <c r="I66" s="74"/>
      <c r="J66" s="74"/>
      <c r="K66" s="184"/>
      <c r="L66" s="73"/>
    </row>
    <row r="67" spans="1:12" ht="12.75">
      <c r="A67" s="74"/>
      <c r="B67" s="74"/>
      <c r="C67" s="74"/>
      <c r="D67" s="74"/>
      <c r="E67" s="74"/>
      <c r="F67" s="74"/>
      <c r="G67" s="74"/>
      <c r="H67" s="74"/>
      <c r="I67" s="74"/>
      <c r="J67" s="74"/>
      <c r="K67" s="184"/>
      <c r="L67" s="73"/>
    </row>
    <row r="68" spans="1:12" ht="12.75">
      <c r="A68" s="74"/>
      <c r="B68" s="74"/>
      <c r="C68" s="74"/>
      <c r="D68" s="74"/>
      <c r="E68" s="74"/>
      <c r="F68" s="74"/>
      <c r="G68" s="74"/>
      <c r="H68" s="74"/>
      <c r="I68" s="74"/>
      <c r="J68" s="74"/>
      <c r="K68" s="184"/>
      <c r="L68" s="73"/>
    </row>
    <row r="69" spans="1:12" ht="12.75">
      <c r="A69" s="74"/>
      <c r="B69" s="74"/>
      <c r="C69" s="74"/>
      <c r="D69" s="74"/>
      <c r="E69" s="74"/>
      <c r="F69" s="74"/>
      <c r="G69" s="74"/>
      <c r="H69" s="74"/>
      <c r="I69" s="74"/>
      <c r="J69" s="74"/>
      <c r="K69" s="184"/>
      <c r="L69" s="73"/>
    </row>
    <row r="70" spans="1:12" ht="12.75">
      <c r="A70" s="193"/>
      <c r="B70" s="193"/>
      <c r="C70" s="193"/>
      <c r="D70" s="193"/>
      <c r="E70" s="193"/>
      <c r="F70" s="193"/>
      <c r="G70" s="193"/>
      <c r="H70" s="193"/>
      <c r="I70" s="193"/>
      <c r="J70" s="193"/>
      <c r="K70" s="184"/>
      <c r="L70" s="73"/>
    </row>
    <row r="71" spans="1:12" ht="12.75">
      <c r="A71" s="74"/>
      <c r="B71" s="73"/>
      <c r="C71" s="73"/>
      <c r="D71" s="73"/>
      <c r="E71" s="73"/>
      <c r="F71" s="73"/>
      <c r="G71" s="73"/>
      <c r="H71" s="73"/>
      <c r="I71" s="73"/>
      <c r="J71" s="73"/>
      <c r="K71" s="184"/>
      <c r="L71" s="73"/>
    </row>
  </sheetData>
  <mergeCells count="1">
    <mergeCell ref="A2:L2"/>
  </mergeCells>
  <pageMargins left="0.70866141732283472" right="0.51181102362204722" top="1.0236220472440944" bottom="0.62992125984251968" header="0.31496062992125984" footer="0.31496062992125984"/>
  <pageSetup paperSize="9" scale="95" orientation="portrait" r:id="rId1"/>
  <headerFooter>
    <oddHeader>&amp;R&amp;7Informe de la Operación Mensual-Octubre 2019
INFSGI-MES-10-2019
18/10/2019
Versión: 01</oddHeader>
    <oddFooter>&amp;L&amp;7COES, 2019&amp;C15&amp;R&amp;7Dirección Ejecutiva
Sub Dirección de Gestión de Información</oddFooter>
  </headerFooter>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8">
    <tabColor theme="4"/>
  </sheetPr>
  <dimension ref="A1:L55"/>
  <sheetViews>
    <sheetView showGridLines="0" view="pageBreakPreview" zoomScaleNormal="100" zoomScaleSheetLayoutView="100" zoomScalePageLayoutView="115" workbookViewId="0">
      <selection activeCell="M12" sqref="M12"/>
    </sheetView>
  </sheetViews>
  <sheetFormatPr defaultColWidth="9.33203125" defaultRowHeight="11.25"/>
  <cols>
    <col min="1" max="1" width="12.83203125" style="46" customWidth="1"/>
    <col min="2" max="2" width="19.33203125" style="46" customWidth="1"/>
    <col min="3" max="3" width="25.6640625" style="46" customWidth="1"/>
    <col min="4" max="4" width="10.1640625" style="46" customWidth="1"/>
    <col min="5" max="5" width="11" style="46" customWidth="1"/>
    <col min="6" max="6" width="10.5" style="46" customWidth="1"/>
    <col min="7" max="7" width="12.1640625" style="46" customWidth="1"/>
    <col min="8" max="8" width="12.33203125" style="46" customWidth="1"/>
    <col min="9" max="9" width="9.33203125" style="46"/>
    <col min="10" max="11" width="9.33203125" style="46" customWidth="1"/>
    <col min="12" max="16384" width="9.33203125" style="46"/>
  </cols>
  <sheetData>
    <row r="1" spans="1:12" ht="4.5" customHeight="1"/>
    <row r="2" spans="1:12" ht="14.25" customHeight="1">
      <c r="A2" s="957" t="s">
        <v>449</v>
      </c>
      <c r="B2" s="957"/>
      <c r="C2" s="957"/>
      <c r="D2" s="957"/>
      <c r="E2" s="957"/>
      <c r="F2" s="957"/>
      <c r="G2" s="957"/>
      <c r="H2" s="957"/>
      <c r="I2" s="203"/>
      <c r="J2" s="203"/>
      <c r="K2" s="203"/>
    </row>
    <row r="3" spans="1:12" ht="3" customHeight="1">
      <c r="A3" s="77"/>
      <c r="B3" s="77"/>
      <c r="C3" s="77"/>
      <c r="D3" s="77"/>
      <c r="E3" s="77"/>
      <c r="F3" s="77"/>
      <c r="G3" s="77"/>
      <c r="H3" s="77"/>
      <c r="I3" s="204"/>
      <c r="J3" s="204"/>
      <c r="K3" s="204"/>
      <c r="L3" s="36"/>
    </row>
    <row r="4" spans="1:12" ht="15" customHeight="1">
      <c r="A4" s="948" t="s">
        <v>550</v>
      </c>
      <c r="B4" s="948"/>
      <c r="C4" s="948"/>
      <c r="D4" s="948"/>
      <c r="E4" s="948"/>
      <c r="F4" s="948"/>
      <c r="G4" s="948"/>
      <c r="H4" s="948"/>
      <c r="I4" s="195"/>
      <c r="J4" s="195"/>
      <c r="K4" s="195"/>
      <c r="L4" s="36"/>
    </row>
    <row r="5" spans="1:12" ht="11.25" customHeight="1">
      <c r="A5" s="77"/>
      <c r="B5" s="164"/>
      <c r="C5" s="78"/>
      <c r="D5" s="79"/>
      <c r="E5" s="79"/>
      <c r="F5" s="80"/>
      <c r="G5" s="76"/>
      <c r="H5" s="76"/>
      <c r="I5" s="196"/>
      <c r="J5" s="196"/>
      <c r="K5" s="196"/>
      <c r="L5" s="205"/>
    </row>
    <row r="6" spans="1:12" ht="30.75" customHeight="1">
      <c r="A6" s="566" t="s">
        <v>187</v>
      </c>
      <c r="B6" s="564" t="s">
        <v>188</v>
      </c>
      <c r="C6" s="564" t="s">
        <v>189</v>
      </c>
      <c r="D6" s="563" t="str">
        <f>UPPER('1. Resumen'!Q4)&amp;"
 "&amp;'1. Resumen'!Q5</f>
        <v>OCTUBRE
 2019</v>
      </c>
      <c r="E6" s="563" t="str">
        <f>UPPER('1. Resumen'!Q4)&amp;"
 "&amp;'1. Resumen'!Q5-1</f>
        <v>OCTUBRE
 2018</v>
      </c>
      <c r="F6" s="563" t="str">
        <f>UPPER('1. Resumen'!Q4)&amp;"
 "&amp;'1. Resumen'!Q5-2</f>
        <v>OCTUBRE
 2017</v>
      </c>
      <c r="G6" s="564" t="s">
        <v>527</v>
      </c>
      <c r="H6" s="565" t="s">
        <v>461</v>
      </c>
      <c r="I6" s="196"/>
      <c r="J6" s="196"/>
      <c r="K6" s="196"/>
      <c r="L6" s="166"/>
    </row>
    <row r="7" spans="1:12" ht="14.25" customHeight="1">
      <c r="A7" s="958" t="s">
        <v>191</v>
      </c>
      <c r="B7" s="770" t="s">
        <v>741</v>
      </c>
      <c r="C7" s="771" t="s">
        <v>586</v>
      </c>
      <c r="D7" s="772"/>
      <c r="E7" s="772">
        <v>40.86666666666666</v>
      </c>
      <c r="F7" s="772"/>
      <c r="G7" s="773">
        <f t="shared" ref="G7" si="0">+D7/E7-1</f>
        <v>-1</v>
      </c>
      <c r="H7" s="775"/>
      <c r="I7" s="196"/>
      <c r="J7" s="196"/>
      <c r="K7" s="196"/>
      <c r="L7" s="58"/>
    </row>
    <row r="8" spans="1:12" ht="14.25" customHeight="1">
      <c r="A8" s="959"/>
      <c r="B8" s="845" t="s">
        <v>603</v>
      </c>
      <c r="C8" s="846" t="s">
        <v>604</v>
      </c>
      <c r="D8" s="790"/>
      <c r="E8" s="790"/>
      <c r="F8" s="790">
        <v>0.75</v>
      </c>
      <c r="G8" s="774"/>
      <c r="H8" s="775" t="s">
        <v>23</v>
      </c>
      <c r="I8" s="196"/>
      <c r="J8" s="196"/>
      <c r="K8" s="196"/>
      <c r="L8" s="58"/>
    </row>
    <row r="9" spans="1:12" ht="16.5">
      <c r="A9" s="958" t="s">
        <v>190</v>
      </c>
      <c r="B9" s="770" t="s">
        <v>521</v>
      </c>
      <c r="C9" s="771" t="s">
        <v>475</v>
      </c>
      <c r="D9" s="772">
        <v>134.46666666666667</v>
      </c>
      <c r="E9" s="772"/>
      <c r="F9" s="772"/>
      <c r="G9" s="773"/>
      <c r="H9" s="775"/>
      <c r="I9" s="196"/>
      <c r="J9" s="196"/>
      <c r="K9" s="196"/>
      <c r="L9" s="58"/>
    </row>
    <row r="10" spans="1:12" ht="12.75">
      <c r="A10" s="959"/>
      <c r="B10" s="845" t="s">
        <v>742</v>
      </c>
      <c r="C10" s="846" t="s">
        <v>743</v>
      </c>
      <c r="D10" s="790"/>
      <c r="E10" s="790"/>
      <c r="F10" s="790">
        <v>180.73333333333335</v>
      </c>
      <c r="G10" s="774"/>
      <c r="H10" s="775" t="s">
        <v>23</v>
      </c>
      <c r="I10" s="196"/>
      <c r="J10" s="196"/>
      <c r="K10" s="196"/>
      <c r="L10" s="58"/>
    </row>
    <row r="11" spans="1:12" ht="18.75" customHeight="1">
      <c r="A11" s="556" t="s">
        <v>192</v>
      </c>
      <c r="B11" s="557"/>
      <c r="C11" s="558"/>
      <c r="D11" s="559">
        <f>SUM(D7:D10)</f>
        <v>134.46666666666667</v>
      </c>
      <c r="E11" s="559">
        <f t="shared" ref="E11:F11" si="1">SUM(E7:E10)</f>
        <v>40.86666666666666</v>
      </c>
      <c r="F11" s="559">
        <f t="shared" si="1"/>
        <v>181.48333333333335</v>
      </c>
      <c r="G11" s="865" t="s">
        <v>23</v>
      </c>
      <c r="H11" s="865" t="s">
        <v>23</v>
      </c>
      <c r="I11" s="196"/>
      <c r="J11" s="196"/>
      <c r="K11" s="197"/>
      <c r="L11" s="206"/>
    </row>
    <row r="12" spans="1:12" ht="11.25" customHeight="1">
      <c r="A12" s="274" t="str">
        <f>"Cuadro N° 14: Horas de operación de los principales equipos de congestión en "&amp;'1. Resumen'!Q4</f>
        <v>Cuadro N° 14: Horas de operación de los principales equipos de congestión en octubre</v>
      </c>
      <c r="B12" s="209"/>
      <c r="C12" s="210"/>
      <c r="D12" s="211"/>
      <c r="E12" s="211"/>
      <c r="F12" s="212"/>
      <c r="G12" s="76"/>
      <c r="H12" s="82"/>
      <c r="I12" s="196"/>
      <c r="J12" s="196"/>
      <c r="K12" s="197"/>
      <c r="L12" s="206"/>
    </row>
    <row r="13" spans="1:12" ht="11.25" customHeight="1">
      <c r="A13" s="137"/>
      <c r="B13" s="209"/>
      <c r="C13" s="210"/>
      <c r="D13" s="211"/>
      <c r="E13" s="211"/>
      <c r="F13" s="212"/>
      <c r="G13" s="76"/>
      <c r="H13" s="76"/>
      <c r="I13" s="196"/>
      <c r="J13" s="196"/>
      <c r="K13" s="197"/>
      <c r="L13" s="206"/>
    </row>
    <row r="14" spans="1:12" ht="11.25" customHeight="1">
      <c r="A14" s="137"/>
      <c r="B14" s="209"/>
      <c r="C14" s="210"/>
      <c r="D14" s="211"/>
      <c r="E14" s="211"/>
      <c r="F14" s="212"/>
      <c r="G14" s="76"/>
      <c r="H14" s="76"/>
      <c r="I14" s="196"/>
      <c r="J14" s="196"/>
      <c r="K14" s="197"/>
      <c r="L14" s="206"/>
    </row>
    <row r="15" spans="1:12" ht="11.25" customHeight="1">
      <c r="A15" s="77"/>
      <c r="B15" s="164"/>
      <c r="C15" s="78"/>
      <c r="D15" s="79"/>
      <c r="E15" s="79"/>
      <c r="F15" s="80"/>
      <c r="G15" s="76"/>
      <c r="H15" s="76"/>
      <c r="I15" s="196"/>
      <c r="J15" s="196"/>
      <c r="K15" s="197"/>
      <c r="L15" s="206"/>
    </row>
    <row r="16" spans="1:12" ht="11.25" customHeight="1">
      <c r="A16" s="77"/>
      <c r="B16" s="164"/>
      <c r="C16" s="78"/>
      <c r="D16" s="79"/>
      <c r="E16" s="79"/>
      <c r="F16" s="80"/>
      <c r="G16" s="76"/>
      <c r="H16" s="76"/>
      <c r="I16" s="196"/>
      <c r="J16" s="196"/>
      <c r="K16" s="197"/>
      <c r="L16" s="206"/>
    </row>
    <row r="17" spans="1:12" ht="11.25" customHeight="1">
      <c r="A17" s="77"/>
      <c r="B17" s="164"/>
      <c r="C17" s="78"/>
      <c r="D17" s="79"/>
      <c r="E17" s="79"/>
      <c r="F17" s="80"/>
      <c r="G17" s="76"/>
      <c r="H17" s="76"/>
      <c r="I17" s="196"/>
      <c r="J17" s="196"/>
      <c r="K17" s="197"/>
      <c r="L17" s="207"/>
    </row>
    <row r="18" spans="1:12" ht="11.25" customHeight="1">
      <c r="A18" s="77"/>
      <c r="B18" s="164"/>
      <c r="C18" s="78"/>
      <c r="D18" s="79"/>
      <c r="E18" s="79"/>
      <c r="F18" s="80"/>
      <c r="G18" s="76"/>
      <c r="H18" s="76"/>
      <c r="I18" s="196"/>
      <c r="J18" s="196"/>
      <c r="K18" s="197"/>
      <c r="L18" s="206"/>
    </row>
    <row r="19" spans="1:12" ht="11.25" customHeight="1">
      <c r="A19" s="77"/>
      <c r="B19" s="164"/>
      <c r="C19" s="78"/>
      <c r="D19" s="79"/>
      <c r="E19" s="79"/>
      <c r="F19" s="80"/>
      <c r="G19" s="76"/>
      <c r="H19" s="76"/>
      <c r="I19" s="196"/>
      <c r="J19" s="196"/>
      <c r="K19" s="197"/>
      <c r="L19" s="206"/>
    </row>
    <row r="20" spans="1:12" ht="11.25" customHeight="1">
      <c r="A20" s="77"/>
      <c r="B20" s="164"/>
      <c r="C20" s="78"/>
      <c r="D20" s="79"/>
      <c r="E20" s="79"/>
      <c r="F20" s="80"/>
      <c r="G20" s="76"/>
      <c r="H20" s="76"/>
      <c r="I20" s="196"/>
      <c r="J20" s="196"/>
      <c r="K20" s="196"/>
      <c r="L20" s="58"/>
    </row>
    <row r="21" spans="1:12" ht="11.25" customHeight="1">
      <c r="A21" s="77"/>
      <c r="B21" s="164"/>
      <c r="C21" s="78"/>
      <c r="D21" s="79"/>
      <c r="E21" s="79"/>
      <c r="F21" s="80"/>
      <c r="G21" s="76"/>
      <c r="H21" s="76"/>
      <c r="I21" s="196"/>
      <c r="J21" s="196"/>
      <c r="K21" s="197"/>
      <c r="L21" s="206"/>
    </row>
    <row r="22" spans="1:12" ht="11.25" customHeight="1">
      <c r="A22" s="77"/>
      <c r="B22" s="164"/>
      <c r="C22" s="78"/>
      <c r="D22" s="79"/>
      <c r="E22" s="79"/>
      <c r="F22" s="80"/>
      <c r="G22" s="76"/>
      <c r="H22" s="76"/>
      <c r="I22" s="196"/>
      <c r="J22" s="196"/>
      <c r="K22" s="198"/>
      <c r="L22" s="206"/>
    </row>
    <row r="23" spans="1:12" ht="11.25" customHeight="1">
      <c r="A23" s="77"/>
      <c r="B23" s="164"/>
      <c r="C23" s="78"/>
      <c r="D23" s="79"/>
      <c r="E23" s="79"/>
      <c r="F23" s="80"/>
      <c r="G23" s="76"/>
      <c r="H23" s="76"/>
      <c r="I23" s="196"/>
      <c r="J23" s="196"/>
      <c r="K23" s="198"/>
      <c r="L23" s="206"/>
    </row>
    <row r="24" spans="1:12" ht="11.25" customHeight="1">
      <c r="A24" s="77"/>
      <c r="B24" s="164"/>
      <c r="C24" s="78"/>
      <c r="D24" s="79"/>
      <c r="E24" s="79"/>
      <c r="F24" s="80"/>
      <c r="G24" s="76"/>
      <c r="H24" s="76"/>
      <c r="I24" s="196"/>
      <c r="J24" s="196"/>
      <c r="K24" s="198"/>
      <c r="L24" s="206"/>
    </row>
    <row r="25" spans="1:12" ht="11.25" customHeight="1">
      <c r="A25" s="77"/>
      <c r="B25" s="164"/>
      <c r="C25" s="78"/>
      <c r="D25" s="79"/>
      <c r="E25" s="79"/>
      <c r="F25" s="80"/>
      <c r="G25" s="76"/>
      <c r="H25" s="76"/>
      <c r="I25" s="196"/>
      <c r="J25" s="196"/>
      <c r="K25" s="198"/>
      <c r="L25" s="206"/>
    </row>
    <row r="26" spans="1:12" ht="11.25" customHeight="1">
      <c r="A26" s="77"/>
      <c r="B26" s="164"/>
      <c r="C26" s="78"/>
      <c r="D26" s="79"/>
      <c r="E26" s="79"/>
      <c r="F26" s="80"/>
      <c r="G26" s="76"/>
      <c r="H26" s="76"/>
      <c r="I26" s="196"/>
      <c r="J26" s="196"/>
      <c r="K26" s="198"/>
      <c r="L26" s="206"/>
    </row>
    <row r="27" spans="1:12" ht="11.25" customHeight="1">
      <c r="A27" s="77"/>
      <c r="B27" s="164"/>
      <c r="C27" s="78"/>
      <c r="D27" s="79"/>
      <c r="E27" s="79"/>
      <c r="F27" s="80"/>
      <c r="G27" s="76"/>
      <c r="H27" s="76"/>
      <c r="I27" s="196"/>
      <c r="J27" s="196"/>
      <c r="K27" s="198"/>
      <c r="L27" s="206"/>
    </row>
    <row r="28" spans="1:12" ht="11.25" customHeight="1">
      <c r="A28" s="77"/>
      <c r="B28" s="77"/>
      <c r="C28" s="77"/>
      <c r="D28" s="77"/>
      <c r="E28" s="77"/>
      <c r="F28" s="77"/>
      <c r="G28" s="77"/>
      <c r="H28" s="77"/>
      <c r="I28" s="196"/>
      <c r="J28" s="196"/>
      <c r="K28" s="198"/>
      <c r="L28" s="206"/>
    </row>
    <row r="29" spans="1:12" ht="11.25" customHeight="1">
      <c r="A29" s="77"/>
      <c r="B29" s="77"/>
      <c r="C29" s="77"/>
      <c r="D29" s="77"/>
      <c r="E29" s="77"/>
      <c r="F29" s="77"/>
      <c r="G29" s="77"/>
      <c r="H29" s="77"/>
      <c r="I29" s="196"/>
      <c r="J29" s="196"/>
      <c r="K29" s="199"/>
      <c r="L29" s="59"/>
    </row>
    <row r="30" spans="1:12" ht="11.25" customHeight="1">
      <c r="A30" s="77"/>
      <c r="B30" s="77"/>
      <c r="C30" s="77"/>
      <c r="D30" s="77"/>
      <c r="E30" s="77"/>
      <c r="F30" s="77"/>
      <c r="G30" s="77"/>
      <c r="H30" s="77"/>
      <c r="I30" s="196"/>
      <c r="J30" s="196"/>
      <c r="K30" s="199"/>
      <c r="L30" s="59"/>
    </row>
    <row r="31" spans="1:12" ht="11.25" customHeight="1">
      <c r="A31" s="77"/>
      <c r="B31" s="77"/>
      <c r="C31" s="77"/>
      <c r="D31" s="77"/>
      <c r="E31" s="77"/>
      <c r="F31" s="77"/>
      <c r="G31" s="77"/>
      <c r="H31" s="77"/>
      <c r="I31" s="196"/>
      <c r="J31" s="196"/>
      <c r="K31" s="199"/>
      <c r="L31" s="59"/>
    </row>
    <row r="32" spans="1:12" ht="11.25" customHeight="1">
      <c r="A32" s="77"/>
      <c r="B32" s="77"/>
      <c r="C32" s="77"/>
      <c r="D32" s="77"/>
      <c r="E32" s="77"/>
      <c r="F32" s="77"/>
      <c r="G32" s="77"/>
      <c r="H32" s="77"/>
      <c r="I32" s="196"/>
      <c r="J32" s="196"/>
      <c r="K32" s="199"/>
      <c r="L32" s="59"/>
    </row>
    <row r="33" spans="1:12" ht="8.25" customHeight="1">
      <c r="A33" s="77"/>
      <c r="B33" s="77"/>
      <c r="C33" s="77"/>
      <c r="D33" s="77"/>
      <c r="E33" s="77"/>
      <c r="F33" s="77"/>
      <c r="G33" s="77"/>
      <c r="H33" s="77"/>
      <c r="I33" s="196"/>
      <c r="J33" s="196"/>
      <c r="K33" s="199"/>
      <c r="L33" s="59"/>
    </row>
    <row r="34" spans="1:12" ht="24.75" customHeight="1">
      <c r="A34" s="77"/>
      <c r="B34" s="77"/>
      <c r="C34" s="77"/>
      <c r="D34" s="77"/>
      <c r="E34" s="77"/>
      <c r="F34" s="77"/>
      <c r="G34" s="77"/>
      <c r="H34" s="77"/>
      <c r="I34" s="196"/>
      <c r="J34" s="196"/>
      <c r="K34" s="199"/>
      <c r="L34" s="59"/>
    </row>
    <row r="35" spans="1:12" ht="11.25" customHeight="1">
      <c r="A35" s="77"/>
      <c r="B35" s="77"/>
      <c r="C35" s="77"/>
      <c r="D35" s="77"/>
      <c r="E35" s="77"/>
      <c r="F35" s="77"/>
      <c r="G35" s="77"/>
      <c r="H35" s="77"/>
      <c r="I35" s="196"/>
      <c r="J35" s="196"/>
      <c r="K35" s="199"/>
      <c r="L35" s="59"/>
    </row>
    <row r="36" spans="1:12" ht="11.25" customHeight="1">
      <c r="A36" s="77"/>
      <c r="B36" s="77"/>
      <c r="C36" s="77"/>
      <c r="D36" s="77"/>
      <c r="E36" s="77"/>
      <c r="F36" s="77"/>
      <c r="G36" s="77"/>
      <c r="H36" s="77"/>
      <c r="I36" s="196"/>
      <c r="J36" s="196"/>
      <c r="K36" s="199"/>
      <c r="L36" s="59"/>
    </row>
    <row r="37" spans="1:12" ht="11.25" customHeight="1">
      <c r="A37" s="77"/>
      <c r="B37" s="77"/>
      <c r="C37" s="77"/>
      <c r="D37" s="77"/>
      <c r="E37" s="77"/>
      <c r="F37" s="77"/>
      <c r="G37" s="77"/>
      <c r="H37" s="77"/>
      <c r="I37" s="196"/>
      <c r="J37" s="196"/>
      <c r="K37" s="199"/>
      <c r="L37" s="59"/>
    </row>
    <row r="38" spans="1:12" ht="11.25" customHeight="1">
      <c r="A38" s="77"/>
      <c r="B38" s="77"/>
      <c r="C38" s="77"/>
      <c r="D38" s="77"/>
      <c r="E38" s="77"/>
      <c r="F38" s="77"/>
      <c r="G38" s="77"/>
      <c r="H38" s="77"/>
      <c r="I38" s="196"/>
      <c r="J38" s="196"/>
      <c r="K38" s="198"/>
    </row>
    <row r="39" spans="1:12" ht="11.25" customHeight="1">
      <c r="A39" s="77"/>
      <c r="B39" s="77"/>
      <c r="C39" s="77"/>
      <c r="D39" s="77"/>
      <c r="E39" s="77"/>
      <c r="F39" s="77"/>
      <c r="G39" s="77"/>
      <c r="H39" s="77"/>
      <c r="I39" s="196"/>
      <c r="J39" s="196"/>
      <c r="K39" s="198"/>
    </row>
    <row r="40" spans="1:12" ht="12.75">
      <c r="A40" s="54"/>
      <c r="B40" s="77"/>
      <c r="C40" s="77"/>
      <c r="D40" s="77"/>
      <c r="E40" s="77"/>
      <c r="F40" s="77"/>
      <c r="G40" s="77"/>
      <c r="H40" s="77"/>
      <c r="I40" s="196"/>
      <c r="J40" s="196"/>
      <c r="K40" s="198"/>
    </row>
    <row r="41" spans="1:12" ht="12.75">
      <c r="A41" s="77"/>
      <c r="B41" s="77"/>
      <c r="C41" s="77"/>
      <c r="D41" s="77"/>
      <c r="E41" s="77"/>
      <c r="F41" s="77"/>
      <c r="G41" s="77"/>
      <c r="H41" s="77"/>
      <c r="I41" s="196"/>
      <c r="J41" s="196"/>
      <c r="K41" s="198"/>
    </row>
    <row r="42" spans="1:12" ht="12.75">
      <c r="A42" s="77"/>
      <c r="B42" s="77"/>
      <c r="C42" s="77"/>
      <c r="D42" s="77"/>
      <c r="E42" s="77"/>
      <c r="F42" s="77"/>
      <c r="G42" s="77"/>
      <c r="H42" s="77"/>
      <c r="I42" s="196"/>
      <c r="J42" s="196"/>
      <c r="K42" s="198"/>
    </row>
    <row r="43" spans="1:12" ht="12.75">
      <c r="A43" s="77"/>
      <c r="B43" s="77"/>
      <c r="C43" s="77"/>
      <c r="D43" s="77"/>
      <c r="E43" s="77"/>
      <c r="F43" s="77"/>
      <c r="G43" s="77"/>
      <c r="H43" s="77"/>
      <c r="I43" s="196"/>
      <c r="J43" s="196"/>
      <c r="K43" s="198"/>
    </row>
    <row r="44" spans="1:12" ht="12.75">
      <c r="A44" s="77"/>
      <c r="B44" s="77"/>
      <c r="C44" s="77"/>
      <c r="D44" s="77"/>
      <c r="E44" s="77"/>
      <c r="F44" s="77"/>
      <c r="G44" s="77"/>
      <c r="H44" s="77"/>
      <c r="I44" s="196"/>
      <c r="J44" s="196"/>
      <c r="K44" s="198"/>
    </row>
    <row r="45" spans="1:12" ht="12.75">
      <c r="A45" s="77"/>
      <c r="B45" s="77"/>
      <c r="C45" s="77"/>
      <c r="D45" s="77"/>
      <c r="E45" s="77"/>
      <c r="F45" s="77"/>
      <c r="G45" s="77"/>
      <c r="H45" s="77"/>
      <c r="I45" s="111"/>
      <c r="J45" s="111"/>
      <c r="K45" s="198"/>
    </row>
    <row r="46" spans="1:12" ht="12.75">
      <c r="A46" s="77"/>
      <c r="B46" s="77"/>
      <c r="C46" s="77"/>
      <c r="D46" s="77"/>
      <c r="E46" s="77"/>
      <c r="F46" s="77"/>
      <c r="G46" s="77"/>
      <c r="H46" s="77"/>
      <c r="I46" s="111"/>
      <c r="J46" s="111"/>
      <c r="K46" s="198"/>
    </row>
    <row r="47" spans="1:12" ht="12.75">
      <c r="A47" s="77"/>
      <c r="B47" s="77"/>
      <c r="C47" s="77"/>
      <c r="D47" s="77"/>
      <c r="E47" s="77"/>
      <c r="F47" s="77"/>
      <c r="G47" s="77"/>
      <c r="H47" s="77"/>
      <c r="I47" s="111"/>
      <c r="J47" s="111"/>
      <c r="K47" s="198"/>
    </row>
    <row r="48" spans="1:12" ht="12.75">
      <c r="B48" s="77"/>
      <c r="C48" s="77"/>
      <c r="D48" s="77"/>
      <c r="E48" s="77"/>
      <c r="F48" s="77"/>
      <c r="G48" s="77"/>
      <c r="H48" s="77"/>
      <c r="I48" s="111"/>
      <c r="J48" s="111"/>
      <c r="K48" s="198"/>
    </row>
    <row r="49" spans="1:11" ht="12.75">
      <c r="A49" s="274" t="str">
        <f>"Gráfico N° 23: Comparación de las horas de operación de los principales equipos de congestión en "&amp;'1. Resumen'!Q4&amp;"."</f>
        <v>Gráfico N° 23: Comparación de las horas de operación de los principales equipos de congestión en octubre.</v>
      </c>
      <c r="B49" s="77"/>
      <c r="C49" s="77"/>
      <c r="D49" s="77"/>
      <c r="E49" s="77"/>
      <c r="F49" s="77"/>
      <c r="G49" s="77"/>
      <c r="H49" s="77"/>
      <c r="I49" s="111"/>
      <c r="J49" s="111"/>
      <c r="K49" s="198"/>
    </row>
    <row r="50" spans="1:11" ht="12.75">
      <c r="A50" s="77"/>
      <c r="B50" s="77"/>
      <c r="C50" s="77"/>
      <c r="D50" s="77"/>
      <c r="E50" s="77"/>
      <c r="F50" s="77"/>
      <c r="G50" s="77"/>
      <c r="H50" s="77"/>
      <c r="I50" s="197"/>
      <c r="J50" s="197"/>
      <c r="K50" s="198"/>
    </row>
    <row r="51" spans="1:11" ht="12.75">
      <c r="A51" s="196"/>
      <c r="B51" s="197"/>
      <c r="C51" s="197"/>
      <c r="D51" s="197"/>
      <c r="E51" s="197"/>
      <c r="F51" s="197"/>
      <c r="G51" s="197"/>
      <c r="H51" s="197"/>
      <c r="I51" s="197"/>
      <c r="J51" s="197"/>
      <c r="K51" s="198"/>
    </row>
    <row r="52" spans="1:11" ht="12.75">
      <c r="A52" s="196"/>
      <c r="B52" s="208"/>
      <c r="C52" s="198"/>
      <c r="D52" s="198"/>
      <c r="E52" s="198"/>
      <c r="F52" s="198"/>
      <c r="G52" s="197"/>
      <c r="H52" s="197"/>
      <c r="I52" s="197"/>
      <c r="J52" s="197"/>
      <c r="K52" s="198"/>
    </row>
    <row r="53" spans="1:11" ht="12.75">
      <c r="A53" s="1"/>
      <c r="B53" s="31"/>
      <c r="C53" s="31"/>
      <c r="D53" s="31"/>
      <c r="E53" s="31"/>
      <c r="F53" s="31"/>
      <c r="G53" s="31"/>
      <c r="H53" s="197"/>
      <c r="I53" s="197"/>
      <c r="J53" s="197"/>
      <c r="K53" s="198"/>
    </row>
    <row r="54" spans="1:11" ht="12.75">
      <c r="A54" s="1"/>
      <c r="B54" s="31"/>
      <c r="C54" s="31"/>
      <c r="D54" s="31"/>
      <c r="E54" s="31"/>
      <c r="F54" s="31"/>
      <c r="G54" s="31"/>
      <c r="H54" s="197"/>
      <c r="I54" s="197"/>
      <c r="J54" s="197"/>
      <c r="K54" s="197"/>
    </row>
    <row r="55" spans="1:11" ht="12.75">
      <c r="A55" s="1"/>
      <c r="B55" s="31"/>
      <c r="C55" s="31"/>
      <c r="D55" s="31"/>
      <c r="E55" s="31"/>
      <c r="F55" s="31"/>
      <c r="G55" s="31"/>
      <c r="H55" s="197"/>
      <c r="I55" s="197"/>
      <c r="J55" s="197"/>
      <c r="K55" s="197"/>
    </row>
  </sheetData>
  <mergeCells count="4">
    <mergeCell ref="A4:H4"/>
    <mergeCell ref="A2:H2"/>
    <mergeCell ref="A7:A8"/>
    <mergeCell ref="A9:A10"/>
  </mergeCells>
  <pageMargins left="0.70866141732283472" right="0.70866141732283472" top="1.0236220472440944" bottom="0.62992125984251968" header="0.31496062992125984" footer="0.31496062992125984"/>
  <pageSetup paperSize="9" scale="95" orientation="portrait" r:id="rId1"/>
  <headerFooter>
    <oddHeader>&amp;R&amp;7Informe de la Operación Mensual-Octubre 2019
INFSGI-MES-10-2019
18/10/2019
Versión: 01</oddHeader>
    <oddFooter>&amp;L&amp;7COES, 2019&amp;C16&amp;R&amp;7Dirección Ejecutiva
Sub Dirección de Gestión de Información</oddFooter>
  </headerFooter>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9">
    <tabColor theme="4"/>
  </sheetPr>
  <dimension ref="A1:L251"/>
  <sheetViews>
    <sheetView showGridLines="0" view="pageBreakPreview" zoomScale="145" zoomScaleNormal="160" zoomScaleSheetLayoutView="145" zoomScalePageLayoutView="160" workbookViewId="0">
      <selection activeCell="M12" sqref="M12"/>
    </sheetView>
  </sheetViews>
  <sheetFormatPr defaultColWidth="9.33203125" defaultRowHeight="11.25"/>
  <cols>
    <col min="1" max="1" width="19.6640625" customWidth="1"/>
    <col min="2" max="2" width="12.33203125" customWidth="1"/>
    <col min="3" max="4" width="9" customWidth="1"/>
    <col min="5" max="5" width="13.5" customWidth="1"/>
    <col min="6" max="6" width="12" customWidth="1"/>
    <col min="7" max="7" width="11" customWidth="1"/>
    <col min="8" max="8" width="8.6640625" customWidth="1"/>
    <col min="9" max="9" width="6.6640625" customWidth="1"/>
    <col min="10" max="10" width="12.5" customWidth="1"/>
    <col min="11" max="11" width="9.33203125" customWidth="1"/>
  </cols>
  <sheetData>
    <row r="1" spans="1:12" ht="11.25" customHeight="1"/>
    <row r="2" spans="1:12" ht="32.25" customHeight="1">
      <c r="A2" s="967" t="s">
        <v>491</v>
      </c>
      <c r="B2" s="967"/>
      <c r="C2" s="967"/>
      <c r="D2" s="967"/>
      <c r="E2" s="967"/>
      <c r="F2" s="967"/>
      <c r="G2" s="967"/>
      <c r="H2" s="967"/>
      <c r="I2" s="967"/>
      <c r="J2" s="967"/>
      <c r="K2" s="163"/>
    </row>
    <row r="3" spans="1:12" ht="6.75" customHeight="1">
      <c r="A3" s="17"/>
      <c r="B3" s="159"/>
      <c r="C3" s="213"/>
      <c r="D3" s="18"/>
      <c r="E3" s="18"/>
      <c r="F3" s="192"/>
      <c r="G3" s="66"/>
      <c r="H3" s="66"/>
      <c r="I3" s="71"/>
      <c r="J3" s="163"/>
      <c r="K3" s="163"/>
      <c r="L3" s="36"/>
    </row>
    <row r="4" spans="1:12" ht="15" customHeight="1">
      <c r="A4" s="968" t="s">
        <v>549</v>
      </c>
      <c r="B4" s="968"/>
      <c r="C4" s="968"/>
      <c r="D4" s="968"/>
      <c r="E4" s="968"/>
      <c r="F4" s="968"/>
      <c r="G4" s="968"/>
      <c r="H4" s="968"/>
      <c r="I4" s="968"/>
      <c r="J4" s="968"/>
      <c r="K4" s="163"/>
      <c r="L4" s="36"/>
    </row>
    <row r="5" spans="1:12" ht="38.25" customHeight="1">
      <c r="A5" s="965" t="s">
        <v>193</v>
      </c>
      <c r="B5" s="568" t="s">
        <v>194</v>
      </c>
      <c r="C5" s="569" t="s">
        <v>195</v>
      </c>
      <c r="D5" s="569" t="s">
        <v>196</v>
      </c>
      <c r="E5" s="569" t="s">
        <v>197</v>
      </c>
      <c r="F5" s="569" t="s">
        <v>198</v>
      </c>
      <c r="G5" s="569" t="s">
        <v>199</v>
      </c>
      <c r="H5" s="569" t="s">
        <v>200</v>
      </c>
      <c r="I5" s="570" t="s">
        <v>201</v>
      </c>
      <c r="J5" s="571" t="s">
        <v>202</v>
      </c>
      <c r="K5" s="131"/>
    </row>
    <row r="6" spans="1:12" ht="11.25" customHeight="1">
      <c r="A6" s="966"/>
      <c r="B6" s="776" t="s">
        <v>203</v>
      </c>
      <c r="C6" s="570" t="s">
        <v>204</v>
      </c>
      <c r="D6" s="570" t="s">
        <v>205</v>
      </c>
      <c r="E6" s="570" t="s">
        <v>206</v>
      </c>
      <c r="F6" s="570" t="s">
        <v>207</v>
      </c>
      <c r="G6" s="570" t="s">
        <v>208</v>
      </c>
      <c r="H6" s="570" t="s">
        <v>209</v>
      </c>
      <c r="I6" s="777"/>
      <c r="J6" s="778" t="s">
        <v>210</v>
      </c>
      <c r="K6" s="19"/>
    </row>
    <row r="7" spans="1:12" ht="12" customHeight="1">
      <c r="A7" s="791" t="s">
        <v>459</v>
      </c>
      <c r="B7" s="792">
        <v>6</v>
      </c>
      <c r="C7" s="792">
        <v>5</v>
      </c>
      <c r="D7" s="792"/>
      <c r="E7" s="793">
        <v>1</v>
      </c>
      <c r="F7" s="792">
        <v>10</v>
      </c>
      <c r="G7" s="792"/>
      <c r="H7" s="792"/>
      <c r="I7" s="794">
        <f>+SUM(B7:H7)</f>
        <v>22</v>
      </c>
      <c r="J7" s="795">
        <v>92.839999999999989</v>
      </c>
      <c r="K7" s="22"/>
    </row>
    <row r="8" spans="1:12" s="819" customFormat="1" ht="12" customHeight="1">
      <c r="A8" s="791" t="s">
        <v>744</v>
      </c>
      <c r="B8" s="792"/>
      <c r="C8" s="792"/>
      <c r="D8" s="792"/>
      <c r="E8" s="793"/>
      <c r="F8" s="792">
        <v>1</v>
      </c>
      <c r="G8" s="792"/>
      <c r="H8" s="792"/>
      <c r="I8" s="794">
        <f t="shared" ref="I8:I12" si="0">+SUM(B8:H8)</f>
        <v>1</v>
      </c>
      <c r="J8" s="795">
        <v>0.35</v>
      </c>
      <c r="K8" s="22"/>
    </row>
    <row r="9" spans="1:12" ht="16.5" customHeight="1">
      <c r="A9" s="791" t="s">
        <v>571</v>
      </c>
      <c r="B9" s="796"/>
      <c r="C9" s="792"/>
      <c r="D9" s="792">
        <v>1</v>
      </c>
      <c r="E9" s="793"/>
      <c r="F9" s="792"/>
      <c r="G9" s="792"/>
      <c r="H9" s="792"/>
      <c r="I9" s="794">
        <f t="shared" si="0"/>
        <v>1</v>
      </c>
      <c r="J9" s="795">
        <v>0.13</v>
      </c>
      <c r="K9" s="22"/>
    </row>
    <row r="10" spans="1:12" ht="12" customHeight="1">
      <c r="A10" s="797" t="s">
        <v>514</v>
      </c>
      <c r="B10" s="792"/>
      <c r="C10" s="792">
        <v>1</v>
      </c>
      <c r="D10" s="792"/>
      <c r="E10" s="793"/>
      <c r="F10" s="792"/>
      <c r="G10" s="792"/>
      <c r="H10" s="792"/>
      <c r="I10" s="794">
        <f t="shared" si="0"/>
        <v>1</v>
      </c>
      <c r="J10" s="795">
        <v>74.64</v>
      </c>
      <c r="K10" s="22"/>
    </row>
    <row r="11" spans="1:12" ht="12" customHeight="1">
      <c r="A11" s="797" t="s">
        <v>167</v>
      </c>
      <c r="B11" s="792"/>
      <c r="C11" s="792"/>
      <c r="D11" s="792"/>
      <c r="E11" s="793">
        <v>1</v>
      </c>
      <c r="F11" s="792">
        <v>1</v>
      </c>
      <c r="G11" s="792"/>
      <c r="H11" s="792"/>
      <c r="I11" s="794">
        <f t="shared" si="0"/>
        <v>2</v>
      </c>
      <c r="J11" s="795">
        <v>24.5</v>
      </c>
      <c r="K11" s="22"/>
    </row>
    <row r="12" spans="1:12" ht="12" customHeight="1">
      <c r="A12" s="791" t="s">
        <v>745</v>
      </c>
      <c r="B12" s="796"/>
      <c r="C12" s="792"/>
      <c r="D12" s="792"/>
      <c r="E12" s="793"/>
      <c r="F12" s="792">
        <v>1</v>
      </c>
      <c r="G12" s="792"/>
      <c r="H12" s="792"/>
      <c r="I12" s="794">
        <f t="shared" si="0"/>
        <v>1</v>
      </c>
      <c r="J12" s="795">
        <v>9.1999999999999993</v>
      </c>
      <c r="K12" s="22"/>
    </row>
    <row r="13" spans="1:12" ht="14.25" customHeight="1">
      <c r="A13" s="787" t="s">
        <v>201</v>
      </c>
      <c r="B13" s="779">
        <f t="shared" ref="B13:H13" si="1">+SUM(B7:B12)</f>
        <v>6</v>
      </c>
      <c r="C13" s="779">
        <f t="shared" si="1"/>
        <v>6</v>
      </c>
      <c r="D13" s="779">
        <f t="shared" si="1"/>
        <v>1</v>
      </c>
      <c r="E13" s="779">
        <f t="shared" si="1"/>
        <v>2</v>
      </c>
      <c r="F13" s="779">
        <f t="shared" si="1"/>
        <v>13</v>
      </c>
      <c r="G13" s="779">
        <f t="shared" si="1"/>
        <v>0</v>
      </c>
      <c r="H13" s="779">
        <f t="shared" si="1"/>
        <v>0</v>
      </c>
      <c r="I13" s="779">
        <f>SUM(I7:I12)</f>
        <v>28</v>
      </c>
      <c r="J13" s="780">
        <f>SUM(J7:J12)</f>
        <v>201.65999999999997</v>
      </c>
      <c r="K13" s="22"/>
    </row>
    <row r="14" spans="1:12" ht="11.25" customHeight="1">
      <c r="A14" s="969" t="str">
        <f>"Cuadro N°15: Número de fallas y energía interrumpida (MWh) por tipo de equipo y Causa según clasificacion CIER en el mes de "&amp;'1. Resumen'!Q4&amp;" "&amp;'1. Resumen'!Q5</f>
        <v>Cuadro N°15: Número de fallas y energía interrumpida (MWh) por tipo de equipo y Causa según clasificacion CIER en el mes de octubre 2019</v>
      </c>
      <c r="B14" s="969"/>
      <c r="C14" s="969"/>
      <c r="D14" s="969"/>
      <c r="E14" s="969"/>
      <c r="F14" s="969"/>
      <c r="G14" s="969"/>
      <c r="H14" s="969"/>
      <c r="I14" s="969"/>
      <c r="J14" s="969"/>
      <c r="K14" s="22"/>
    </row>
    <row r="15" spans="1:12" ht="11.25" customHeight="1">
      <c r="K15" s="22"/>
    </row>
    <row r="16" spans="1:12" ht="11.25" customHeight="1">
      <c r="A16" s="17"/>
      <c r="B16" s="216"/>
      <c r="C16" s="215"/>
      <c r="D16" s="215"/>
      <c r="E16" s="215"/>
      <c r="F16" s="215"/>
      <c r="G16" s="178"/>
      <c r="H16" s="178"/>
      <c r="I16" s="138"/>
      <c r="J16" s="25"/>
      <c r="K16" s="25"/>
      <c r="L16" s="22"/>
    </row>
    <row r="17" spans="1:12" ht="11.25" customHeight="1">
      <c r="A17" s="962" t="str">
        <f>"FALLAS  POR TIPO DE CAUSA  -  "&amp;UPPER('1. Resumen'!Q4)&amp;" "&amp;'1. Resumen'!Q5</f>
        <v>FALLAS  POR TIPO DE CAUSA  -  OCTUBRE 2019</v>
      </c>
      <c r="B17" s="962"/>
      <c r="C17" s="962"/>
      <c r="D17" s="962"/>
      <c r="E17" s="962" t="str">
        <f>"FALLAS  POR TIPO DE EQUIPO  -  "&amp;UPPER('1. Resumen'!Q4)&amp;" "&amp;'1. Resumen'!Q5</f>
        <v>FALLAS  POR TIPO DE EQUIPO  -  OCTUBRE 2019</v>
      </c>
      <c r="F17" s="962"/>
      <c r="G17" s="962"/>
      <c r="H17" s="962"/>
      <c r="I17" s="962"/>
      <c r="J17" s="962"/>
      <c r="K17" s="25"/>
      <c r="L17" s="22"/>
    </row>
    <row r="18" spans="1:12" ht="11.25" customHeight="1">
      <c r="A18" s="17"/>
      <c r="E18" s="215"/>
      <c r="F18" s="215"/>
      <c r="G18" s="178"/>
      <c r="H18" s="178"/>
      <c r="I18" s="138"/>
      <c r="J18" s="111"/>
      <c r="K18" s="111"/>
      <c r="L18" s="22"/>
    </row>
    <row r="19" spans="1:12" ht="11.25" customHeight="1">
      <c r="A19" s="17"/>
      <c r="B19" s="216"/>
      <c r="C19" s="215"/>
      <c r="D19" s="215"/>
      <c r="E19" s="215"/>
      <c r="F19" s="215"/>
      <c r="G19" s="178"/>
      <c r="H19" s="178"/>
      <c r="I19" s="138"/>
      <c r="J19" s="111"/>
      <c r="K19" s="111"/>
      <c r="L19" s="30"/>
    </row>
    <row r="20" spans="1:12" ht="11.25" customHeight="1">
      <c r="A20" s="17"/>
      <c r="B20" s="216"/>
      <c r="C20" s="215"/>
      <c r="D20" s="215"/>
      <c r="E20" s="215"/>
      <c r="F20" s="215"/>
      <c r="G20" s="178"/>
      <c r="H20" s="178"/>
      <c r="I20" s="138"/>
      <c r="J20" s="111"/>
      <c r="K20" s="111"/>
      <c r="L20" s="22"/>
    </row>
    <row r="21" spans="1:12" ht="11.25" customHeight="1">
      <c r="A21" s="17"/>
      <c r="B21" s="216"/>
      <c r="C21" s="215"/>
      <c r="D21" s="215"/>
      <c r="E21" s="215"/>
      <c r="F21" s="215"/>
      <c r="G21" s="178"/>
      <c r="H21" s="178"/>
      <c r="I21" s="138"/>
      <c r="J21" s="111"/>
      <c r="K21" s="111"/>
      <c r="L21" s="22"/>
    </row>
    <row r="22" spans="1:12" ht="11.25" customHeight="1">
      <c r="A22" s="17"/>
      <c r="B22" s="216"/>
      <c r="C22" s="215"/>
      <c r="D22" s="215"/>
      <c r="E22" s="215"/>
      <c r="F22" s="215"/>
      <c r="G22" s="178"/>
      <c r="H22" s="178"/>
      <c r="I22" s="138"/>
      <c r="J22" s="111"/>
      <c r="K22" s="111"/>
      <c r="L22" s="22"/>
    </row>
    <row r="23" spans="1:12" ht="11.25" customHeight="1">
      <c r="A23" s="17"/>
      <c r="B23" s="216"/>
      <c r="C23" s="215"/>
      <c r="D23" s="215"/>
      <c r="E23" s="215"/>
      <c r="F23" s="215"/>
      <c r="G23" s="178"/>
      <c r="H23" s="178"/>
      <c r="I23" s="138"/>
      <c r="J23" s="111"/>
      <c r="K23" s="111"/>
      <c r="L23" s="30"/>
    </row>
    <row r="24" spans="1:12" ht="11.25" customHeight="1">
      <c r="A24" s="17"/>
      <c r="B24" s="216"/>
      <c r="C24" s="215"/>
      <c r="D24" s="215"/>
      <c r="E24" s="215"/>
      <c r="F24" s="215"/>
      <c r="G24" s="178"/>
      <c r="H24" s="178"/>
      <c r="I24" s="138"/>
      <c r="J24" s="111"/>
      <c r="K24" s="111"/>
      <c r="L24" s="22"/>
    </row>
    <row r="25" spans="1:12" ht="11.25" customHeight="1">
      <c r="A25" s="17"/>
      <c r="B25" s="216"/>
      <c r="C25" s="215"/>
      <c r="D25" s="215"/>
      <c r="E25" s="215"/>
      <c r="F25" s="215"/>
      <c r="G25" s="178"/>
      <c r="H25" s="178"/>
      <c r="I25" s="138"/>
      <c r="J25" s="111"/>
      <c r="K25" s="111"/>
      <c r="L25" s="22"/>
    </row>
    <row r="26" spans="1:12" ht="11.25" customHeight="1">
      <c r="A26" s="17"/>
      <c r="B26" s="216"/>
      <c r="C26" s="215"/>
      <c r="D26" s="215"/>
      <c r="E26" s="215"/>
      <c r="F26" s="215"/>
      <c r="G26" s="178"/>
      <c r="H26" s="178"/>
      <c r="I26" s="138"/>
      <c r="J26" s="111"/>
      <c r="K26" s="111"/>
      <c r="L26" s="22"/>
    </row>
    <row r="27" spans="1:12" ht="11.25" customHeight="1">
      <c r="A27" s="17"/>
      <c r="B27" s="216"/>
      <c r="C27" s="215"/>
      <c r="D27" s="215"/>
      <c r="E27" s="215"/>
      <c r="F27" s="215"/>
      <c r="G27" s="178"/>
      <c r="H27" s="178"/>
      <c r="I27" s="138"/>
      <c r="J27" s="111"/>
      <c r="K27" s="111"/>
      <c r="L27" s="22"/>
    </row>
    <row r="28" spans="1:12" ht="11.25" customHeight="1">
      <c r="A28" s="17"/>
      <c r="B28" s="216"/>
      <c r="C28" s="215"/>
      <c r="D28" s="215"/>
      <c r="E28" s="215"/>
      <c r="F28" s="215"/>
      <c r="G28" s="178"/>
      <c r="H28" s="178"/>
      <c r="I28" s="138"/>
      <c r="J28" s="111"/>
      <c r="K28" s="111"/>
      <c r="L28" s="22"/>
    </row>
    <row r="29" spans="1:12" ht="11.25" customHeight="1">
      <c r="A29" s="17"/>
      <c r="B29" s="216"/>
      <c r="C29" s="215"/>
      <c r="D29" s="215"/>
      <c r="E29" s="215"/>
      <c r="F29" s="215"/>
      <c r="G29" s="178"/>
      <c r="H29" s="178"/>
      <c r="I29" s="138"/>
      <c r="J29" s="111"/>
      <c r="K29" s="111"/>
      <c r="L29" s="22"/>
    </row>
    <row r="30" spans="1:12" ht="11.25" customHeight="1">
      <c r="A30" s="17"/>
      <c r="B30" s="216"/>
      <c r="C30" s="215"/>
      <c r="D30" s="215"/>
      <c r="E30" s="215"/>
      <c r="F30" s="215"/>
      <c r="G30" s="178"/>
      <c r="H30" s="178"/>
      <c r="I30" s="138"/>
      <c r="J30" s="111"/>
      <c r="K30" s="111"/>
      <c r="L30" s="22"/>
    </row>
    <row r="31" spans="1:12" ht="11.25" customHeight="1">
      <c r="A31" s="17"/>
      <c r="B31" s="216"/>
      <c r="C31" s="215"/>
      <c r="D31" s="215"/>
      <c r="E31" s="215"/>
      <c r="F31" s="215"/>
      <c r="G31" s="178"/>
      <c r="H31" s="178"/>
      <c r="I31" s="138"/>
      <c r="J31" s="111"/>
      <c r="K31" s="111"/>
      <c r="L31" s="22"/>
    </row>
    <row r="32" spans="1:12" ht="11.25" customHeight="1">
      <c r="A32" s="17"/>
      <c r="B32" s="216"/>
      <c r="C32" s="215"/>
      <c r="D32" s="215"/>
      <c r="E32" s="215"/>
      <c r="F32" s="215"/>
      <c r="G32" s="178"/>
      <c r="H32" s="178"/>
      <c r="I32" s="138"/>
      <c r="J32" s="111"/>
      <c r="K32" s="111"/>
      <c r="L32" s="22"/>
    </row>
    <row r="33" spans="1:12" ht="11.25" customHeight="1">
      <c r="A33" s="17"/>
      <c r="B33" s="216"/>
      <c r="C33" s="215"/>
      <c r="D33" s="215"/>
      <c r="E33" s="215"/>
      <c r="F33" s="215"/>
      <c r="G33" s="178"/>
      <c r="H33" s="178"/>
      <c r="I33" s="138"/>
      <c r="J33" s="111"/>
      <c r="K33" s="111"/>
      <c r="L33" s="22"/>
    </row>
    <row r="34" spans="1:12" ht="11.25" customHeight="1">
      <c r="A34" s="17"/>
      <c r="B34" s="216"/>
      <c r="C34" s="215"/>
      <c r="D34" s="215"/>
      <c r="E34" s="215"/>
      <c r="F34" s="215"/>
      <c r="G34" s="178"/>
      <c r="H34" s="178"/>
      <c r="I34" s="138"/>
      <c r="J34" s="111"/>
      <c r="K34" s="111"/>
      <c r="L34" s="22"/>
    </row>
    <row r="35" spans="1:12" ht="23.25" customHeight="1">
      <c r="A35" s="961" t="s">
        <v>472</v>
      </c>
      <c r="B35" s="961"/>
      <c r="C35" s="961"/>
      <c r="D35" s="277"/>
      <c r="E35" s="964" t="s">
        <v>473</v>
      </c>
      <c r="F35" s="964"/>
      <c r="G35" s="964"/>
      <c r="H35" s="964"/>
      <c r="I35" s="964"/>
      <c r="J35" s="964"/>
      <c r="K35" s="25"/>
      <c r="L35" s="22"/>
    </row>
    <row r="36" spans="1:12" ht="11.25" customHeight="1">
      <c r="A36" s="17"/>
      <c r="B36" s="132"/>
      <c r="C36" s="132"/>
      <c r="D36" s="132"/>
      <c r="E36" s="132"/>
      <c r="F36" s="132"/>
      <c r="G36" s="25"/>
      <c r="H36" s="25"/>
      <c r="I36" s="25"/>
      <c r="J36" s="25"/>
      <c r="K36" s="25"/>
      <c r="L36" s="22"/>
    </row>
    <row r="37" spans="1:12" ht="6.75" customHeight="1">
      <c r="A37" s="17"/>
      <c r="B37" s="132"/>
      <c r="C37" s="132"/>
      <c r="D37" s="132"/>
      <c r="E37" s="132"/>
      <c r="F37" s="132"/>
      <c r="G37" s="25"/>
      <c r="H37" s="25"/>
      <c r="I37" s="25"/>
      <c r="J37" s="25"/>
      <c r="K37" s="25"/>
      <c r="L37" s="217"/>
    </row>
    <row r="38" spans="1:12" ht="11.25" customHeight="1">
      <c r="A38" s="963" t="str">
        <f>"ENERGÍA INTERRUMPIDA APROXIMADA POR TIPO DE EQUIPO (MWh)  -  "&amp;UPPER('1. Resumen'!Q4)&amp;" "&amp;'1. Resumen'!Q5</f>
        <v>ENERGÍA INTERRUMPIDA APROXIMADA POR TIPO DE EQUIPO (MWh)  -  OCTUBRE 2019</v>
      </c>
      <c r="B38" s="963"/>
      <c r="C38" s="963"/>
      <c r="D38" s="963"/>
      <c r="E38" s="963"/>
      <c r="F38" s="963"/>
      <c r="G38" s="963"/>
      <c r="H38" s="963"/>
      <c r="I38" s="963"/>
      <c r="J38" s="963"/>
      <c r="K38" s="25"/>
      <c r="L38" s="217"/>
    </row>
    <row r="39" spans="1:12" ht="11.25" customHeight="1">
      <c r="A39" s="17"/>
      <c r="B39" s="132"/>
      <c r="C39" s="132"/>
      <c r="D39" s="132"/>
      <c r="E39" s="132"/>
      <c r="F39" s="132"/>
      <c r="G39" s="25"/>
      <c r="H39" s="25"/>
      <c r="I39" s="25"/>
      <c r="J39" s="25"/>
      <c r="K39" s="25"/>
      <c r="L39" s="217"/>
    </row>
    <row r="40" spans="1:12" ht="11.25" customHeight="1">
      <c r="A40" s="17"/>
      <c r="B40" s="132"/>
      <c r="C40" s="25"/>
      <c r="D40" s="25"/>
      <c r="E40" s="25"/>
      <c r="F40" s="25"/>
      <c r="G40" s="25"/>
      <c r="H40" s="25"/>
      <c r="I40" s="25"/>
      <c r="J40" s="25"/>
      <c r="K40" s="25"/>
      <c r="L40" s="217"/>
    </row>
    <row r="41" spans="1:12" ht="11.25" customHeight="1">
      <c r="A41" s="17"/>
      <c r="B41" s="132"/>
      <c r="C41" s="25"/>
      <c r="D41" s="25"/>
      <c r="E41" s="25"/>
      <c r="F41" s="25"/>
      <c r="G41" s="25"/>
      <c r="H41" s="25"/>
    </row>
    <row r="42" spans="1:12" ht="12.75">
      <c r="A42" s="17"/>
      <c r="B42" s="132"/>
      <c r="J42" s="25"/>
      <c r="K42" s="25"/>
      <c r="L42" s="217"/>
    </row>
    <row r="43" spans="1:12" ht="12.75">
      <c r="A43" s="17"/>
      <c r="B43" s="132"/>
      <c r="C43" s="132"/>
      <c r="D43" s="132"/>
      <c r="E43" s="132"/>
      <c r="F43" s="132"/>
      <c r="G43" s="25"/>
      <c r="H43" s="25"/>
      <c r="I43" s="25"/>
      <c r="J43" s="25"/>
      <c r="K43" s="25"/>
      <c r="L43" s="217"/>
    </row>
    <row r="44" spans="1:12" ht="3" customHeight="1">
      <c r="A44" s="17"/>
      <c r="B44" s="132"/>
      <c r="C44" s="132"/>
      <c r="D44" s="132"/>
      <c r="E44" s="132"/>
      <c r="F44" s="132"/>
      <c r="G44" s="25"/>
      <c r="H44" s="25"/>
      <c r="I44" s="25"/>
      <c r="J44" s="25"/>
      <c r="K44" s="25"/>
      <c r="L44" s="217"/>
    </row>
    <row r="45" spans="1:12" ht="12.75">
      <c r="A45" s="17"/>
      <c r="B45" s="132"/>
      <c r="C45" s="132"/>
      <c r="D45" s="132"/>
      <c r="E45" s="132"/>
      <c r="F45" s="132"/>
      <c r="G45" s="25"/>
      <c r="H45" s="25"/>
      <c r="I45" s="25"/>
      <c r="J45" s="25"/>
      <c r="K45" s="25"/>
      <c r="L45" s="217"/>
    </row>
    <row r="46" spans="1:12" ht="12.75">
      <c r="A46" s="17"/>
      <c r="B46" s="132"/>
      <c r="C46" s="132"/>
      <c r="D46" s="132"/>
      <c r="E46" s="132"/>
      <c r="F46" s="132"/>
      <c r="G46" s="25"/>
      <c r="H46" s="25"/>
      <c r="I46" s="25"/>
      <c r="J46" s="25"/>
      <c r="K46" s="25"/>
      <c r="L46" s="217"/>
    </row>
    <row r="47" spans="1:12" ht="12.75">
      <c r="A47" s="17"/>
      <c r="B47" s="132"/>
      <c r="C47" s="132"/>
      <c r="D47" s="132"/>
      <c r="E47" s="132"/>
      <c r="F47" s="132"/>
      <c r="G47" s="25"/>
      <c r="H47" s="25"/>
      <c r="I47" s="25"/>
      <c r="J47" s="25"/>
      <c r="K47" s="25"/>
      <c r="L47" s="217"/>
    </row>
    <row r="48" spans="1:12" ht="12.75">
      <c r="A48" s="163"/>
      <c r="B48" s="25"/>
      <c r="C48" s="25"/>
      <c r="D48" s="25"/>
      <c r="E48" s="25"/>
      <c r="F48" s="25"/>
      <c r="G48" s="25"/>
      <c r="H48" s="25"/>
      <c r="I48" s="25"/>
      <c r="J48" s="25"/>
      <c r="K48" s="25"/>
      <c r="L48" s="217"/>
    </row>
    <row r="49" spans="1:12" ht="12.75">
      <c r="A49" s="163"/>
      <c r="B49" s="25"/>
      <c r="C49" s="25"/>
      <c r="D49" s="25"/>
      <c r="E49" s="25"/>
      <c r="F49" s="25"/>
      <c r="G49" s="25"/>
      <c r="H49" s="25"/>
      <c r="I49" s="25"/>
      <c r="J49" s="25"/>
      <c r="K49" s="25"/>
      <c r="L49" s="217"/>
    </row>
    <row r="50" spans="1:12" ht="12.75">
      <c r="A50" s="163"/>
      <c r="B50" s="25"/>
      <c r="C50" s="25"/>
      <c r="D50" s="25"/>
      <c r="E50" s="25"/>
      <c r="F50" s="25"/>
      <c r="G50" s="25"/>
      <c r="H50" s="25"/>
      <c r="I50" s="25"/>
      <c r="J50" s="25"/>
      <c r="K50" s="25"/>
      <c r="L50" s="217"/>
    </row>
    <row r="51" spans="1:12" ht="12.75">
      <c r="A51" s="163"/>
      <c r="B51" s="25"/>
      <c r="C51" s="25"/>
      <c r="D51" s="25"/>
      <c r="E51" s="25"/>
      <c r="F51" s="25"/>
      <c r="G51" s="25"/>
      <c r="H51" s="25"/>
      <c r="I51" s="25"/>
      <c r="J51" s="25"/>
      <c r="K51" s="25"/>
      <c r="L51" s="217"/>
    </row>
    <row r="52" spans="1:12" ht="12.75">
      <c r="A52" s="163"/>
      <c r="B52" s="25"/>
      <c r="C52" s="25"/>
      <c r="D52" s="25"/>
      <c r="E52" s="25"/>
      <c r="F52" s="25"/>
      <c r="G52" s="25"/>
      <c r="H52" s="25"/>
      <c r="I52" s="25"/>
      <c r="J52" s="25"/>
      <c r="K52" s="25"/>
      <c r="L52" s="217"/>
    </row>
    <row r="53" spans="1:12" ht="9" customHeight="1">
      <c r="A53" s="163"/>
      <c r="B53" s="25"/>
      <c r="C53" s="25"/>
      <c r="D53" s="25"/>
      <c r="E53" s="25"/>
      <c r="F53" s="25"/>
      <c r="G53" s="25"/>
      <c r="H53" s="25"/>
      <c r="I53" s="25"/>
      <c r="J53" s="25"/>
      <c r="K53" s="25"/>
      <c r="L53" s="217"/>
    </row>
    <row r="54" spans="1:12">
      <c r="A54" s="277" t="str">
        <f>"Gráfico N°26: Comparación de la energía interrumpida aproximada por tipo de equipo en "&amp;'1. Resumen'!Q4&amp;" "&amp;'1. Resumen'!Q5</f>
        <v>Gráfico N°26: Comparación de la energía interrumpida aproximada por tipo de equipo en octubre 2019</v>
      </c>
      <c r="B54" s="25"/>
      <c r="C54" s="25"/>
      <c r="D54" s="25"/>
      <c r="E54" s="25"/>
      <c r="F54" s="25"/>
      <c r="G54" s="25"/>
      <c r="H54" s="25"/>
      <c r="I54" s="25"/>
      <c r="J54" s="25"/>
      <c r="K54" s="25"/>
      <c r="L54" s="217"/>
    </row>
    <row r="55" spans="1:12" ht="5.25" customHeight="1">
      <c r="B55" s="25"/>
      <c r="C55" s="25"/>
      <c r="D55" s="25"/>
      <c r="E55" s="25"/>
      <c r="F55" s="25"/>
      <c r="G55" s="25"/>
      <c r="H55" s="25"/>
      <c r="I55" s="25"/>
      <c r="J55" s="25"/>
      <c r="K55" s="25"/>
      <c r="L55" s="217"/>
    </row>
    <row r="56" spans="1:12" ht="24" customHeight="1">
      <c r="A56" s="970" t="s">
        <v>211</v>
      </c>
      <c r="B56" s="970"/>
      <c r="C56" s="970"/>
      <c r="D56" s="970"/>
      <c r="E56" s="970"/>
      <c r="F56" s="970"/>
      <c r="G56" s="970"/>
      <c r="H56" s="970"/>
      <c r="I56" s="970"/>
      <c r="J56" s="970"/>
      <c r="K56" s="25"/>
      <c r="L56" s="217"/>
    </row>
    <row r="57" spans="1:12" ht="11.25" customHeight="1">
      <c r="A57" s="960" t="s">
        <v>212</v>
      </c>
      <c r="B57" s="960"/>
      <c r="C57" s="960"/>
      <c r="D57" s="960"/>
      <c r="E57" s="960"/>
      <c r="F57" s="960"/>
      <c r="G57" s="960"/>
      <c r="H57" s="960"/>
      <c r="I57" s="960"/>
      <c r="J57" s="960"/>
      <c r="K57" s="25"/>
      <c r="L57" s="217"/>
    </row>
    <row r="58" spans="1:12" ht="12.75">
      <c r="A58" s="163"/>
      <c r="B58" s="25"/>
      <c r="C58" s="25"/>
      <c r="D58" s="25"/>
      <c r="E58" s="25"/>
      <c r="F58" s="25"/>
      <c r="G58" s="25"/>
      <c r="H58" s="25"/>
      <c r="I58" s="25"/>
      <c r="J58" s="25"/>
      <c r="K58" s="25"/>
      <c r="L58" s="217"/>
    </row>
    <row r="59" spans="1:12" ht="12.75">
      <c r="A59" s="163"/>
      <c r="B59" s="25"/>
      <c r="C59" s="25"/>
      <c r="D59" s="25"/>
      <c r="E59" s="25"/>
      <c r="F59" s="25"/>
      <c r="G59" s="25"/>
      <c r="H59" s="25"/>
      <c r="I59" s="25"/>
      <c r="J59" s="25"/>
      <c r="K59" s="25"/>
      <c r="L59" s="217"/>
    </row>
    <row r="60" spans="1:12" ht="12.75">
      <c r="A60" s="163"/>
      <c r="B60" s="25"/>
      <c r="C60" s="25"/>
      <c r="D60" s="25"/>
      <c r="E60" s="25"/>
      <c r="F60" s="25"/>
      <c r="G60" s="25"/>
      <c r="H60" s="25"/>
      <c r="I60" s="25"/>
      <c r="J60" s="25"/>
      <c r="K60" s="25"/>
      <c r="L60" s="217"/>
    </row>
    <row r="61" spans="1:12" ht="12.75">
      <c r="A61" s="163"/>
      <c r="B61" s="25"/>
      <c r="C61" s="25"/>
      <c r="D61" s="25"/>
      <c r="E61" s="25"/>
      <c r="F61" s="25"/>
      <c r="G61" s="25"/>
      <c r="H61" s="25"/>
      <c r="I61" s="25"/>
      <c r="J61" s="25"/>
      <c r="K61" s="25"/>
      <c r="L61" s="217"/>
    </row>
    <row r="62" spans="1:12" ht="12.75">
      <c r="A62" s="163"/>
      <c r="B62" s="25"/>
      <c r="C62" s="25"/>
      <c r="D62" s="25"/>
      <c r="E62" s="25"/>
      <c r="F62" s="25"/>
      <c r="G62" s="25"/>
      <c r="H62" s="25"/>
      <c r="I62" s="25"/>
      <c r="J62" s="25"/>
      <c r="K62" s="25"/>
      <c r="L62" s="217"/>
    </row>
    <row r="63" spans="1:12" ht="12.75">
      <c r="A63" s="163"/>
      <c r="B63" s="25"/>
      <c r="C63" s="25"/>
      <c r="D63" s="25"/>
      <c r="E63" s="25"/>
      <c r="F63" s="25"/>
      <c r="G63" s="25"/>
      <c r="H63" s="25"/>
      <c r="I63" s="25"/>
      <c r="J63" s="25"/>
      <c r="K63" s="25"/>
      <c r="L63" s="217"/>
    </row>
    <row r="64" spans="1:12" ht="12.75">
      <c r="A64" s="163"/>
      <c r="B64" s="25"/>
      <c r="C64" s="25"/>
      <c r="D64" s="25"/>
      <c r="E64" s="25"/>
      <c r="F64" s="25"/>
      <c r="G64" s="25"/>
      <c r="H64" s="25"/>
      <c r="I64" s="25"/>
      <c r="J64" s="25"/>
      <c r="K64" s="25"/>
      <c r="L64" s="217"/>
    </row>
    <row r="65" spans="1:12" ht="12.75">
      <c r="A65" s="163"/>
      <c r="B65" s="25"/>
      <c r="C65" s="25"/>
      <c r="D65" s="25"/>
      <c r="E65" s="25"/>
      <c r="F65" s="25"/>
      <c r="G65" s="25"/>
      <c r="H65" s="25"/>
      <c r="I65" s="25"/>
      <c r="J65" s="25"/>
      <c r="K65" s="25"/>
      <c r="L65" s="217"/>
    </row>
    <row r="66" spans="1:12" ht="12.75">
      <c r="A66" s="163"/>
      <c r="B66" s="25"/>
      <c r="C66" s="25"/>
      <c r="D66" s="25"/>
      <c r="E66" s="25"/>
      <c r="F66" s="25"/>
      <c r="G66" s="25"/>
      <c r="H66" s="25"/>
      <c r="I66" s="25"/>
      <c r="J66" s="25"/>
      <c r="K66" s="25"/>
      <c r="L66" s="217"/>
    </row>
    <row r="67" spans="1:12" ht="12.75">
      <c r="A67" s="163"/>
      <c r="B67" s="25"/>
      <c r="C67" s="25"/>
      <c r="D67" s="25"/>
      <c r="E67" s="25"/>
      <c r="F67" s="25"/>
      <c r="G67" s="25"/>
      <c r="H67" s="25"/>
      <c r="I67" s="25"/>
      <c r="J67" s="25"/>
      <c r="K67" s="25"/>
      <c r="L67" s="217"/>
    </row>
    <row r="68" spans="1:12" ht="12.75">
      <c r="A68" s="163"/>
      <c r="B68" s="25"/>
      <c r="J68" s="25"/>
      <c r="K68" s="25"/>
      <c r="L68" s="217"/>
    </row>
    <row r="69" spans="1:12" ht="12.75">
      <c r="A69" s="163"/>
      <c r="B69" s="25"/>
      <c r="J69" s="25"/>
      <c r="K69" s="25"/>
      <c r="L69" s="217"/>
    </row>
    <row r="70" spans="1:12" ht="12.75">
      <c r="A70" s="163"/>
      <c r="B70" s="25"/>
      <c r="J70" s="25"/>
      <c r="K70" s="25"/>
      <c r="L70" s="217"/>
    </row>
    <row r="71" spans="1:12" ht="12.75">
      <c r="A71" s="163"/>
      <c r="B71" s="25"/>
      <c r="J71" s="25"/>
      <c r="K71" s="25"/>
      <c r="L71" s="217"/>
    </row>
    <row r="72" spans="1:12">
      <c r="B72" s="217"/>
      <c r="C72" s="217"/>
      <c r="D72" s="217"/>
      <c r="E72" s="217"/>
      <c r="F72" s="217"/>
      <c r="G72" s="217"/>
      <c r="H72" s="217"/>
      <c r="I72" s="217"/>
      <c r="J72" s="217"/>
      <c r="K72" s="217"/>
      <c r="L72" s="217"/>
    </row>
    <row r="73" spans="1:12">
      <c r="B73" s="217"/>
      <c r="C73" s="217"/>
      <c r="D73" s="217"/>
      <c r="E73" s="217"/>
      <c r="F73" s="217"/>
      <c r="G73" s="217"/>
      <c r="H73" s="217"/>
      <c r="I73" s="217"/>
      <c r="J73" s="217"/>
      <c r="K73" s="217"/>
      <c r="L73" s="217"/>
    </row>
    <row r="74" spans="1:12">
      <c r="B74" s="217"/>
      <c r="C74" s="217"/>
      <c r="D74" s="217"/>
      <c r="E74" s="217"/>
      <c r="F74" s="217"/>
      <c r="G74" s="217"/>
      <c r="H74" s="217"/>
      <c r="I74" s="217"/>
      <c r="J74" s="217"/>
      <c r="K74" s="217"/>
      <c r="L74" s="217"/>
    </row>
    <row r="75" spans="1:12">
      <c r="B75" s="217"/>
      <c r="C75" s="217"/>
      <c r="D75" s="217"/>
      <c r="E75" s="217"/>
      <c r="F75" s="217"/>
      <c r="G75" s="217"/>
      <c r="H75" s="217"/>
      <c r="I75" s="217"/>
      <c r="J75" s="217"/>
      <c r="K75" s="217"/>
      <c r="L75" s="217"/>
    </row>
    <row r="76" spans="1:12">
      <c r="B76" s="217"/>
      <c r="C76" s="217"/>
      <c r="D76" s="217"/>
      <c r="E76" s="217"/>
      <c r="F76" s="217"/>
      <c r="G76" s="217"/>
      <c r="H76" s="217"/>
      <c r="I76" s="217"/>
      <c r="J76" s="217"/>
      <c r="K76" s="217"/>
      <c r="L76" s="217"/>
    </row>
    <row r="77" spans="1:12">
      <c r="B77" s="217"/>
      <c r="C77" s="217"/>
      <c r="D77" s="217"/>
      <c r="E77" s="217"/>
      <c r="F77" s="217"/>
      <c r="G77" s="217"/>
      <c r="H77" s="217"/>
      <c r="I77" s="217"/>
      <c r="J77" s="217"/>
      <c r="K77" s="217"/>
      <c r="L77" s="217"/>
    </row>
    <row r="78" spans="1:12">
      <c r="B78" s="217"/>
      <c r="C78" s="217"/>
      <c r="D78" s="217"/>
      <c r="E78" s="217"/>
      <c r="F78" s="217"/>
      <c r="G78" s="217"/>
      <c r="H78" s="217"/>
      <c r="I78" s="217"/>
      <c r="J78" s="217"/>
      <c r="K78" s="217"/>
      <c r="L78" s="217"/>
    </row>
    <row r="79" spans="1:12">
      <c r="B79" s="217"/>
      <c r="C79" s="217"/>
      <c r="D79" s="217"/>
      <c r="E79" s="217"/>
      <c r="F79" s="217"/>
      <c r="G79" s="217"/>
      <c r="H79" s="217"/>
      <c r="I79" s="217"/>
      <c r="J79" s="217"/>
      <c r="K79" s="217"/>
      <c r="L79" s="217"/>
    </row>
    <row r="80" spans="1:12">
      <c r="B80" s="217"/>
      <c r="C80" s="217"/>
      <c r="D80" s="217"/>
      <c r="E80" s="217"/>
      <c r="F80" s="217"/>
      <c r="G80" s="217"/>
      <c r="H80" s="217"/>
      <c r="I80" s="217"/>
      <c r="J80" s="217"/>
      <c r="K80" s="217"/>
      <c r="L80" s="217"/>
    </row>
    <row r="81" spans="2:12">
      <c r="B81" s="217"/>
      <c r="C81" s="217"/>
      <c r="D81" s="217"/>
      <c r="E81" s="217"/>
      <c r="F81" s="217"/>
      <c r="G81" s="217"/>
      <c r="H81" s="217"/>
      <c r="I81" s="217"/>
      <c r="J81" s="217"/>
      <c r="K81" s="217"/>
      <c r="L81" s="217"/>
    </row>
    <row r="82" spans="2:12">
      <c r="B82" s="217"/>
      <c r="C82" s="217"/>
      <c r="D82" s="217"/>
      <c r="E82" s="217"/>
      <c r="F82" s="217"/>
      <c r="G82" s="217"/>
      <c r="H82" s="217"/>
      <c r="I82" s="217"/>
      <c r="J82" s="217"/>
      <c r="K82" s="217"/>
      <c r="L82" s="217"/>
    </row>
    <row r="83" spans="2:12">
      <c r="B83" s="217"/>
      <c r="C83" s="217"/>
      <c r="D83" s="217"/>
      <c r="E83" s="217"/>
      <c r="F83" s="217"/>
      <c r="G83" s="217"/>
      <c r="H83" s="217"/>
      <c r="I83" s="217"/>
      <c r="J83" s="217"/>
      <c r="K83" s="217"/>
      <c r="L83" s="217"/>
    </row>
    <row r="84" spans="2:12">
      <c r="B84" s="217"/>
      <c r="C84" s="217"/>
      <c r="D84" s="217"/>
      <c r="E84" s="217"/>
      <c r="F84" s="217"/>
      <c r="G84" s="217"/>
      <c r="H84" s="217"/>
      <c r="I84" s="217"/>
      <c r="J84" s="217"/>
      <c r="K84" s="217"/>
      <c r="L84" s="217"/>
    </row>
    <row r="85" spans="2:12">
      <c r="B85" s="217"/>
      <c r="C85" s="217"/>
      <c r="D85" s="217"/>
      <c r="E85" s="217"/>
      <c r="F85" s="217"/>
      <c r="G85" s="217"/>
      <c r="H85" s="217"/>
      <c r="I85" s="217"/>
      <c r="J85" s="217"/>
      <c r="K85" s="217"/>
      <c r="L85" s="217"/>
    </row>
    <row r="86" spans="2:12">
      <c r="B86" s="217"/>
      <c r="C86" s="217"/>
      <c r="D86" s="217"/>
      <c r="E86" s="217"/>
      <c r="F86" s="217"/>
      <c r="G86" s="217"/>
      <c r="H86" s="217"/>
      <c r="I86" s="217"/>
      <c r="J86" s="217"/>
      <c r="K86" s="217"/>
      <c r="L86" s="217"/>
    </row>
    <row r="87" spans="2:12">
      <c r="B87" s="217"/>
      <c r="C87" s="217"/>
      <c r="D87" s="217"/>
      <c r="E87" s="217"/>
      <c r="F87" s="217"/>
      <c r="G87" s="217"/>
      <c r="H87" s="217"/>
      <c r="I87" s="217"/>
      <c r="J87" s="217"/>
      <c r="K87" s="217"/>
      <c r="L87" s="217"/>
    </row>
    <row r="88" spans="2:12">
      <c r="B88" s="217"/>
      <c r="C88" s="217"/>
      <c r="D88" s="217"/>
      <c r="E88" s="217"/>
      <c r="F88" s="217"/>
      <c r="G88" s="217"/>
      <c r="H88" s="217"/>
      <c r="I88" s="217"/>
      <c r="J88" s="217"/>
      <c r="K88" s="217"/>
      <c r="L88" s="217"/>
    </row>
    <row r="89" spans="2:12">
      <c r="B89" s="217"/>
      <c r="C89" s="217"/>
      <c r="D89" s="217"/>
      <c r="E89" s="217"/>
      <c r="F89" s="217"/>
      <c r="G89" s="217"/>
      <c r="H89" s="217"/>
      <c r="I89" s="217"/>
      <c r="J89" s="217"/>
      <c r="K89" s="217"/>
      <c r="L89" s="217"/>
    </row>
    <row r="90" spans="2:12">
      <c r="B90" s="217"/>
      <c r="C90" s="217"/>
      <c r="D90" s="217"/>
      <c r="E90" s="217"/>
      <c r="F90" s="217"/>
      <c r="G90" s="217"/>
      <c r="H90" s="217"/>
      <c r="I90" s="217"/>
      <c r="J90" s="217"/>
      <c r="K90" s="217"/>
      <c r="L90" s="217"/>
    </row>
    <row r="91" spans="2:12">
      <c r="B91" s="217"/>
      <c r="C91" s="217"/>
      <c r="D91" s="217"/>
      <c r="E91" s="217"/>
      <c r="F91" s="217"/>
      <c r="G91" s="217"/>
      <c r="H91" s="217"/>
      <c r="I91" s="217"/>
      <c r="J91" s="217"/>
      <c r="K91" s="217"/>
      <c r="L91" s="217"/>
    </row>
    <row r="92" spans="2:12">
      <c r="B92" s="217"/>
      <c r="C92" s="217"/>
      <c r="D92" s="217"/>
      <c r="E92" s="217"/>
      <c r="F92" s="217"/>
      <c r="G92" s="217"/>
      <c r="H92" s="217"/>
      <c r="I92" s="217"/>
      <c r="J92" s="217"/>
      <c r="K92" s="217"/>
      <c r="L92" s="217"/>
    </row>
    <row r="93" spans="2:12">
      <c r="B93" s="217"/>
      <c r="C93" s="217"/>
      <c r="D93" s="217"/>
      <c r="E93" s="217"/>
      <c r="F93" s="217"/>
      <c r="G93" s="217"/>
      <c r="H93" s="217"/>
      <c r="I93" s="217"/>
      <c r="J93" s="217"/>
      <c r="K93" s="217"/>
      <c r="L93" s="217"/>
    </row>
    <row r="94" spans="2:12">
      <c r="B94" s="217"/>
      <c r="C94" s="217"/>
      <c r="D94" s="217"/>
      <c r="E94" s="217"/>
      <c r="F94" s="217"/>
      <c r="G94" s="217"/>
      <c r="H94" s="217"/>
      <c r="I94" s="217"/>
      <c r="J94" s="217"/>
      <c r="K94" s="217"/>
      <c r="L94" s="217"/>
    </row>
    <row r="95" spans="2:12">
      <c r="B95" s="217"/>
      <c r="C95" s="217"/>
      <c r="D95" s="217"/>
      <c r="E95" s="217"/>
      <c r="F95" s="217"/>
      <c r="G95" s="217"/>
      <c r="H95" s="217"/>
      <c r="I95" s="217"/>
      <c r="J95" s="217"/>
      <c r="K95" s="217"/>
      <c r="L95" s="217"/>
    </row>
    <row r="96" spans="2:12">
      <c r="B96" s="217"/>
      <c r="C96" s="217"/>
      <c r="D96" s="217"/>
      <c r="E96" s="217"/>
      <c r="F96" s="217"/>
      <c r="G96" s="217"/>
      <c r="H96" s="217"/>
      <c r="I96" s="217"/>
      <c r="J96" s="217"/>
      <c r="K96" s="217"/>
      <c r="L96" s="217"/>
    </row>
    <row r="97" spans="2:12">
      <c r="B97" s="217"/>
      <c r="C97" s="217"/>
      <c r="D97" s="217"/>
      <c r="E97" s="217"/>
      <c r="F97" s="217"/>
      <c r="G97" s="217"/>
      <c r="H97" s="217"/>
      <c r="I97" s="217"/>
      <c r="J97" s="217"/>
      <c r="K97" s="217"/>
      <c r="L97" s="217"/>
    </row>
    <row r="98" spans="2:12">
      <c r="B98" s="217"/>
      <c r="C98" s="217"/>
      <c r="D98" s="217"/>
      <c r="E98" s="217"/>
      <c r="F98" s="217"/>
      <c r="G98" s="217"/>
      <c r="H98" s="217"/>
      <c r="I98" s="217"/>
      <c r="J98" s="217"/>
      <c r="K98" s="217"/>
      <c r="L98" s="217"/>
    </row>
    <row r="99" spans="2:12">
      <c r="B99" s="217"/>
      <c r="C99" s="217"/>
      <c r="D99" s="217"/>
      <c r="E99" s="217"/>
      <c r="F99" s="217"/>
      <c r="G99" s="217"/>
      <c r="H99" s="217"/>
      <c r="I99" s="217"/>
      <c r="J99" s="217"/>
      <c r="K99" s="217"/>
      <c r="L99" s="217"/>
    </row>
    <row r="100" spans="2:12">
      <c r="B100" s="217"/>
      <c r="C100" s="217"/>
      <c r="D100" s="217"/>
      <c r="E100" s="217"/>
      <c r="F100" s="217"/>
      <c r="G100" s="217"/>
      <c r="H100" s="217"/>
      <c r="I100" s="217"/>
      <c r="J100" s="217"/>
      <c r="K100" s="217"/>
      <c r="L100" s="217"/>
    </row>
    <row r="101" spans="2:12">
      <c r="B101" s="217"/>
      <c r="C101" s="217"/>
      <c r="D101" s="217"/>
      <c r="E101" s="217"/>
      <c r="F101" s="217"/>
      <c r="G101" s="217"/>
      <c r="H101" s="217"/>
      <c r="I101" s="217"/>
      <c r="J101" s="217"/>
      <c r="K101" s="217"/>
      <c r="L101" s="217"/>
    </row>
    <row r="102" spans="2:12">
      <c r="B102" s="217"/>
      <c r="C102" s="217"/>
      <c r="D102" s="217"/>
      <c r="E102" s="217"/>
      <c r="F102" s="217"/>
      <c r="G102" s="217"/>
      <c r="H102" s="217"/>
      <c r="I102" s="217"/>
      <c r="J102" s="217"/>
      <c r="K102" s="217"/>
      <c r="L102" s="217"/>
    </row>
    <row r="103" spans="2:12">
      <c r="B103" s="217"/>
      <c r="C103" s="217"/>
      <c r="D103" s="217"/>
      <c r="E103" s="217"/>
      <c r="F103" s="217"/>
      <c r="G103" s="217"/>
      <c r="H103" s="217"/>
      <c r="I103" s="217"/>
      <c r="J103" s="217"/>
      <c r="K103" s="217"/>
      <c r="L103" s="217"/>
    </row>
    <row r="104" spans="2:12">
      <c r="B104" s="217"/>
      <c r="C104" s="217"/>
      <c r="D104" s="217"/>
      <c r="E104" s="217"/>
      <c r="F104" s="217"/>
      <c r="G104" s="217"/>
      <c r="H104" s="217"/>
      <c r="I104" s="217"/>
      <c r="J104" s="217"/>
      <c r="K104" s="217"/>
      <c r="L104" s="217"/>
    </row>
    <row r="105" spans="2:12">
      <c r="B105" s="217"/>
      <c r="C105" s="217"/>
      <c r="D105" s="217"/>
      <c r="E105" s="217"/>
      <c r="F105" s="217"/>
      <c r="G105" s="217"/>
      <c r="H105" s="217"/>
      <c r="I105" s="217"/>
      <c r="J105" s="217"/>
      <c r="K105" s="217"/>
      <c r="L105" s="217"/>
    </row>
    <row r="106" spans="2:12">
      <c r="B106" s="217"/>
      <c r="C106" s="217"/>
      <c r="D106" s="217"/>
      <c r="E106" s="217"/>
      <c r="F106" s="217"/>
      <c r="G106" s="217"/>
      <c r="H106" s="217"/>
      <c r="I106" s="217"/>
      <c r="J106" s="217"/>
      <c r="K106" s="217"/>
      <c r="L106" s="217"/>
    </row>
    <row r="107" spans="2:12">
      <c r="B107" s="217"/>
      <c r="C107" s="217"/>
      <c r="D107" s="217"/>
      <c r="E107" s="217"/>
      <c r="F107" s="217"/>
      <c r="G107" s="217"/>
      <c r="H107" s="217"/>
      <c r="I107" s="217"/>
      <c r="J107" s="217"/>
      <c r="K107" s="217"/>
      <c r="L107" s="217"/>
    </row>
    <row r="108" spans="2:12">
      <c r="B108" s="217"/>
      <c r="C108" s="217"/>
      <c r="D108" s="217"/>
      <c r="E108" s="217"/>
      <c r="F108" s="217"/>
      <c r="G108" s="217"/>
      <c r="H108" s="217"/>
      <c r="I108" s="217"/>
      <c r="J108" s="217"/>
      <c r="K108" s="217"/>
      <c r="L108" s="217"/>
    </row>
    <row r="109" spans="2:12">
      <c r="B109" s="217"/>
      <c r="C109" s="217"/>
      <c r="D109" s="217"/>
      <c r="E109" s="217"/>
      <c r="F109" s="217"/>
      <c r="G109" s="217"/>
      <c r="H109" s="217"/>
      <c r="I109" s="217"/>
      <c r="J109" s="217"/>
      <c r="K109" s="217"/>
      <c r="L109" s="217"/>
    </row>
    <row r="110" spans="2:12">
      <c r="B110" s="217"/>
      <c r="C110" s="217"/>
      <c r="D110" s="217"/>
      <c r="E110" s="217"/>
      <c r="F110" s="217"/>
      <c r="G110" s="217"/>
      <c r="H110" s="217"/>
      <c r="I110" s="217"/>
      <c r="J110" s="217"/>
      <c r="K110" s="217"/>
      <c r="L110" s="217"/>
    </row>
    <row r="111" spans="2:12">
      <c r="B111" s="217"/>
      <c r="C111" s="217"/>
      <c r="D111" s="217"/>
      <c r="E111" s="217"/>
      <c r="F111" s="217"/>
      <c r="G111" s="217"/>
      <c r="H111" s="217"/>
      <c r="I111" s="217"/>
      <c r="J111" s="217"/>
      <c r="K111" s="217"/>
      <c r="L111" s="217"/>
    </row>
    <row r="112" spans="2:12">
      <c r="B112" s="217"/>
      <c r="C112" s="217"/>
      <c r="D112" s="217"/>
      <c r="E112" s="217"/>
      <c r="F112" s="217"/>
      <c r="G112" s="217"/>
      <c r="H112" s="217"/>
      <c r="I112" s="217"/>
      <c r="J112" s="217"/>
      <c r="K112" s="217"/>
      <c r="L112" s="217"/>
    </row>
    <row r="113" spans="2:12">
      <c r="B113" s="217"/>
      <c r="C113" s="217"/>
      <c r="D113" s="217"/>
      <c r="E113" s="217"/>
      <c r="F113" s="217"/>
      <c r="G113" s="217"/>
      <c r="H113" s="217"/>
      <c r="I113" s="217"/>
      <c r="J113" s="217"/>
      <c r="K113" s="217"/>
      <c r="L113" s="217"/>
    </row>
    <row r="114" spans="2:12">
      <c r="B114" s="217"/>
      <c r="C114" s="217"/>
      <c r="D114" s="217"/>
      <c r="E114" s="217"/>
      <c r="F114" s="217"/>
      <c r="G114" s="217"/>
      <c r="H114" s="217"/>
      <c r="I114" s="217"/>
      <c r="J114" s="217"/>
      <c r="K114" s="217"/>
      <c r="L114" s="217"/>
    </row>
    <row r="115" spans="2:12">
      <c r="B115" s="217"/>
      <c r="C115" s="217"/>
      <c r="D115" s="217"/>
      <c r="E115" s="217"/>
      <c r="F115" s="217"/>
      <c r="G115" s="217"/>
      <c r="H115" s="217"/>
      <c r="I115" s="217"/>
      <c r="J115" s="217"/>
      <c r="K115" s="217"/>
      <c r="L115" s="217"/>
    </row>
    <row r="116" spans="2:12">
      <c r="B116" s="217"/>
      <c r="C116" s="217"/>
      <c r="D116" s="217"/>
      <c r="E116" s="217"/>
      <c r="F116" s="217"/>
      <c r="G116" s="217"/>
      <c r="H116" s="217"/>
      <c r="I116" s="217"/>
      <c r="J116" s="217"/>
      <c r="K116" s="217"/>
      <c r="L116" s="217"/>
    </row>
    <row r="117" spans="2:12">
      <c r="B117" s="217"/>
      <c r="C117" s="217"/>
      <c r="D117" s="217"/>
      <c r="E117" s="217"/>
      <c r="F117" s="217"/>
      <c r="G117" s="217"/>
      <c r="H117" s="217"/>
      <c r="I117" s="217"/>
      <c r="J117" s="217"/>
      <c r="K117" s="217"/>
      <c r="L117" s="217"/>
    </row>
    <row r="118" spans="2:12">
      <c r="B118" s="217"/>
      <c r="C118" s="217"/>
      <c r="D118" s="217"/>
      <c r="E118" s="217"/>
      <c r="F118" s="217"/>
      <c r="G118" s="217"/>
      <c r="H118" s="217"/>
      <c r="I118" s="217"/>
      <c r="J118" s="217"/>
      <c r="K118" s="217"/>
      <c r="L118" s="217"/>
    </row>
    <row r="119" spans="2:12">
      <c r="B119" s="217"/>
      <c r="C119" s="217"/>
      <c r="D119" s="217"/>
      <c r="E119" s="217"/>
      <c r="F119" s="217"/>
      <c r="G119" s="217"/>
      <c r="H119" s="217"/>
      <c r="I119" s="217"/>
      <c r="J119" s="217"/>
      <c r="K119" s="217"/>
      <c r="L119" s="217"/>
    </row>
    <row r="120" spans="2:12">
      <c r="B120" s="217"/>
      <c r="C120" s="217"/>
      <c r="D120" s="217"/>
      <c r="E120" s="217"/>
      <c r="F120" s="217"/>
      <c r="G120" s="217"/>
      <c r="H120" s="217"/>
      <c r="I120" s="217"/>
      <c r="J120" s="217"/>
      <c r="K120" s="217"/>
      <c r="L120" s="217"/>
    </row>
    <row r="121" spans="2:12">
      <c r="B121" s="217"/>
      <c r="C121" s="217"/>
      <c r="D121" s="217"/>
      <c r="E121" s="217"/>
      <c r="F121" s="217"/>
      <c r="G121" s="217"/>
      <c r="H121" s="217"/>
      <c r="I121" s="217"/>
      <c r="J121" s="217"/>
      <c r="K121" s="217"/>
      <c r="L121" s="217"/>
    </row>
    <row r="122" spans="2:12">
      <c r="B122" s="217"/>
      <c r="C122" s="217"/>
      <c r="D122" s="217"/>
      <c r="E122" s="217"/>
      <c r="F122" s="217"/>
      <c r="G122" s="217"/>
      <c r="H122" s="217"/>
      <c r="I122" s="217"/>
      <c r="J122" s="217"/>
      <c r="K122" s="217"/>
      <c r="L122" s="217"/>
    </row>
    <row r="123" spans="2:12">
      <c r="B123" s="217"/>
      <c r="C123" s="217"/>
      <c r="D123" s="217"/>
      <c r="E123" s="217"/>
      <c r="F123" s="217"/>
      <c r="G123" s="217"/>
      <c r="H123" s="217"/>
      <c r="I123" s="217"/>
      <c r="J123" s="217"/>
      <c r="K123" s="217"/>
      <c r="L123" s="217"/>
    </row>
    <row r="124" spans="2:12">
      <c r="B124" s="217"/>
      <c r="C124" s="217"/>
      <c r="D124" s="217"/>
      <c r="E124" s="217"/>
      <c r="F124" s="217"/>
      <c r="G124" s="217"/>
      <c r="H124" s="217"/>
      <c r="I124" s="217"/>
      <c r="J124" s="217"/>
      <c r="K124" s="217"/>
      <c r="L124" s="217"/>
    </row>
    <row r="125" spans="2:12">
      <c r="B125" s="217"/>
      <c r="C125" s="217"/>
      <c r="D125" s="217"/>
      <c r="E125" s="217"/>
      <c r="F125" s="217"/>
      <c r="G125" s="217"/>
      <c r="H125" s="217"/>
      <c r="I125" s="217"/>
      <c r="J125" s="217"/>
      <c r="K125" s="217"/>
      <c r="L125" s="217"/>
    </row>
    <row r="126" spans="2:12">
      <c r="B126" s="217"/>
      <c r="C126" s="217"/>
      <c r="D126" s="217"/>
      <c r="E126" s="217"/>
      <c r="F126" s="217"/>
      <c r="G126" s="217"/>
      <c r="H126" s="217"/>
      <c r="I126" s="217"/>
      <c r="J126" s="217"/>
      <c r="K126" s="217"/>
      <c r="L126" s="217"/>
    </row>
    <row r="127" spans="2:12">
      <c r="B127" s="217"/>
      <c r="C127" s="217"/>
      <c r="D127" s="217"/>
      <c r="E127" s="217"/>
      <c r="F127" s="217"/>
      <c r="G127" s="217"/>
      <c r="H127" s="217"/>
      <c r="I127" s="217"/>
      <c r="J127" s="217"/>
      <c r="K127" s="217"/>
      <c r="L127" s="217"/>
    </row>
    <row r="128" spans="2:12">
      <c r="B128" s="217"/>
      <c r="C128" s="217"/>
      <c r="D128" s="217"/>
      <c r="E128" s="217"/>
      <c r="F128" s="217"/>
      <c r="G128" s="217"/>
      <c r="H128" s="217"/>
      <c r="I128" s="217"/>
      <c r="J128" s="217"/>
      <c r="K128" s="217"/>
      <c r="L128" s="217"/>
    </row>
    <row r="129" spans="2:12">
      <c r="B129" s="217"/>
      <c r="C129" s="217"/>
      <c r="D129" s="217"/>
      <c r="E129" s="217"/>
      <c r="F129" s="217"/>
      <c r="G129" s="217"/>
      <c r="H129" s="217"/>
      <c r="I129" s="217"/>
      <c r="J129" s="217"/>
      <c r="K129" s="217"/>
      <c r="L129" s="217"/>
    </row>
    <row r="130" spans="2:12">
      <c r="B130" s="217"/>
      <c r="C130" s="217"/>
      <c r="D130" s="217"/>
      <c r="E130" s="217"/>
      <c r="F130" s="217"/>
      <c r="G130" s="217"/>
      <c r="H130" s="217"/>
      <c r="I130" s="217"/>
      <c r="J130" s="217"/>
      <c r="K130" s="217"/>
      <c r="L130" s="217"/>
    </row>
    <row r="131" spans="2:12">
      <c r="B131" s="217"/>
      <c r="C131" s="217"/>
      <c r="D131" s="217"/>
      <c r="E131" s="217"/>
      <c r="F131" s="217"/>
      <c r="G131" s="217"/>
      <c r="H131" s="217"/>
      <c r="I131" s="217"/>
      <c r="J131" s="217"/>
      <c r="K131" s="217"/>
      <c r="L131" s="217"/>
    </row>
    <row r="132" spans="2:12">
      <c r="B132" s="217"/>
      <c r="C132" s="217"/>
      <c r="D132" s="217"/>
      <c r="E132" s="217"/>
      <c r="F132" s="217"/>
      <c r="G132" s="217"/>
      <c r="H132" s="217"/>
      <c r="I132" s="217"/>
      <c r="J132" s="217"/>
      <c r="K132" s="217"/>
      <c r="L132" s="217"/>
    </row>
    <row r="133" spans="2:12">
      <c r="B133" s="217"/>
      <c r="C133" s="217"/>
      <c r="D133" s="217"/>
      <c r="E133" s="217"/>
      <c r="F133" s="217"/>
      <c r="G133" s="217"/>
      <c r="H133" s="217"/>
      <c r="I133" s="217"/>
      <c r="J133" s="217"/>
      <c r="K133" s="217"/>
      <c r="L133" s="217"/>
    </row>
    <row r="134" spans="2:12">
      <c r="B134" s="217"/>
      <c r="C134" s="217"/>
      <c r="D134" s="217"/>
      <c r="E134" s="217"/>
      <c r="F134" s="217"/>
      <c r="G134" s="217"/>
      <c r="H134" s="217"/>
      <c r="I134" s="217"/>
      <c r="J134" s="217"/>
      <c r="K134" s="217"/>
      <c r="L134" s="217"/>
    </row>
    <row r="135" spans="2:12">
      <c r="B135" s="217"/>
      <c r="C135" s="217"/>
      <c r="D135" s="217"/>
      <c r="E135" s="217"/>
      <c r="F135" s="217"/>
      <c r="G135" s="217"/>
      <c r="H135" s="217"/>
      <c r="I135" s="217"/>
      <c r="J135" s="217"/>
      <c r="K135" s="217"/>
      <c r="L135" s="217"/>
    </row>
    <row r="136" spans="2:12">
      <c r="B136" s="217"/>
      <c r="C136" s="217"/>
      <c r="D136" s="217"/>
      <c r="E136" s="217"/>
      <c r="F136" s="217"/>
      <c r="G136" s="217"/>
      <c r="H136" s="217"/>
      <c r="I136" s="217"/>
      <c r="J136" s="217"/>
      <c r="K136" s="217"/>
      <c r="L136" s="217"/>
    </row>
    <row r="137" spans="2:12">
      <c r="B137" s="217"/>
      <c r="C137" s="217"/>
      <c r="D137" s="217"/>
      <c r="E137" s="217"/>
      <c r="F137" s="217"/>
      <c r="G137" s="217"/>
      <c r="H137" s="217"/>
      <c r="I137" s="217"/>
      <c r="J137" s="217"/>
      <c r="K137" s="217"/>
      <c r="L137" s="217"/>
    </row>
    <row r="138" spans="2:12">
      <c r="B138" s="217"/>
      <c r="C138" s="217"/>
      <c r="D138" s="217"/>
      <c r="E138" s="217"/>
      <c r="F138" s="217"/>
      <c r="G138" s="217"/>
      <c r="H138" s="217"/>
      <c r="I138" s="217"/>
      <c r="J138" s="217"/>
      <c r="K138" s="217"/>
      <c r="L138" s="217"/>
    </row>
    <row r="139" spans="2:12">
      <c r="B139" s="217"/>
      <c r="C139" s="217"/>
      <c r="D139" s="217"/>
      <c r="E139" s="217"/>
      <c r="F139" s="217"/>
      <c r="G139" s="217"/>
      <c r="H139" s="217"/>
      <c r="I139" s="217"/>
      <c r="J139" s="217"/>
      <c r="K139" s="217"/>
      <c r="L139" s="217"/>
    </row>
    <row r="140" spans="2:12">
      <c r="B140" s="217"/>
      <c r="C140" s="217"/>
      <c r="D140" s="217"/>
      <c r="E140" s="217"/>
      <c r="F140" s="217"/>
      <c r="G140" s="217"/>
      <c r="H140" s="217"/>
      <c r="I140" s="217"/>
      <c r="J140" s="217"/>
      <c r="K140" s="217"/>
      <c r="L140" s="217"/>
    </row>
    <row r="141" spans="2:12">
      <c r="B141" s="217"/>
      <c r="C141" s="217"/>
      <c r="D141" s="217"/>
      <c r="E141" s="217"/>
      <c r="F141" s="217"/>
      <c r="G141" s="217"/>
      <c r="H141" s="217"/>
      <c r="I141" s="217"/>
      <c r="J141" s="217"/>
      <c r="K141" s="217"/>
      <c r="L141" s="217"/>
    </row>
    <row r="142" spans="2:12">
      <c r="B142" s="217"/>
      <c r="C142" s="217"/>
      <c r="D142" s="217"/>
      <c r="E142" s="217"/>
      <c r="F142" s="217"/>
      <c r="G142" s="217"/>
      <c r="H142" s="217"/>
      <c r="I142" s="217"/>
      <c r="J142" s="217"/>
      <c r="K142" s="217"/>
      <c r="L142" s="217"/>
    </row>
    <row r="143" spans="2:12">
      <c r="B143" s="217"/>
      <c r="C143" s="217"/>
      <c r="D143" s="217"/>
      <c r="E143" s="217"/>
      <c r="F143" s="217"/>
      <c r="G143" s="217"/>
      <c r="H143" s="217"/>
      <c r="I143" s="217"/>
      <c r="J143" s="217"/>
      <c r="K143" s="217"/>
      <c r="L143" s="217"/>
    </row>
    <row r="144" spans="2:12">
      <c r="B144" s="217"/>
      <c r="C144" s="217"/>
      <c r="D144" s="217"/>
      <c r="E144" s="217"/>
      <c r="F144" s="217"/>
      <c r="G144" s="217"/>
      <c r="H144" s="217"/>
      <c r="I144" s="217"/>
      <c r="J144" s="217"/>
      <c r="K144" s="217"/>
      <c r="L144" s="217"/>
    </row>
    <row r="145" spans="2:12">
      <c r="B145" s="217"/>
      <c r="C145" s="217"/>
      <c r="D145" s="217"/>
      <c r="E145" s="217"/>
      <c r="F145" s="217"/>
      <c r="G145" s="217"/>
      <c r="H145" s="217"/>
      <c r="I145" s="217"/>
      <c r="J145" s="217"/>
      <c r="K145" s="217"/>
      <c r="L145" s="217"/>
    </row>
    <row r="146" spans="2:12">
      <c r="B146" s="217"/>
      <c r="C146" s="217"/>
      <c r="D146" s="217"/>
      <c r="E146" s="217"/>
      <c r="F146" s="217"/>
      <c r="G146" s="217"/>
      <c r="H146" s="217"/>
      <c r="I146" s="217"/>
      <c r="J146" s="217"/>
      <c r="K146" s="217"/>
      <c r="L146" s="217"/>
    </row>
    <row r="147" spans="2:12">
      <c r="B147" s="217"/>
      <c r="C147" s="217"/>
      <c r="D147" s="217"/>
      <c r="E147" s="217"/>
      <c r="F147" s="217"/>
      <c r="G147" s="217"/>
      <c r="H147" s="217"/>
      <c r="I147" s="217"/>
      <c r="J147" s="217"/>
      <c r="K147" s="217"/>
      <c r="L147" s="217"/>
    </row>
    <row r="148" spans="2:12">
      <c r="B148" s="217"/>
      <c r="C148" s="217"/>
      <c r="D148" s="217"/>
      <c r="E148" s="217"/>
      <c r="F148" s="217"/>
      <c r="G148" s="217"/>
      <c r="H148" s="217"/>
      <c r="I148" s="217"/>
      <c r="J148" s="217"/>
      <c r="K148" s="217"/>
      <c r="L148" s="217"/>
    </row>
    <row r="149" spans="2:12">
      <c r="B149" s="217"/>
      <c r="C149" s="217"/>
      <c r="D149" s="217"/>
      <c r="E149" s="217"/>
      <c r="F149" s="217"/>
      <c r="G149" s="217"/>
      <c r="H149" s="217"/>
      <c r="I149" s="217"/>
      <c r="J149" s="217"/>
      <c r="K149" s="217"/>
      <c r="L149" s="217"/>
    </row>
    <row r="150" spans="2:12">
      <c r="B150" s="217"/>
      <c r="C150" s="217"/>
      <c r="D150" s="217"/>
      <c r="E150" s="217"/>
      <c r="F150" s="217"/>
      <c r="G150" s="217"/>
      <c r="H150" s="217"/>
      <c r="I150" s="217"/>
      <c r="J150" s="217"/>
      <c r="K150" s="217"/>
      <c r="L150" s="217"/>
    </row>
    <row r="151" spans="2:12">
      <c r="B151" s="217"/>
      <c r="C151" s="217"/>
      <c r="D151" s="217"/>
      <c r="E151" s="217"/>
      <c r="F151" s="217"/>
      <c r="G151" s="217"/>
      <c r="H151" s="217"/>
      <c r="I151" s="217"/>
      <c r="J151" s="217"/>
      <c r="K151" s="217"/>
      <c r="L151" s="217"/>
    </row>
    <row r="152" spans="2:12">
      <c r="B152" s="217"/>
      <c r="C152" s="217"/>
      <c r="D152" s="217"/>
      <c r="E152" s="217"/>
      <c r="F152" s="217"/>
      <c r="G152" s="217"/>
      <c r="H152" s="217"/>
      <c r="I152" s="217"/>
      <c r="J152" s="217"/>
      <c r="K152" s="217"/>
      <c r="L152" s="217"/>
    </row>
    <row r="153" spans="2:12">
      <c r="B153" s="217"/>
      <c r="C153" s="217"/>
      <c r="D153" s="217"/>
      <c r="E153" s="217"/>
      <c r="F153" s="217"/>
      <c r="G153" s="217"/>
      <c r="H153" s="217"/>
      <c r="I153" s="217"/>
      <c r="J153" s="217"/>
      <c r="K153" s="217"/>
      <c r="L153" s="217"/>
    </row>
    <row r="154" spans="2:12">
      <c r="B154" s="217"/>
      <c r="C154" s="217"/>
      <c r="D154" s="217"/>
      <c r="E154" s="217"/>
      <c r="F154" s="217"/>
      <c r="G154" s="217"/>
      <c r="H154" s="217"/>
      <c r="I154" s="217"/>
      <c r="J154" s="217"/>
      <c r="K154" s="217"/>
      <c r="L154" s="217"/>
    </row>
    <row r="155" spans="2:12">
      <c r="B155" s="217"/>
      <c r="C155" s="217"/>
      <c r="D155" s="217"/>
      <c r="E155" s="217"/>
      <c r="F155" s="217"/>
      <c r="G155" s="217"/>
      <c r="H155" s="217"/>
      <c r="I155" s="217"/>
      <c r="J155" s="217"/>
      <c r="K155" s="217"/>
      <c r="L155" s="217"/>
    </row>
    <row r="156" spans="2:12">
      <c r="B156" s="217"/>
      <c r="C156" s="217"/>
      <c r="D156" s="217"/>
      <c r="E156" s="217"/>
      <c r="F156" s="217"/>
      <c r="G156" s="217"/>
      <c r="H156" s="217"/>
      <c r="I156" s="217"/>
      <c r="J156" s="217"/>
      <c r="K156" s="217"/>
      <c r="L156" s="217"/>
    </row>
    <row r="157" spans="2:12">
      <c r="B157" s="217"/>
      <c r="C157" s="217"/>
      <c r="D157" s="217"/>
      <c r="E157" s="217"/>
      <c r="F157" s="217"/>
      <c r="G157" s="217"/>
      <c r="H157" s="217"/>
      <c r="I157" s="217"/>
      <c r="J157" s="217"/>
      <c r="K157" s="217"/>
      <c r="L157" s="217"/>
    </row>
    <row r="158" spans="2:12">
      <c r="B158" s="217"/>
      <c r="C158" s="217"/>
      <c r="D158" s="217"/>
      <c r="E158" s="217"/>
      <c r="F158" s="217"/>
      <c r="G158" s="217"/>
      <c r="H158" s="217"/>
      <c r="I158" s="217"/>
      <c r="J158" s="217"/>
      <c r="K158" s="217"/>
      <c r="L158" s="217"/>
    </row>
    <row r="159" spans="2:12">
      <c r="B159" s="217"/>
      <c r="C159" s="217"/>
      <c r="D159" s="217"/>
      <c r="E159" s="217"/>
      <c r="F159" s="217"/>
      <c r="G159" s="217"/>
      <c r="H159" s="217"/>
      <c r="I159" s="217"/>
      <c r="J159" s="217"/>
      <c r="K159" s="217"/>
      <c r="L159" s="217"/>
    </row>
    <row r="160" spans="2:12">
      <c r="B160" s="217"/>
      <c r="C160" s="217"/>
      <c r="D160" s="217"/>
      <c r="E160" s="217"/>
      <c r="F160" s="217"/>
      <c r="G160" s="217"/>
      <c r="H160" s="217"/>
      <c r="I160" s="217"/>
      <c r="J160" s="217"/>
      <c r="K160" s="217"/>
      <c r="L160" s="217"/>
    </row>
    <row r="161" spans="2:12">
      <c r="B161" s="217"/>
      <c r="C161" s="217"/>
      <c r="D161" s="217"/>
      <c r="E161" s="217"/>
      <c r="F161" s="217"/>
      <c r="G161" s="217"/>
      <c r="H161" s="217"/>
      <c r="I161" s="217"/>
      <c r="J161" s="217"/>
      <c r="K161" s="217"/>
      <c r="L161" s="217"/>
    </row>
    <row r="162" spans="2:12">
      <c r="B162" s="217"/>
      <c r="C162" s="217"/>
      <c r="D162" s="217"/>
      <c r="E162" s="217"/>
      <c r="F162" s="217"/>
      <c r="G162" s="217"/>
      <c r="H162" s="217"/>
      <c r="I162" s="217"/>
      <c r="J162" s="217"/>
      <c r="K162" s="217"/>
      <c r="L162" s="217"/>
    </row>
    <row r="163" spans="2:12">
      <c r="B163" s="217"/>
      <c r="C163" s="217"/>
      <c r="D163" s="217"/>
      <c r="E163" s="217"/>
      <c r="F163" s="217"/>
      <c r="G163" s="217"/>
      <c r="H163" s="217"/>
      <c r="I163" s="217"/>
      <c r="J163" s="217"/>
      <c r="K163" s="217"/>
      <c r="L163" s="217"/>
    </row>
    <row r="164" spans="2:12">
      <c r="B164" s="217"/>
      <c r="C164" s="217"/>
      <c r="D164" s="217"/>
      <c r="E164" s="217"/>
      <c r="F164" s="217"/>
      <c r="G164" s="217"/>
      <c r="H164" s="217"/>
      <c r="I164" s="217"/>
      <c r="J164" s="217"/>
      <c r="K164" s="217"/>
      <c r="L164" s="217"/>
    </row>
    <row r="165" spans="2:12">
      <c r="B165" s="217"/>
      <c r="C165" s="217"/>
      <c r="D165" s="217"/>
      <c r="E165" s="217"/>
      <c r="F165" s="217"/>
      <c r="G165" s="217"/>
      <c r="H165" s="217"/>
      <c r="I165" s="217"/>
      <c r="J165" s="217"/>
      <c r="K165" s="217"/>
      <c r="L165" s="217"/>
    </row>
    <row r="166" spans="2:12">
      <c r="B166" s="217"/>
      <c r="C166" s="217"/>
      <c r="D166" s="217"/>
      <c r="E166" s="217"/>
      <c r="F166" s="217"/>
      <c r="G166" s="217"/>
      <c r="H166" s="217"/>
      <c r="I166" s="217"/>
      <c r="J166" s="217"/>
      <c r="K166" s="217"/>
      <c r="L166" s="217"/>
    </row>
    <row r="167" spans="2:12">
      <c r="B167" s="217"/>
      <c r="C167" s="217"/>
      <c r="D167" s="217"/>
      <c r="E167" s="217"/>
      <c r="F167" s="217"/>
      <c r="G167" s="217"/>
      <c r="H167" s="217"/>
      <c r="I167" s="217"/>
      <c r="J167" s="217"/>
      <c r="K167" s="217"/>
      <c r="L167" s="217"/>
    </row>
    <row r="168" spans="2:12">
      <c r="B168" s="217"/>
      <c r="C168" s="217"/>
      <c r="D168" s="217"/>
      <c r="E168" s="217"/>
      <c r="F168" s="217"/>
      <c r="G168" s="217"/>
      <c r="H168" s="217"/>
      <c r="I168" s="217"/>
      <c r="J168" s="217"/>
      <c r="K168" s="217"/>
      <c r="L168" s="217"/>
    </row>
    <row r="169" spans="2:12">
      <c r="B169" s="217"/>
      <c r="C169" s="217"/>
      <c r="D169" s="217"/>
      <c r="E169" s="217"/>
      <c r="F169" s="217"/>
      <c r="G169" s="217"/>
      <c r="H169" s="217"/>
      <c r="I169" s="217"/>
      <c r="J169" s="217"/>
      <c r="K169" s="217"/>
      <c r="L169" s="217"/>
    </row>
    <row r="170" spans="2:12">
      <c r="B170" s="217"/>
      <c r="C170" s="217"/>
      <c r="D170" s="217"/>
      <c r="E170" s="217"/>
      <c r="F170" s="217"/>
      <c r="G170" s="217"/>
      <c r="H170" s="217"/>
      <c r="I170" s="217"/>
      <c r="J170" s="217"/>
      <c r="K170" s="217"/>
      <c r="L170" s="217"/>
    </row>
    <row r="171" spans="2:12">
      <c r="B171" s="217"/>
      <c r="C171" s="217"/>
      <c r="D171" s="217"/>
      <c r="E171" s="217"/>
      <c r="F171" s="217"/>
      <c r="G171" s="217"/>
      <c r="H171" s="217"/>
      <c r="I171" s="217"/>
      <c r="J171" s="217"/>
      <c r="K171" s="217"/>
      <c r="L171" s="217"/>
    </row>
    <row r="172" spans="2:12">
      <c r="B172" s="217"/>
      <c r="C172" s="217"/>
      <c r="D172" s="217"/>
      <c r="E172" s="217"/>
      <c r="F172" s="217"/>
      <c r="G172" s="217"/>
      <c r="H172" s="217"/>
      <c r="I172" s="217"/>
      <c r="J172" s="217"/>
      <c r="K172" s="217"/>
      <c r="L172" s="217"/>
    </row>
    <row r="173" spans="2:12">
      <c r="B173" s="217"/>
      <c r="C173" s="217"/>
      <c r="D173" s="217"/>
      <c r="E173" s="217"/>
      <c r="F173" s="217"/>
      <c r="G173" s="217"/>
      <c r="H173" s="217"/>
      <c r="I173" s="217"/>
      <c r="J173" s="217"/>
      <c r="K173" s="217"/>
      <c r="L173" s="217"/>
    </row>
    <row r="174" spans="2:12">
      <c r="B174" s="217"/>
      <c r="C174" s="217"/>
      <c r="D174" s="217"/>
      <c r="E174" s="217"/>
      <c r="F174" s="217"/>
      <c r="G174" s="217"/>
      <c r="H174" s="217"/>
      <c r="I174" s="217"/>
      <c r="J174" s="217"/>
      <c r="K174" s="217"/>
      <c r="L174" s="217"/>
    </row>
    <row r="175" spans="2:12">
      <c r="B175" s="217"/>
      <c r="C175" s="217"/>
      <c r="D175" s="217"/>
      <c r="E175" s="217"/>
      <c r="F175" s="217"/>
      <c r="G175" s="217"/>
      <c r="H175" s="217"/>
      <c r="I175" s="217"/>
      <c r="J175" s="217"/>
      <c r="K175" s="217"/>
      <c r="L175" s="217"/>
    </row>
    <row r="176" spans="2:12">
      <c r="B176" s="217"/>
      <c r="C176" s="217"/>
      <c r="D176" s="217"/>
      <c r="E176" s="217"/>
      <c r="F176" s="217"/>
      <c r="G176" s="217"/>
      <c r="H176" s="217"/>
      <c r="I176" s="217"/>
      <c r="J176" s="217"/>
      <c r="K176" s="217"/>
      <c r="L176" s="217"/>
    </row>
    <row r="177" spans="2:12">
      <c r="B177" s="217"/>
      <c r="C177" s="217"/>
      <c r="D177" s="217"/>
      <c r="E177" s="217"/>
      <c r="F177" s="217"/>
      <c r="G177" s="217"/>
      <c r="H177" s="217"/>
      <c r="I177" s="217"/>
      <c r="J177" s="217"/>
      <c r="K177" s="217"/>
      <c r="L177" s="217"/>
    </row>
    <row r="178" spans="2:12">
      <c r="B178" s="217"/>
      <c r="C178" s="217"/>
      <c r="D178" s="217"/>
      <c r="E178" s="217"/>
      <c r="F178" s="217"/>
      <c r="G178" s="217"/>
      <c r="H178" s="217"/>
      <c r="I178" s="217"/>
      <c r="J178" s="217"/>
      <c r="K178" s="217"/>
      <c r="L178" s="217"/>
    </row>
    <row r="179" spans="2:12">
      <c r="B179" s="217"/>
      <c r="C179" s="217"/>
      <c r="D179" s="217"/>
      <c r="E179" s="217"/>
      <c r="F179" s="217"/>
      <c r="G179" s="217"/>
      <c r="H179" s="217"/>
      <c r="I179" s="217"/>
      <c r="J179" s="217"/>
      <c r="K179" s="217"/>
      <c r="L179" s="217"/>
    </row>
    <row r="180" spans="2:12">
      <c r="B180" s="217"/>
      <c r="C180" s="217"/>
      <c r="D180" s="217"/>
      <c r="E180" s="217"/>
      <c r="F180" s="217"/>
      <c r="G180" s="217"/>
      <c r="H180" s="217"/>
      <c r="I180" s="217"/>
      <c r="J180" s="217"/>
      <c r="K180" s="217"/>
      <c r="L180" s="217"/>
    </row>
    <row r="181" spans="2:12">
      <c r="B181" s="217"/>
      <c r="C181" s="217"/>
      <c r="D181" s="217"/>
      <c r="E181" s="217"/>
      <c r="F181" s="217"/>
      <c r="G181" s="217"/>
      <c r="H181" s="217"/>
      <c r="I181" s="217"/>
      <c r="J181" s="217"/>
      <c r="K181" s="217"/>
      <c r="L181" s="217"/>
    </row>
    <row r="182" spans="2:12">
      <c r="B182" s="217"/>
      <c r="C182" s="217"/>
      <c r="D182" s="217"/>
      <c r="E182" s="217"/>
      <c r="F182" s="217"/>
      <c r="G182" s="217"/>
      <c r="H182" s="217"/>
      <c r="I182" s="217"/>
      <c r="J182" s="217"/>
      <c r="K182" s="217"/>
      <c r="L182" s="217"/>
    </row>
    <row r="183" spans="2:12">
      <c r="B183" s="217"/>
      <c r="C183" s="217"/>
      <c r="D183" s="217"/>
      <c r="E183" s="217"/>
      <c r="F183" s="217"/>
      <c r="G183" s="217"/>
      <c r="H183" s="217"/>
      <c r="I183" s="217"/>
      <c r="J183" s="217"/>
      <c r="K183" s="217"/>
      <c r="L183" s="217"/>
    </row>
    <row r="184" spans="2:12">
      <c r="B184" s="217"/>
      <c r="C184" s="217"/>
      <c r="D184" s="217"/>
      <c r="E184" s="217"/>
      <c r="F184" s="217"/>
      <c r="G184" s="217"/>
      <c r="H184" s="217"/>
      <c r="I184" s="217"/>
      <c r="J184" s="217"/>
      <c r="K184" s="217"/>
      <c r="L184" s="217"/>
    </row>
    <row r="185" spans="2:12">
      <c r="B185" s="217"/>
      <c r="C185" s="217"/>
      <c r="D185" s="217"/>
      <c r="E185" s="217"/>
      <c r="F185" s="217"/>
      <c r="G185" s="217"/>
      <c r="H185" s="217"/>
      <c r="I185" s="217"/>
      <c r="J185" s="217"/>
      <c r="K185" s="217"/>
      <c r="L185" s="217"/>
    </row>
    <row r="186" spans="2:12">
      <c r="B186" s="217"/>
      <c r="C186" s="217"/>
      <c r="D186" s="217"/>
      <c r="E186" s="217"/>
      <c r="F186" s="217"/>
      <c r="G186" s="217"/>
      <c r="H186" s="217"/>
      <c r="I186" s="217"/>
      <c r="J186" s="217"/>
      <c r="K186" s="217"/>
      <c r="L186" s="217"/>
    </row>
    <row r="187" spans="2:12">
      <c r="B187" s="217"/>
      <c r="C187" s="217"/>
      <c r="D187" s="217"/>
      <c r="E187" s="217"/>
      <c r="F187" s="217"/>
      <c r="G187" s="217"/>
      <c r="H187" s="217"/>
      <c r="I187" s="217"/>
      <c r="J187" s="217"/>
      <c r="K187" s="217"/>
      <c r="L187" s="217"/>
    </row>
    <row r="188" spans="2:12">
      <c r="B188" s="217"/>
      <c r="C188" s="217"/>
      <c r="D188" s="217"/>
      <c r="E188" s="217"/>
      <c r="F188" s="217"/>
      <c r="G188" s="217"/>
      <c r="H188" s="217"/>
      <c r="I188" s="217"/>
      <c r="J188" s="217"/>
      <c r="K188" s="217"/>
      <c r="L188" s="217"/>
    </row>
    <row r="189" spans="2:12">
      <c r="B189" s="217"/>
      <c r="C189" s="217"/>
      <c r="D189" s="217"/>
      <c r="E189" s="217"/>
      <c r="F189" s="217"/>
      <c r="G189" s="217"/>
      <c r="H189" s="217"/>
      <c r="I189" s="217"/>
      <c r="J189" s="217"/>
      <c r="K189" s="217"/>
      <c r="L189" s="217"/>
    </row>
    <row r="190" spans="2:12">
      <c r="B190" s="217"/>
      <c r="C190" s="217"/>
      <c r="D190" s="217"/>
      <c r="E190" s="217"/>
      <c r="F190" s="217"/>
      <c r="G190" s="217"/>
      <c r="H190" s="217"/>
      <c r="I190" s="217"/>
      <c r="J190" s="217"/>
      <c r="K190" s="217"/>
      <c r="L190" s="217"/>
    </row>
    <row r="191" spans="2:12">
      <c r="B191" s="217"/>
      <c r="C191" s="217"/>
      <c r="D191" s="217"/>
      <c r="E191" s="217"/>
      <c r="F191" s="217"/>
      <c r="G191" s="217"/>
      <c r="H191" s="217"/>
      <c r="I191" s="217"/>
      <c r="J191" s="217"/>
      <c r="K191" s="217"/>
      <c r="L191" s="217"/>
    </row>
    <row r="192" spans="2:12">
      <c r="B192" s="217"/>
      <c r="C192" s="217"/>
      <c r="D192" s="217"/>
      <c r="E192" s="217"/>
      <c r="F192" s="217"/>
      <c r="G192" s="217"/>
      <c r="H192" s="217"/>
      <c r="I192" s="217"/>
      <c r="J192" s="217"/>
      <c r="K192" s="217"/>
      <c r="L192" s="217"/>
    </row>
    <row r="193" spans="2:12">
      <c r="B193" s="217"/>
      <c r="C193" s="217"/>
      <c r="D193" s="217"/>
      <c r="E193" s="217"/>
      <c r="F193" s="217"/>
      <c r="G193" s="217"/>
      <c r="H193" s="217"/>
      <c r="I193" s="217"/>
      <c r="J193" s="217"/>
      <c r="K193" s="217"/>
      <c r="L193" s="217"/>
    </row>
    <row r="194" spans="2:12">
      <c r="B194" s="217"/>
      <c r="C194" s="217"/>
      <c r="D194" s="217"/>
      <c r="E194" s="217"/>
      <c r="F194" s="217"/>
      <c r="G194" s="217"/>
      <c r="H194" s="217"/>
      <c r="I194" s="217"/>
      <c r="J194" s="217"/>
      <c r="K194" s="217"/>
      <c r="L194" s="217"/>
    </row>
    <row r="195" spans="2:12">
      <c r="B195" s="217"/>
      <c r="C195" s="217"/>
      <c r="D195" s="217"/>
      <c r="E195" s="217"/>
      <c r="F195" s="217"/>
      <c r="G195" s="217"/>
      <c r="H195" s="217"/>
      <c r="I195" s="217"/>
      <c r="J195" s="217"/>
      <c r="K195" s="217"/>
      <c r="L195" s="217"/>
    </row>
    <row r="196" spans="2:12">
      <c r="B196" s="217"/>
      <c r="C196" s="217"/>
      <c r="D196" s="217"/>
      <c r="E196" s="217"/>
      <c r="F196" s="217"/>
      <c r="G196" s="217"/>
      <c r="H196" s="217"/>
      <c r="I196" s="217"/>
      <c r="J196" s="217"/>
      <c r="K196" s="217"/>
      <c r="L196" s="217"/>
    </row>
    <row r="197" spans="2:12">
      <c r="B197" s="217"/>
      <c r="C197" s="217"/>
      <c r="D197" s="217"/>
      <c r="E197" s="217"/>
      <c r="F197" s="217"/>
      <c r="G197" s="217"/>
      <c r="H197" s="217"/>
      <c r="I197" s="217"/>
      <c r="J197" s="217"/>
      <c r="K197" s="217"/>
      <c r="L197" s="217"/>
    </row>
    <row r="198" spans="2:12">
      <c r="B198" s="217"/>
      <c r="C198" s="217"/>
      <c r="D198" s="217"/>
      <c r="E198" s="217"/>
      <c r="F198" s="217"/>
      <c r="G198" s="217"/>
      <c r="H198" s="217"/>
      <c r="I198" s="217"/>
      <c r="J198" s="217"/>
      <c r="K198" s="217"/>
      <c r="L198" s="217"/>
    </row>
    <row r="199" spans="2:12">
      <c r="B199" s="217"/>
      <c r="C199" s="217"/>
      <c r="D199" s="217"/>
      <c r="E199" s="217"/>
      <c r="F199" s="217"/>
      <c r="G199" s="217"/>
      <c r="H199" s="217"/>
      <c r="I199" s="217"/>
      <c r="J199" s="217"/>
      <c r="K199" s="217"/>
      <c r="L199" s="217"/>
    </row>
    <row r="200" spans="2:12">
      <c r="B200" s="217"/>
      <c r="C200" s="217"/>
      <c r="D200" s="217"/>
      <c r="E200" s="217"/>
      <c r="F200" s="217"/>
      <c r="G200" s="217"/>
      <c r="H200" s="217"/>
      <c r="I200" s="217"/>
      <c r="J200" s="217"/>
      <c r="K200" s="217"/>
      <c r="L200" s="217"/>
    </row>
    <row r="201" spans="2:12">
      <c r="B201" s="217"/>
      <c r="C201" s="217"/>
      <c r="D201" s="217"/>
      <c r="E201" s="217"/>
      <c r="F201" s="217"/>
      <c r="G201" s="217"/>
      <c r="H201" s="217"/>
      <c r="I201" s="217"/>
      <c r="J201" s="217"/>
      <c r="K201" s="217"/>
      <c r="L201" s="217"/>
    </row>
    <row r="202" spans="2:12">
      <c r="B202" s="217"/>
      <c r="C202" s="217"/>
      <c r="D202" s="217"/>
      <c r="E202" s="217"/>
      <c r="F202" s="217"/>
      <c r="G202" s="217"/>
      <c r="H202" s="217"/>
      <c r="I202" s="217"/>
      <c r="J202" s="217"/>
      <c r="K202" s="217"/>
      <c r="L202" s="217"/>
    </row>
    <row r="203" spans="2:12">
      <c r="B203" s="217"/>
      <c r="C203" s="217"/>
      <c r="D203" s="217"/>
      <c r="E203" s="217"/>
      <c r="F203" s="217"/>
      <c r="G203" s="217"/>
      <c r="H203" s="217"/>
      <c r="I203" s="217"/>
      <c r="J203" s="217"/>
      <c r="K203" s="217"/>
      <c r="L203" s="217"/>
    </row>
    <row r="204" spans="2:12">
      <c r="B204" s="217"/>
      <c r="C204" s="217"/>
      <c r="D204" s="217"/>
      <c r="E204" s="217"/>
      <c r="F204" s="217"/>
      <c r="G204" s="217"/>
      <c r="H204" s="217"/>
      <c r="I204" s="217"/>
      <c r="J204" s="217"/>
      <c r="K204" s="217"/>
      <c r="L204" s="217"/>
    </row>
    <row r="205" spans="2:12">
      <c r="B205" s="217"/>
      <c r="C205" s="217"/>
      <c r="D205" s="217"/>
      <c r="E205" s="217"/>
      <c r="F205" s="217"/>
      <c r="G205" s="217"/>
      <c r="H205" s="217"/>
      <c r="I205" s="217"/>
      <c r="J205" s="217"/>
      <c r="K205" s="217"/>
      <c r="L205" s="217"/>
    </row>
    <row r="206" spans="2:12">
      <c r="B206" s="217"/>
      <c r="C206" s="217"/>
      <c r="D206" s="217"/>
      <c r="E206" s="217"/>
      <c r="F206" s="217"/>
      <c r="G206" s="217"/>
      <c r="H206" s="217"/>
      <c r="I206" s="217"/>
      <c r="J206" s="217"/>
      <c r="K206" s="217"/>
      <c r="L206" s="217"/>
    </row>
    <row r="207" spans="2:12">
      <c r="B207" s="217"/>
      <c r="C207" s="217"/>
      <c r="D207" s="217"/>
      <c r="E207" s="217"/>
      <c r="F207" s="217"/>
      <c r="G207" s="217"/>
      <c r="H207" s="217"/>
      <c r="I207" s="217"/>
      <c r="J207" s="217"/>
      <c r="K207" s="217"/>
      <c r="L207" s="217"/>
    </row>
    <row r="208" spans="2:12">
      <c r="B208" s="217"/>
      <c r="C208" s="217"/>
      <c r="D208" s="217"/>
      <c r="E208" s="217"/>
      <c r="F208" s="217"/>
      <c r="G208" s="217"/>
      <c r="H208" s="217"/>
      <c r="I208" s="217"/>
      <c r="J208" s="217"/>
      <c r="K208" s="217"/>
      <c r="L208" s="217"/>
    </row>
    <row r="209" spans="2:12">
      <c r="B209" s="217"/>
      <c r="C209" s="217"/>
      <c r="D209" s="217"/>
      <c r="E209" s="217"/>
      <c r="F209" s="217"/>
      <c r="G209" s="217"/>
      <c r="H209" s="217"/>
      <c r="I209" s="217"/>
      <c r="J209" s="217"/>
      <c r="K209" s="217"/>
      <c r="L209" s="217"/>
    </row>
    <row r="210" spans="2:12">
      <c r="B210" s="217"/>
      <c r="C210" s="217"/>
      <c r="D210" s="217"/>
      <c r="E210" s="217"/>
      <c r="F210" s="217"/>
      <c r="G210" s="217"/>
      <c r="H210" s="217"/>
      <c r="I210" s="217"/>
      <c r="J210" s="217"/>
      <c r="K210" s="217"/>
      <c r="L210" s="217"/>
    </row>
    <row r="211" spans="2:12">
      <c r="B211" s="217"/>
      <c r="C211" s="217"/>
      <c r="D211" s="217"/>
      <c r="E211" s="217"/>
      <c r="F211" s="217"/>
      <c r="G211" s="217"/>
      <c r="H211" s="217"/>
      <c r="I211" s="217"/>
      <c r="J211" s="217"/>
      <c r="K211" s="217"/>
      <c r="L211" s="217"/>
    </row>
    <row r="212" spans="2:12">
      <c r="B212" s="217"/>
      <c r="C212" s="217"/>
      <c r="D212" s="217"/>
      <c r="E212" s="217"/>
      <c r="F212" s="217"/>
      <c r="G212" s="217"/>
      <c r="H212" s="217"/>
      <c r="I212" s="217"/>
      <c r="J212" s="217"/>
      <c r="K212" s="217"/>
      <c r="L212" s="217"/>
    </row>
    <row r="213" spans="2:12">
      <c r="B213" s="217"/>
      <c r="C213" s="217"/>
      <c r="D213" s="217"/>
      <c r="E213" s="217"/>
      <c r="F213" s="217"/>
      <c r="G213" s="217"/>
      <c r="H213" s="217"/>
      <c r="I213" s="217"/>
      <c r="J213" s="217"/>
      <c r="K213" s="217"/>
      <c r="L213" s="217"/>
    </row>
    <row r="214" spans="2:12">
      <c r="B214" s="217"/>
      <c r="C214" s="217"/>
      <c r="D214" s="217"/>
      <c r="E214" s="217"/>
      <c r="F214" s="217"/>
      <c r="G214" s="217"/>
      <c r="H214" s="217"/>
      <c r="I214" s="217"/>
      <c r="J214" s="217"/>
      <c r="K214" s="217"/>
      <c r="L214" s="217"/>
    </row>
    <row r="215" spans="2:12">
      <c r="B215" s="217"/>
      <c r="C215" s="217"/>
      <c r="D215" s="217"/>
      <c r="E215" s="217"/>
      <c r="F215" s="217"/>
      <c r="G215" s="217"/>
      <c r="H215" s="217"/>
      <c r="I215" s="217"/>
      <c r="J215" s="217"/>
      <c r="K215" s="217"/>
      <c r="L215" s="217"/>
    </row>
    <row r="216" spans="2:12">
      <c r="B216" s="217"/>
      <c r="C216" s="217"/>
      <c r="D216" s="217"/>
      <c r="E216" s="217"/>
      <c r="F216" s="217"/>
      <c r="G216" s="217"/>
      <c r="H216" s="217"/>
      <c r="I216" s="217"/>
      <c r="J216" s="217"/>
      <c r="K216" s="217"/>
      <c r="L216" s="217"/>
    </row>
    <row r="217" spans="2:12">
      <c r="B217" s="217"/>
      <c r="C217" s="217"/>
      <c r="D217" s="217"/>
      <c r="E217" s="217"/>
      <c r="F217" s="217"/>
      <c r="G217" s="217"/>
      <c r="H217" s="217"/>
      <c r="I217" s="217"/>
      <c r="J217" s="217"/>
      <c r="K217" s="217"/>
      <c r="L217" s="217"/>
    </row>
    <row r="218" spans="2:12">
      <c r="B218" s="217"/>
      <c r="C218" s="217"/>
      <c r="D218" s="217"/>
      <c r="E218" s="217"/>
      <c r="F218" s="217"/>
      <c r="G218" s="217"/>
      <c r="H218" s="217"/>
      <c r="I218" s="217"/>
      <c r="J218" s="217"/>
      <c r="K218" s="217"/>
      <c r="L218" s="217"/>
    </row>
    <row r="219" spans="2:12">
      <c r="B219" s="217"/>
      <c r="C219" s="217"/>
      <c r="D219" s="217"/>
      <c r="E219" s="217"/>
      <c r="F219" s="217"/>
      <c r="G219" s="217"/>
      <c r="H219" s="217"/>
      <c r="I219" s="217"/>
      <c r="J219" s="217"/>
      <c r="K219" s="217"/>
      <c r="L219" s="217"/>
    </row>
    <row r="220" spans="2:12">
      <c r="B220" s="217"/>
      <c r="C220" s="217"/>
      <c r="D220" s="217"/>
      <c r="E220" s="217"/>
      <c r="F220" s="217"/>
      <c r="G220" s="217"/>
      <c r="H220" s="217"/>
      <c r="I220" s="217"/>
      <c r="J220" s="217"/>
      <c r="K220" s="217"/>
      <c r="L220" s="217"/>
    </row>
    <row r="221" spans="2:12">
      <c r="B221" s="217"/>
      <c r="C221" s="217"/>
      <c r="D221" s="217"/>
      <c r="E221" s="217"/>
      <c r="F221" s="217"/>
      <c r="G221" s="217"/>
      <c r="H221" s="217"/>
      <c r="I221" s="217"/>
      <c r="J221" s="217"/>
      <c r="K221" s="217"/>
      <c r="L221" s="217"/>
    </row>
    <row r="222" spans="2:12">
      <c r="B222" s="217"/>
      <c r="C222" s="217"/>
      <c r="D222" s="217"/>
      <c r="E222" s="217"/>
      <c r="F222" s="217"/>
      <c r="G222" s="217"/>
      <c r="H222" s="217"/>
      <c r="I222" s="217"/>
      <c r="J222" s="217"/>
      <c r="K222" s="217"/>
      <c r="L222" s="217"/>
    </row>
    <row r="223" spans="2:12">
      <c r="B223" s="217"/>
      <c r="C223" s="217"/>
      <c r="D223" s="217"/>
      <c r="E223" s="217"/>
      <c r="F223" s="217"/>
      <c r="G223" s="217"/>
      <c r="H223" s="217"/>
      <c r="I223" s="217"/>
      <c r="J223" s="217"/>
      <c r="K223" s="217"/>
      <c r="L223" s="217"/>
    </row>
    <row r="224" spans="2:12">
      <c r="B224" s="217"/>
      <c r="C224" s="217"/>
      <c r="D224" s="217"/>
      <c r="E224" s="217"/>
      <c r="F224" s="217"/>
      <c r="G224" s="217"/>
      <c r="H224" s="217"/>
      <c r="I224" s="217"/>
      <c r="J224" s="217"/>
      <c r="K224" s="217"/>
      <c r="L224" s="217"/>
    </row>
    <row r="225" spans="2:12">
      <c r="B225" s="217"/>
      <c r="C225" s="217"/>
      <c r="D225" s="217"/>
      <c r="E225" s="217"/>
      <c r="F225" s="217"/>
      <c r="G225" s="217"/>
      <c r="H225" s="217"/>
      <c r="I225" s="217"/>
      <c r="J225" s="217"/>
      <c r="K225" s="217"/>
      <c r="L225" s="217"/>
    </row>
    <row r="226" spans="2:12">
      <c r="B226" s="217"/>
      <c r="C226" s="217"/>
      <c r="D226" s="217"/>
      <c r="E226" s="217"/>
      <c r="F226" s="217"/>
      <c r="G226" s="217"/>
      <c r="H226" s="217"/>
      <c r="I226" s="217"/>
      <c r="J226" s="217"/>
      <c r="K226" s="217"/>
      <c r="L226" s="217"/>
    </row>
    <row r="227" spans="2:12">
      <c r="B227" s="217"/>
      <c r="C227" s="217"/>
      <c r="D227" s="217"/>
      <c r="E227" s="217"/>
      <c r="F227" s="217"/>
      <c r="G227" s="217"/>
      <c r="H227" s="217"/>
      <c r="I227" s="217"/>
      <c r="J227" s="217"/>
      <c r="K227" s="217"/>
      <c r="L227" s="217"/>
    </row>
    <row r="228" spans="2:12">
      <c r="B228" s="217"/>
      <c r="C228" s="217"/>
      <c r="D228" s="217"/>
      <c r="E228" s="217"/>
      <c r="F228" s="217"/>
      <c r="G228" s="217"/>
      <c r="H228" s="217"/>
      <c r="I228" s="217"/>
      <c r="J228" s="217"/>
      <c r="K228" s="217"/>
      <c r="L228" s="217"/>
    </row>
    <row r="229" spans="2:12">
      <c r="B229" s="217"/>
      <c r="C229" s="217"/>
      <c r="D229" s="217"/>
      <c r="E229" s="217"/>
      <c r="F229" s="217"/>
      <c r="G229" s="217"/>
      <c r="H229" s="217"/>
      <c r="I229" s="217"/>
      <c r="J229" s="217"/>
      <c r="K229" s="217"/>
      <c r="L229" s="217"/>
    </row>
    <row r="230" spans="2:12">
      <c r="B230" s="217"/>
      <c r="C230" s="217"/>
      <c r="D230" s="217"/>
      <c r="E230" s="217"/>
      <c r="F230" s="217"/>
      <c r="G230" s="217"/>
      <c r="H230" s="217"/>
      <c r="I230" s="217"/>
      <c r="J230" s="217"/>
      <c r="K230" s="217"/>
      <c r="L230" s="217"/>
    </row>
    <row r="231" spans="2:12">
      <c r="B231" s="217"/>
      <c r="C231" s="217"/>
      <c r="D231" s="217"/>
      <c r="E231" s="217"/>
      <c r="F231" s="217"/>
      <c r="G231" s="217"/>
      <c r="H231" s="217"/>
      <c r="I231" s="217"/>
      <c r="J231" s="217"/>
      <c r="K231" s="217"/>
      <c r="L231" s="217"/>
    </row>
    <row r="232" spans="2:12">
      <c r="B232" s="217"/>
      <c r="C232" s="217"/>
      <c r="D232" s="217"/>
      <c r="E232" s="217"/>
      <c r="F232" s="217"/>
      <c r="G232" s="217"/>
      <c r="H232" s="217"/>
      <c r="I232" s="217"/>
      <c r="J232" s="217"/>
      <c r="K232" s="217"/>
      <c r="L232" s="217"/>
    </row>
    <row r="233" spans="2:12">
      <c r="B233" s="217"/>
      <c r="C233" s="217"/>
      <c r="D233" s="217"/>
      <c r="E233" s="217"/>
      <c r="F233" s="217"/>
      <c r="G233" s="217"/>
      <c r="H233" s="217"/>
      <c r="I233" s="217"/>
      <c r="J233" s="217"/>
      <c r="K233" s="217"/>
      <c r="L233" s="217"/>
    </row>
    <row r="234" spans="2:12">
      <c r="B234" s="217"/>
      <c r="C234" s="217"/>
      <c r="D234" s="217"/>
      <c r="E234" s="217"/>
      <c r="F234" s="217"/>
      <c r="G234" s="217"/>
      <c r="H234" s="217"/>
      <c r="I234" s="217"/>
      <c r="J234" s="217"/>
      <c r="K234" s="217"/>
      <c r="L234" s="217"/>
    </row>
    <row r="235" spans="2:12">
      <c r="B235" s="217"/>
      <c r="C235" s="217"/>
      <c r="D235" s="217"/>
      <c r="E235" s="217"/>
      <c r="F235" s="217"/>
      <c r="G235" s="217"/>
      <c r="H235" s="217"/>
      <c r="I235" s="217"/>
      <c r="J235" s="217"/>
      <c r="K235" s="217"/>
      <c r="L235" s="217"/>
    </row>
    <row r="236" spans="2:12">
      <c r="B236" s="217"/>
      <c r="C236" s="217"/>
      <c r="D236" s="217"/>
      <c r="E236" s="217"/>
      <c r="F236" s="217"/>
      <c r="G236" s="217"/>
      <c r="H236" s="217"/>
      <c r="I236" s="217"/>
      <c r="J236" s="217"/>
      <c r="K236" s="217"/>
      <c r="L236" s="217"/>
    </row>
    <row r="237" spans="2:12">
      <c r="B237" s="217"/>
      <c r="C237" s="217"/>
      <c r="D237" s="217"/>
      <c r="E237" s="217"/>
      <c r="F237" s="217"/>
      <c r="G237" s="217"/>
      <c r="H237" s="217"/>
      <c r="I237" s="217"/>
      <c r="J237" s="217"/>
      <c r="K237" s="217"/>
      <c r="L237" s="217"/>
    </row>
    <row r="238" spans="2:12">
      <c r="B238" s="217"/>
      <c r="C238" s="217"/>
      <c r="D238" s="217"/>
      <c r="E238" s="217"/>
      <c r="F238" s="217"/>
      <c r="G238" s="217"/>
      <c r="H238" s="217"/>
      <c r="I238" s="217"/>
      <c r="J238" s="217"/>
      <c r="K238" s="217"/>
      <c r="L238" s="217"/>
    </row>
    <row r="239" spans="2:12">
      <c r="B239" s="217"/>
      <c r="C239" s="217"/>
      <c r="D239" s="217"/>
      <c r="E239" s="217"/>
      <c r="F239" s="217"/>
      <c r="G239" s="217"/>
      <c r="H239" s="217"/>
      <c r="I239" s="217"/>
      <c r="J239" s="217"/>
      <c r="K239" s="217"/>
      <c r="L239" s="217"/>
    </row>
    <row r="240" spans="2:12">
      <c r="B240" s="217"/>
      <c r="C240" s="217"/>
      <c r="D240" s="217"/>
      <c r="E240" s="217"/>
      <c r="F240" s="217"/>
      <c r="G240" s="217"/>
      <c r="H240" s="217"/>
      <c r="I240" s="217"/>
      <c r="J240" s="217"/>
      <c r="K240" s="217"/>
      <c r="L240" s="217"/>
    </row>
    <row r="241" spans="2:12">
      <c r="B241" s="217"/>
      <c r="C241" s="217"/>
      <c r="D241" s="217"/>
      <c r="E241" s="217"/>
      <c r="F241" s="217"/>
      <c r="G241" s="217"/>
      <c r="H241" s="217"/>
      <c r="I241" s="217"/>
      <c r="J241" s="217"/>
      <c r="K241" s="217"/>
      <c r="L241" s="217"/>
    </row>
    <row r="242" spans="2:12">
      <c r="B242" s="217"/>
      <c r="C242" s="217"/>
      <c r="D242" s="217"/>
      <c r="E242" s="217"/>
      <c r="F242" s="217"/>
      <c r="G242" s="217"/>
      <c r="H242" s="217"/>
      <c r="I242" s="217"/>
      <c r="J242" s="217"/>
      <c r="K242" s="217"/>
      <c r="L242" s="217"/>
    </row>
    <row r="243" spans="2:12">
      <c r="B243" s="217"/>
      <c r="C243" s="217"/>
      <c r="D243" s="217"/>
      <c r="E243" s="217"/>
      <c r="F243" s="217"/>
      <c r="G243" s="217"/>
      <c r="H243" s="217"/>
      <c r="I243" s="217"/>
      <c r="J243" s="217"/>
      <c r="K243" s="217"/>
      <c r="L243" s="217"/>
    </row>
    <row r="244" spans="2:12">
      <c r="B244" s="217"/>
      <c r="C244" s="217"/>
      <c r="D244" s="217"/>
      <c r="E244" s="217"/>
      <c r="F244" s="217"/>
      <c r="G244" s="217"/>
      <c r="H244" s="217"/>
      <c r="I244" s="217"/>
      <c r="J244" s="217"/>
      <c r="K244" s="217"/>
      <c r="L244" s="217"/>
    </row>
    <row r="245" spans="2:12">
      <c r="B245" s="217"/>
      <c r="C245" s="217"/>
      <c r="D245" s="217"/>
      <c r="E245" s="217"/>
      <c r="F245" s="217"/>
      <c r="G245" s="217"/>
      <c r="H245" s="217"/>
      <c r="I245" s="217"/>
      <c r="J245" s="217"/>
      <c r="K245" s="217"/>
      <c r="L245" s="217"/>
    </row>
    <row r="246" spans="2:12">
      <c r="B246" s="217"/>
      <c r="C246" s="217"/>
      <c r="D246" s="217"/>
      <c r="E246" s="217"/>
      <c r="F246" s="217"/>
      <c r="G246" s="217"/>
      <c r="H246" s="217"/>
      <c r="I246" s="217"/>
      <c r="J246" s="217"/>
      <c r="K246" s="217"/>
      <c r="L246" s="217"/>
    </row>
    <row r="247" spans="2:12">
      <c r="B247" s="217"/>
      <c r="C247" s="217"/>
      <c r="D247" s="217"/>
      <c r="E247" s="217"/>
      <c r="F247" s="217"/>
      <c r="G247" s="217"/>
      <c r="H247" s="217"/>
      <c r="I247" s="217"/>
      <c r="J247" s="217"/>
      <c r="K247" s="217"/>
      <c r="L247" s="217"/>
    </row>
    <row r="248" spans="2:12">
      <c r="B248" s="217"/>
      <c r="C248" s="217"/>
      <c r="D248" s="217"/>
      <c r="E248" s="217"/>
      <c r="F248" s="217"/>
      <c r="G248" s="217"/>
      <c r="H248" s="217"/>
      <c r="I248" s="217"/>
      <c r="J248" s="217"/>
      <c r="K248" s="217"/>
      <c r="L248" s="217"/>
    </row>
    <row r="249" spans="2:12">
      <c r="B249" s="217"/>
      <c r="C249" s="217"/>
      <c r="D249" s="217"/>
      <c r="E249" s="217"/>
      <c r="F249" s="217"/>
      <c r="G249" s="217"/>
      <c r="H249" s="217"/>
      <c r="I249" s="217"/>
      <c r="J249" s="217"/>
      <c r="K249" s="217"/>
      <c r="L249" s="217"/>
    </row>
    <row r="250" spans="2:12">
      <c r="B250" s="217"/>
      <c r="C250" s="217"/>
      <c r="D250" s="217"/>
      <c r="E250" s="217"/>
      <c r="F250" s="217"/>
      <c r="G250" s="217"/>
      <c r="H250" s="217"/>
      <c r="I250" s="217"/>
      <c r="J250" s="217"/>
      <c r="K250" s="217"/>
      <c r="L250" s="217"/>
    </row>
    <row r="251" spans="2:12">
      <c r="B251" s="217"/>
      <c r="C251" s="217"/>
      <c r="D251" s="217"/>
      <c r="E251" s="217"/>
      <c r="F251" s="217"/>
      <c r="G251" s="217"/>
      <c r="H251" s="217"/>
      <c r="I251" s="217"/>
      <c r="J251" s="217"/>
      <c r="K251" s="217"/>
      <c r="L251" s="217"/>
    </row>
  </sheetData>
  <mergeCells count="11">
    <mergeCell ref="A5:A6"/>
    <mergeCell ref="A2:J2"/>
    <mergeCell ref="A4:J4"/>
    <mergeCell ref="A14:J14"/>
    <mergeCell ref="A56:J56"/>
    <mergeCell ref="A57:J57"/>
    <mergeCell ref="A35:C35"/>
    <mergeCell ref="A17:D17"/>
    <mergeCell ref="E17:J17"/>
    <mergeCell ref="A38:J38"/>
    <mergeCell ref="E35:J35"/>
  </mergeCells>
  <pageMargins left="0.70866141732283472" right="0.70866141732283472" top="1.0236220472440944" bottom="0.62992125984251968" header="0.31496062992125984" footer="0.31496062992125984"/>
  <pageSetup paperSize="9" scale="95" orientation="portrait" r:id="rId1"/>
  <headerFooter>
    <oddHeader>&amp;R&amp;7Informe de la Operación Mensual-Octubre 2019
INFSGI-MES-10-2019
18/10/2019
Versión: 01</oddHeader>
    <oddFooter>&amp;L&amp;7COES, 2019&amp;C17&amp;R&amp;7Dirección Ejecutiva
Sub Dirección de Gestión de Información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theme="4"/>
    <pageSetUpPr fitToPage="1"/>
  </sheetPr>
  <dimension ref="A3:L56"/>
  <sheetViews>
    <sheetView showGridLines="0" view="pageBreakPreview" zoomScale="115" zoomScaleNormal="130" zoomScaleSheetLayoutView="115" zoomScalePageLayoutView="130" workbookViewId="0">
      <selection activeCell="M12" sqref="M12"/>
    </sheetView>
  </sheetViews>
  <sheetFormatPr defaultColWidth="9.33203125" defaultRowHeight="11.25"/>
  <cols>
    <col min="8" max="10" width="11.1640625" customWidth="1"/>
    <col min="11" max="11" width="12.5" customWidth="1"/>
    <col min="12" max="12" width="9.33203125" customWidth="1"/>
  </cols>
  <sheetData>
    <row r="3" spans="1:12">
      <c r="A3" s="872" t="s">
        <v>0</v>
      </c>
      <c r="B3" s="872"/>
      <c r="C3" s="872"/>
      <c r="D3" s="872"/>
      <c r="E3" s="872"/>
      <c r="F3" s="872"/>
      <c r="G3" s="872"/>
      <c r="H3" s="872"/>
      <c r="I3" s="872"/>
      <c r="J3" s="872"/>
      <c r="K3" s="872"/>
      <c r="L3" s="872"/>
    </row>
    <row r="4" spans="1:12">
      <c r="A4" s="872"/>
      <c r="B4" s="872"/>
      <c r="C4" s="872"/>
      <c r="D4" s="872"/>
      <c r="E4" s="872"/>
      <c r="F4" s="872"/>
      <c r="G4" s="872"/>
      <c r="H4" s="872"/>
      <c r="I4" s="872"/>
      <c r="J4" s="872"/>
      <c r="K4" s="872"/>
      <c r="L4" s="872"/>
    </row>
    <row r="5" spans="1:12" ht="12">
      <c r="A5" s="3"/>
      <c r="B5" s="218"/>
      <c r="C5" s="2"/>
      <c r="D5" s="2"/>
      <c r="E5" s="37"/>
      <c r="F5" s="2"/>
      <c r="G5" s="2"/>
      <c r="H5" s="2"/>
      <c r="I5" s="2"/>
      <c r="J5" s="2"/>
      <c r="K5" s="2"/>
      <c r="L5" s="8" t="s">
        <v>1</v>
      </c>
    </row>
    <row r="6" spans="1:12" ht="12">
      <c r="A6" s="3"/>
      <c r="B6" s="218"/>
      <c r="C6" s="2"/>
      <c r="D6" s="2"/>
      <c r="E6" s="37"/>
      <c r="F6" s="2"/>
      <c r="G6" s="2"/>
      <c r="H6" s="2"/>
      <c r="I6" s="2"/>
      <c r="J6" s="2"/>
      <c r="K6" s="2"/>
      <c r="L6" s="5"/>
    </row>
    <row r="7" spans="1:12" ht="19.5" customHeight="1">
      <c r="A7" s="20" t="s">
        <v>460</v>
      </c>
      <c r="B7" s="219"/>
      <c r="C7" s="25"/>
      <c r="D7" s="25"/>
      <c r="E7" s="25"/>
      <c r="F7" s="25"/>
      <c r="G7" s="25"/>
      <c r="H7" s="25"/>
      <c r="I7" s="25"/>
      <c r="J7" s="25"/>
      <c r="K7" s="25"/>
      <c r="L7" s="25"/>
    </row>
    <row r="8" spans="1:12" ht="17.25" customHeight="1">
      <c r="A8" s="25"/>
      <c r="B8" s="25" t="s">
        <v>746</v>
      </c>
      <c r="C8" s="23"/>
      <c r="D8" s="23"/>
      <c r="E8" s="23"/>
      <c r="F8" s="23"/>
      <c r="G8" s="23"/>
      <c r="H8" s="23"/>
      <c r="I8" s="23"/>
      <c r="J8" s="25"/>
      <c r="K8" s="21"/>
      <c r="L8" s="24">
        <v>1</v>
      </c>
    </row>
    <row r="9" spans="1:12" ht="9.75" customHeight="1">
      <c r="A9" s="25"/>
      <c r="B9" s="25"/>
      <c r="C9" s="23"/>
      <c r="D9" s="23"/>
      <c r="E9" s="23"/>
      <c r="F9" s="23"/>
      <c r="G9" s="23"/>
      <c r="H9" s="23"/>
      <c r="I9" s="23"/>
      <c r="J9" s="25"/>
      <c r="K9" s="23"/>
      <c r="L9" s="24"/>
    </row>
    <row r="10" spans="1:12" ht="19.5" customHeight="1">
      <c r="A10" s="20" t="s">
        <v>551</v>
      </c>
      <c r="B10" s="219"/>
      <c r="C10" s="25"/>
      <c r="D10" s="25"/>
      <c r="E10" s="25"/>
      <c r="F10" s="25"/>
      <c r="G10" s="25"/>
      <c r="H10" s="25"/>
      <c r="I10" s="25"/>
      <c r="J10" s="25"/>
      <c r="K10" s="25"/>
      <c r="L10" s="22"/>
    </row>
    <row r="11" spans="1:12" ht="19.5" customHeight="1">
      <c r="A11" s="27"/>
      <c r="B11" s="25" t="s">
        <v>568</v>
      </c>
      <c r="C11" s="25"/>
      <c r="D11" s="25"/>
      <c r="E11" s="25"/>
      <c r="F11" s="21"/>
      <c r="G11" s="21"/>
      <c r="H11" s="21"/>
      <c r="I11" s="21"/>
      <c r="J11" s="21"/>
      <c r="K11" s="21"/>
      <c r="L11" s="22" t="s">
        <v>2</v>
      </c>
    </row>
    <row r="12" spans="1:12" ht="19.5" customHeight="1">
      <c r="A12" s="27"/>
      <c r="B12" s="25" t="s">
        <v>439</v>
      </c>
      <c r="C12" s="25"/>
      <c r="D12" s="25"/>
      <c r="E12" s="21"/>
      <c r="F12" s="21"/>
      <c r="G12" s="21"/>
      <c r="H12" s="21"/>
      <c r="I12" s="21"/>
      <c r="J12" s="21"/>
      <c r="K12" s="21"/>
      <c r="L12" s="22" t="s">
        <v>2</v>
      </c>
    </row>
    <row r="13" spans="1:12" ht="10.5" customHeight="1">
      <c r="A13" s="25"/>
      <c r="B13" s="23"/>
      <c r="C13" s="23"/>
      <c r="D13" s="23"/>
      <c r="E13" s="23"/>
      <c r="F13" s="23"/>
      <c r="G13" s="23"/>
      <c r="H13" s="23"/>
      <c r="I13" s="23"/>
      <c r="J13" s="23"/>
      <c r="K13" s="23"/>
      <c r="L13" s="24"/>
    </row>
    <row r="14" spans="1:12" ht="19.5" customHeight="1">
      <c r="A14" s="20" t="s">
        <v>452</v>
      </c>
      <c r="B14" s="25"/>
      <c r="C14" s="25"/>
      <c r="D14" s="25"/>
      <c r="E14" s="25"/>
      <c r="F14" s="25"/>
      <c r="G14" s="25"/>
      <c r="H14" s="25"/>
      <c r="I14" s="25"/>
      <c r="J14" s="25"/>
      <c r="K14" s="25"/>
      <c r="L14" s="22"/>
    </row>
    <row r="15" spans="1:12" ht="19.5" customHeight="1">
      <c r="A15" s="27"/>
      <c r="B15" s="25" t="s">
        <v>428</v>
      </c>
      <c r="C15" s="25"/>
      <c r="D15" s="25"/>
      <c r="E15" s="25"/>
      <c r="F15" s="21"/>
      <c r="G15" s="21"/>
      <c r="H15" s="21"/>
      <c r="I15" s="21"/>
      <c r="J15" s="21"/>
      <c r="K15" s="21"/>
      <c r="L15" s="22" t="s">
        <v>3</v>
      </c>
    </row>
    <row r="16" spans="1:12" ht="19.5" customHeight="1">
      <c r="A16" s="27"/>
      <c r="B16" s="25" t="s">
        <v>437</v>
      </c>
      <c r="C16" s="25"/>
      <c r="D16" s="25"/>
      <c r="E16" s="25"/>
      <c r="F16" s="25"/>
      <c r="G16" s="21"/>
      <c r="H16" s="21"/>
      <c r="I16" s="21"/>
      <c r="J16" s="21"/>
      <c r="K16" s="21"/>
      <c r="L16" s="22" t="s">
        <v>4</v>
      </c>
    </row>
    <row r="17" spans="1:12" ht="19.5" customHeight="1">
      <c r="A17" s="27"/>
      <c r="B17" s="25" t="s">
        <v>429</v>
      </c>
      <c r="C17" s="25"/>
      <c r="D17" s="25"/>
      <c r="E17" s="25"/>
      <c r="F17" s="25"/>
      <c r="G17" s="21"/>
      <c r="H17" s="21"/>
      <c r="I17" s="21"/>
      <c r="J17" s="21"/>
      <c r="K17" s="21"/>
      <c r="L17" s="22" t="s">
        <v>5</v>
      </c>
    </row>
    <row r="18" spans="1:12" ht="19.5" customHeight="1">
      <c r="A18" s="27"/>
      <c r="B18" s="25" t="s">
        <v>430</v>
      </c>
      <c r="C18" s="25"/>
      <c r="D18" s="25"/>
      <c r="E18" s="25"/>
      <c r="F18" s="21"/>
      <c r="G18" s="21"/>
      <c r="H18" s="21"/>
      <c r="I18" s="21"/>
      <c r="J18" s="21"/>
      <c r="K18" s="21"/>
      <c r="L18" s="22" t="s">
        <v>6</v>
      </c>
    </row>
    <row r="19" spans="1:12" ht="19.5" customHeight="1">
      <c r="A19" s="27"/>
      <c r="B19" s="25" t="s">
        <v>431</v>
      </c>
      <c r="C19" s="25"/>
      <c r="D19" s="25"/>
      <c r="E19" s="25"/>
      <c r="F19" s="25"/>
      <c r="G19" s="25"/>
      <c r="H19" s="21"/>
      <c r="I19" s="21"/>
      <c r="J19" s="21"/>
      <c r="K19" s="21"/>
      <c r="L19" s="22" t="s">
        <v>7</v>
      </c>
    </row>
    <row r="20" spans="1:12" ht="10.5" customHeight="1">
      <c r="A20" s="27"/>
      <c r="B20" s="25"/>
      <c r="C20" s="25"/>
      <c r="D20" s="25"/>
      <c r="E20" s="25"/>
      <c r="F20" s="25"/>
      <c r="G20" s="25"/>
      <c r="H20" s="25"/>
      <c r="I20" s="25"/>
      <c r="J20" s="25"/>
      <c r="K20" s="25"/>
      <c r="L20" s="22"/>
    </row>
    <row r="21" spans="1:12" ht="19.5" customHeight="1">
      <c r="A21" s="20" t="s">
        <v>451</v>
      </c>
      <c r="B21" s="25"/>
      <c r="C21" s="25"/>
      <c r="D21" s="25"/>
      <c r="E21" s="25"/>
      <c r="F21" s="25"/>
      <c r="G21" s="25"/>
      <c r="H21" s="25"/>
      <c r="I21" s="25"/>
      <c r="J21" s="25"/>
      <c r="K21" s="25"/>
      <c r="L21" s="30"/>
    </row>
    <row r="22" spans="1:12" ht="19.5" customHeight="1">
      <c r="A22" s="25"/>
      <c r="B22" s="25" t="s">
        <v>453</v>
      </c>
      <c r="C22" s="25"/>
      <c r="D22" s="25"/>
      <c r="E22" s="25"/>
      <c r="F22" s="25"/>
      <c r="G22" s="21"/>
      <c r="H22" s="21"/>
      <c r="I22" s="21"/>
      <c r="J22" s="21"/>
      <c r="K22" s="21"/>
      <c r="L22" s="22" t="s">
        <v>9</v>
      </c>
    </row>
    <row r="23" spans="1:12" ht="19.5" customHeight="1">
      <c r="A23" s="31"/>
      <c r="B23" s="25" t="s">
        <v>540</v>
      </c>
      <c r="C23" s="25"/>
      <c r="D23" s="25"/>
      <c r="E23" s="25"/>
      <c r="F23" s="25"/>
      <c r="G23" s="25"/>
      <c r="H23" s="25"/>
      <c r="I23" s="21"/>
      <c r="J23" s="21"/>
      <c r="K23" s="21"/>
      <c r="L23" s="22" t="s">
        <v>10</v>
      </c>
    </row>
    <row r="24" spans="1:12" ht="10.5" customHeight="1">
      <c r="A24" s="31"/>
      <c r="B24" s="26"/>
      <c r="C24" s="32"/>
      <c r="D24" s="26"/>
      <c r="E24" s="26"/>
      <c r="F24" s="26"/>
      <c r="G24" s="26"/>
      <c r="H24" s="26"/>
      <c r="I24" s="26"/>
      <c r="J24" s="26"/>
      <c r="K24" s="26"/>
      <c r="L24" s="22"/>
    </row>
    <row r="25" spans="1:12" ht="19.5" customHeight="1">
      <c r="A25" s="20" t="s">
        <v>263</v>
      </c>
      <c r="B25" s="25"/>
      <c r="C25" s="25"/>
      <c r="D25" s="25"/>
      <c r="E25" s="25"/>
      <c r="F25" s="25"/>
      <c r="G25" s="25"/>
      <c r="H25" s="25"/>
      <c r="I25" s="25"/>
      <c r="J25" s="25"/>
      <c r="K25" s="25"/>
      <c r="L25" s="30"/>
    </row>
    <row r="26" spans="1:12" ht="19.5" customHeight="1">
      <c r="A26" s="25"/>
      <c r="B26" s="25" t="s">
        <v>455</v>
      </c>
      <c r="C26" s="25"/>
      <c r="D26" s="25"/>
      <c r="E26" s="25"/>
      <c r="F26" s="21"/>
      <c r="G26" s="21"/>
      <c r="H26" s="21"/>
      <c r="I26" s="21"/>
      <c r="J26" s="21"/>
      <c r="K26" s="33"/>
      <c r="L26" s="22" t="s">
        <v>11</v>
      </c>
    </row>
    <row r="27" spans="1:12" ht="19.5" customHeight="1">
      <c r="A27" s="25"/>
      <c r="B27" s="25" t="s">
        <v>432</v>
      </c>
      <c r="C27" s="25"/>
      <c r="D27" s="25"/>
      <c r="E27" s="25"/>
      <c r="F27" s="25"/>
      <c r="G27" s="21"/>
      <c r="H27" s="21"/>
      <c r="I27" s="21"/>
      <c r="J27" s="21"/>
      <c r="K27" s="33"/>
      <c r="L27" s="22" t="s">
        <v>11</v>
      </c>
    </row>
    <row r="28" spans="1:12" ht="19.5" customHeight="1">
      <c r="A28" s="31"/>
      <c r="B28" s="25" t="s">
        <v>454</v>
      </c>
      <c r="C28" s="25"/>
      <c r="D28" s="25"/>
      <c r="E28" s="25"/>
      <c r="F28" s="21"/>
      <c r="G28" s="21"/>
      <c r="H28" s="33"/>
      <c r="I28" s="33"/>
      <c r="J28" s="33"/>
      <c r="K28" s="33"/>
      <c r="L28" s="22" t="s">
        <v>12</v>
      </c>
    </row>
    <row r="29" spans="1:12" ht="19.5" customHeight="1">
      <c r="A29" s="31"/>
      <c r="B29" s="25" t="s">
        <v>438</v>
      </c>
      <c r="C29" s="25"/>
      <c r="D29" s="25"/>
      <c r="E29" s="21"/>
      <c r="F29" s="33"/>
      <c r="G29" s="33"/>
      <c r="H29" s="33"/>
      <c r="I29" s="33"/>
      <c r="J29" s="33"/>
      <c r="K29" s="33"/>
      <c r="L29" s="22" t="s">
        <v>12</v>
      </c>
    </row>
    <row r="30" spans="1:12" ht="10.5" customHeight="1">
      <c r="A30" s="31"/>
      <c r="B30" s="25"/>
      <c r="C30" s="25"/>
      <c r="D30" s="25"/>
      <c r="E30" s="25"/>
      <c r="F30" s="25"/>
      <c r="G30" s="25"/>
      <c r="H30" s="25"/>
      <c r="I30" s="25"/>
      <c r="J30" s="25"/>
      <c r="K30" s="25"/>
      <c r="L30" s="22"/>
    </row>
    <row r="31" spans="1:12" ht="19.5" customHeight="1">
      <c r="A31" s="20" t="s">
        <v>444</v>
      </c>
      <c r="B31" s="25"/>
      <c r="C31" s="25"/>
      <c r="D31" s="25"/>
      <c r="E31" s="25"/>
      <c r="F31" s="25"/>
      <c r="G31" s="25"/>
      <c r="H31" s="25"/>
      <c r="I31" s="25"/>
      <c r="J31" s="25"/>
      <c r="K31" s="25"/>
      <c r="L31" s="22"/>
    </row>
    <row r="32" spans="1:12" ht="19.5" customHeight="1">
      <c r="A32" s="31"/>
      <c r="B32" s="25" t="s">
        <v>456</v>
      </c>
      <c r="C32" s="25"/>
      <c r="D32" s="25"/>
      <c r="E32" s="25"/>
      <c r="F32" s="25"/>
      <c r="G32" s="21"/>
      <c r="H32" s="21"/>
      <c r="I32" s="21"/>
      <c r="J32" s="21"/>
      <c r="K32" s="21"/>
      <c r="L32" s="22" t="s">
        <v>13</v>
      </c>
    </row>
    <row r="33" spans="1:12" ht="19.5" customHeight="1">
      <c r="A33" s="31"/>
      <c r="B33" s="25" t="s">
        <v>433</v>
      </c>
      <c r="C33" s="25"/>
      <c r="D33" s="25"/>
      <c r="E33" s="25"/>
      <c r="F33" s="25"/>
      <c r="G33" s="25"/>
      <c r="H33" s="21"/>
      <c r="I33" s="21"/>
      <c r="J33" s="21"/>
      <c r="K33" s="21"/>
      <c r="L33" s="22" t="s">
        <v>14</v>
      </c>
    </row>
    <row r="34" spans="1:12" ht="10.5" customHeight="1">
      <c r="A34" s="31"/>
      <c r="B34" s="25"/>
      <c r="C34" s="25"/>
      <c r="D34" s="25"/>
      <c r="E34" s="25"/>
      <c r="F34" s="25"/>
      <c r="G34" s="25"/>
      <c r="H34" s="25"/>
      <c r="I34" s="25"/>
      <c r="J34" s="25"/>
      <c r="K34" s="25"/>
      <c r="L34" s="22"/>
    </row>
    <row r="35" spans="1:12" ht="19.5" customHeight="1">
      <c r="A35" s="20" t="s">
        <v>434</v>
      </c>
      <c r="B35" s="26"/>
      <c r="C35" s="32"/>
      <c r="D35" s="26"/>
      <c r="E35" s="26"/>
      <c r="F35" s="26"/>
      <c r="G35" s="26"/>
      <c r="H35" s="26"/>
      <c r="I35" s="26"/>
      <c r="J35" s="26"/>
      <c r="K35" s="26"/>
      <c r="L35" s="22"/>
    </row>
    <row r="36" spans="1:12" ht="19.5" customHeight="1">
      <c r="A36" s="27"/>
      <c r="B36" s="25" t="s">
        <v>457</v>
      </c>
      <c r="C36" s="25"/>
      <c r="D36" s="25"/>
      <c r="E36" s="25"/>
      <c r="F36" s="21"/>
      <c r="G36" s="21"/>
      <c r="H36" s="21"/>
      <c r="I36" s="21"/>
      <c r="J36" s="21"/>
      <c r="K36" s="21"/>
      <c r="L36" s="22" t="s">
        <v>15</v>
      </c>
    </row>
    <row r="37" spans="1:12" ht="10.5" customHeight="1">
      <c r="A37" s="27"/>
      <c r="B37" s="25"/>
      <c r="C37" s="25"/>
      <c r="D37" s="25"/>
      <c r="E37" s="25"/>
      <c r="F37" s="25"/>
      <c r="G37" s="25"/>
      <c r="H37" s="25"/>
      <c r="I37" s="25"/>
      <c r="J37" s="25"/>
      <c r="K37" s="25"/>
      <c r="L37" s="22"/>
    </row>
    <row r="38" spans="1:12" ht="19.5" customHeight="1">
      <c r="A38" s="20" t="s">
        <v>435</v>
      </c>
      <c r="B38" s="35"/>
      <c r="C38" s="25"/>
      <c r="D38" s="25"/>
      <c r="E38" s="25"/>
      <c r="F38" s="25"/>
      <c r="G38" s="25"/>
      <c r="H38" s="25"/>
      <c r="I38" s="25"/>
      <c r="J38" s="25"/>
      <c r="K38" s="25"/>
      <c r="L38" s="38"/>
    </row>
    <row r="39" spans="1:12" ht="19.5" customHeight="1">
      <c r="A39" s="27"/>
      <c r="B39" s="25" t="s">
        <v>436</v>
      </c>
      <c r="C39" s="25"/>
      <c r="D39" s="25"/>
      <c r="E39" s="25"/>
      <c r="F39" s="25"/>
      <c r="G39" s="25"/>
      <c r="H39" s="21"/>
      <c r="I39" s="21"/>
      <c r="J39" s="21"/>
      <c r="K39" s="21"/>
      <c r="L39" s="22" t="s">
        <v>16</v>
      </c>
    </row>
    <row r="40" spans="1:12" ht="10.5" customHeight="1">
      <c r="A40" s="25"/>
      <c r="B40" s="25"/>
      <c r="C40" s="25"/>
      <c r="D40" s="25"/>
      <c r="E40" s="25"/>
      <c r="F40" s="25"/>
      <c r="G40" s="25"/>
      <c r="H40" s="25"/>
      <c r="I40" s="25"/>
      <c r="J40" s="25"/>
      <c r="K40" s="25"/>
      <c r="L40" s="22"/>
    </row>
    <row r="41" spans="1:12" ht="19.5" customHeight="1">
      <c r="A41" s="20" t="s">
        <v>213</v>
      </c>
      <c r="B41" s="25"/>
      <c r="C41" s="25"/>
      <c r="D41" s="25"/>
      <c r="E41" s="25"/>
      <c r="F41" s="25"/>
      <c r="G41" s="25"/>
      <c r="H41" s="25"/>
      <c r="I41" s="25"/>
      <c r="J41" s="25"/>
      <c r="K41" s="25"/>
      <c r="L41" s="22"/>
    </row>
    <row r="42" spans="1:12" ht="19.5" customHeight="1">
      <c r="A42" s="20" t="s">
        <v>17</v>
      </c>
      <c r="B42" s="25"/>
      <c r="C42" s="25"/>
      <c r="D42" s="25"/>
      <c r="E42" s="25"/>
      <c r="F42" s="25"/>
      <c r="G42" s="25"/>
      <c r="H42" s="25"/>
      <c r="I42" s="28"/>
      <c r="J42" s="28"/>
      <c r="K42" s="28"/>
      <c r="L42" s="22" t="s">
        <v>18</v>
      </c>
    </row>
    <row r="43" spans="1:12" ht="19.5" customHeight="1">
      <c r="A43" s="20" t="s">
        <v>458</v>
      </c>
      <c r="B43" s="25"/>
      <c r="C43" s="25"/>
      <c r="D43" s="25"/>
      <c r="E43" s="25"/>
      <c r="F43" s="21"/>
      <c r="G43" s="21"/>
      <c r="H43" s="21"/>
      <c r="I43" s="21"/>
      <c r="J43" s="21"/>
      <c r="K43" s="21"/>
      <c r="L43" s="22" t="s">
        <v>19</v>
      </c>
    </row>
    <row r="44" spans="1:12" ht="19.5" customHeight="1">
      <c r="A44" s="20" t="s">
        <v>20</v>
      </c>
      <c r="B44" s="25"/>
      <c r="C44" s="25"/>
      <c r="D44" s="25"/>
      <c r="E44" s="21"/>
      <c r="F44" s="21"/>
      <c r="G44" s="21"/>
      <c r="H44" s="21"/>
      <c r="I44" s="21"/>
      <c r="J44" s="21"/>
      <c r="K44" s="21"/>
      <c r="L44" s="22" t="s">
        <v>21</v>
      </c>
    </row>
    <row r="47" spans="1:12" ht="12">
      <c r="A47" s="11"/>
      <c r="B47" s="11"/>
      <c r="C47" s="11"/>
      <c r="D47" s="11"/>
      <c r="E47" s="11"/>
      <c r="F47" s="11"/>
      <c r="G47" s="11"/>
      <c r="H47" s="11"/>
      <c r="I47" s="11"/>
      <c r="J47" s="11"/>
      <c r="K47" s="11"/>
      <c r="L47" s="11"/>
    </row>
    <row r="48" spans="1:12" ht="12">
      <c r="A48" s="11"/>
      <c r="B48" s="11"/>
      <c r="C48" s="11"/>
      <c r="D48" s="11"/>
      <c r="E48" s="11"/>
      <c r="F48" s="11"/>
      <c r="G48" s="11"/>
      <c r="H48" s="11"/>
      <c r="I48" s="11"/>
      <c r="J48" s="11"/>
      <c r="K48" s="11"/>
      <c r="L48" s="11"/>
    </row>
    <row r="49" spans="1:12" ht="12">
      <c r="A49" s="11"/>
      <c r="B49" s="11"/>
      <c r="C49" s="11"/>
      <c r="D49" s="11"/>
      <c r="E49" s="11"/>
      <c r="F49" s="11"/>
      <c r="G49" s="11"/>
      <c r="H49" s="11"/>
      <c r="I49" s="11"/>
      <c r="J49" s="11"/>
      <c r="K49" s="11"/>
      <c r="L49" s="11"/>
    </row>
    <row r="50" spans="1:12" ht="12">
      <c r="A50" s="11"/>
      <c r="B50" s="11"/>
      <c r="C50" s="11"/>
      <c r="D50" s="11"/>
      <c r="E50" s="11"/>
      <c r="F50" s="11"/>
      <c r="G50" s="11"/>
      <c r="H50" s="11"/>
      <c r="I50" s="11"/>
      <c r="J50" s="11"/>
      <c r="K50" s="11"/>
      <c r="L50" s="11"/>
    </row>
    <row r="51" spans="1:12" ht="12">
      <c r="A51" s="11"/>
      <c r="B51" s="11"/>
      <c r="C51" s="11"/>
      <c r="D51" s="11"/>
      <c r="E51" s="11"/>
      <c r="F51" s="11"/>
      <c r="G51" s="11"/>
      <c r="H51" s="11"/>
      <c r="I51" s="11"/>
      <c r="J51" s="11"/>
      <c r="K51" s="11"/>
      <c r="L51" s="11"/>
    </row>
    <row r="52" spans="1:12" ht="12">
      <c r="A52" s="11"/>
      <c r="B52" s="11"/>
      <c r="C52" s="11"/>
      <c r="D52" s="11"/>
      <c r="E52" s="11"/>
      <c r="F52" s="11"/>
      <c r="G52" s="11"/>
      <c r="H52" s="11"/>
      <c r="I52" s="11"/>
      <c r="J52" s="11"/>
      <c r="K52" s="11"/>
      <c r="L52" s="11"/>
    </row>
    <row r="53" spans="1:12" ht="12">
      <c r="A53" s="11"/>
      <c r="B53" s="11"/>
      <c r="C53" s="11"/>
      <c r="D53" s="11"/>
      <c r="E53" s="11"/>
      <c r="F53" s="11"/>
      <c r="G53" s="11"/>
      <c r="H53" s="11"/>
      <c r="I53" s="11"/>
      <c r="J53" s="11"/>
      <c r="K53" s="11"/>
      <c r="L53" s="11"/>
    </row>
    <row r="54" spans="1:12" ht="12">
      <c r="A54" s="11"/>
      <c r="B54" s="11"/>
      <c r="C54" s="11"/>
      <c r="D54" s="11"/>
      <c r="E54" s="11"/>
      <c r="F54" s="11"/>
      <c r="G54" s="11"/>
      <c r="H54" s="11"/>
      <c r="I54" s="11"/>
      <c r="J54" s="11"/>
      <c r="K54" s="11"/>
      <c r="L54" s="11"/>
    </row>
    <row r="55" spans="1:12" ht="12">
      <c r="A55" s="11"/>
      <c r="B55" s="11"/>
      <c r="C55" s="11"/>
      <c r="D55" s="11"/>
      <c r="E55" s="11"/>
      <c r="F55" s="11"/>
      <c r="G55" s="11"/>
      <c r="H55" s="11"/>
      <c r="I55" s="11"/>
      <c r="J55" s="11"/>
      <c r="K55" s="11"/>
      <c r="L55" s="11"/>
    </row>
    <row r="56" spans="1:12" ht="12">
      <c r="A56" s="11"/>
      <c r="B56" s="11"/>
      <c r="C56" s="11"/>
      <c r="D56" s="11"/>
      <c r="E56" s="11"/>
      <c r="F56" s="11"/>
      <c r="G56" s="11"/>
      <c r="H56" s="11"/>
      <c r="I56" s="11"/>
      <c r="J56" s="11"/>
      <c r="K56" s="11"/>
      <c r="L56" s="11"/>
    </row>
  </sheetData>
  <mergeCells count="1">
    <mergeCell ref="A3:L4"/>
  </mergeCells>
  <hyperlinks>
    <hyperlink ref="L15" location="Table1!A1" display="Table1!A1" xr:uid="{00000000-0004-0000-0100-000000000000}"/>
    <hyperlink ref="L16" location="Table2!A1" display="Table2!A1" xr:uid="{00000000-0004-0000-0100-000001000000}"/>
    <hyperlink ref="L17" location="Table3!A1" display="Table3!A1" xr:uid="{00000000-0004-0000-0100-000002000000}"/>
    <hyperlink ref="L19" location="Table4!A1" display="Table4!A1" xr:uid="{00000000-0004-0000-0100-000003000000}"/>
    <hyperlink ref="L22" location="Table5!A1" display="Table5!A1" xr:uid="{00000000-0004-0000-0100-000004000000}"/>
    <hyperlink ref="L36" location="Table6!A1" display="Table6!A1" xr:uid="{00000000-0004-0000-0100-000005000000}"/>
    <hyperlink ref="L23" location="Table5!A1" display="Table5!A1" xr:uid="{00000000-0004-0000-0100-000006000000}"/>
    <hyperlink ref="L26" location="Table5!A1" display="Table5!A1" xr:uid="{00000000-0004-0000-0100-000007000000}"/>
    <hyperlink ref="L28" location="Table5!A1" display="Table5!A1" xr:uid="{00000000-0004-0000-0100-000008000000}"/>
    <hyperlink ref="L32" location="Table5!A1" display="Table5!A1" xr:uid="{00000000-0004-0000-0100-000009000000}"/>
    <hyperlink ref="L11" location="Table1!A1" display="Table1!A1" xr:uid="{00000000-0004-0000-0100-00000A000000}"/>
    <hyperlink ref="L42" location="'Principles and Definitions'!A1" display="ii" xr:uid="{00000000-0004-0000-0100-00000B000000}"/>
    <hyperlink ref="L43" location="'Principles and Definitions'!A1" display="ii" xr:uid="{00000000-0004-0000-0100-00000C000000}"/>
    <hyperlink ref="L44" location="'Principles and Definitions'!A1" display="ii" xr:uid="{00000000-0004-0000-0100-00000D000000}"/>
    <hyperlink ref="L29" location="Table5!A1" display="Table5!A1" xr:uid="{00000000-0004-0000-0100-00000E000000}"/>
    <hyperlink ref="L33" location="Table5!A1" display="Table5!A1" xr:uid="{00000000-0004-0000-0100-00000F000000}"/>
  </hyperlinks>
  <pageMargins left="0.59055118110236227" right="0.39370078740157483" top="1.0236220472440944" bottom="0.62992125984251968" header="0.31496062992125984" footer="0.31496062992125984"/>
  <pageSetup paperSize="9" scale="97" orientation="portrait" r:id="rId1"/>
  <headerFooter>
    <oddHeader>&amp;R&amp;7Informe de la Operación Mensual-Octubre 2019
INFSGI-MES-10-2019
18/10/2019
Versión: 0</oddHeader>
    <oddFooter>&amp;LCOES, 2019&amp;RDirección Ejecutiva
Sub Dirección de Gestión de Información</oddFooter>
  </headerFooter>
  <ignoredErrors>
    <ignoredError sqref="L10:L11 L12:L44" numberStoredAsText="1"/>
  </ignoredError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0">
    <tabColor theme="4"/>
  </sheetPr>
  <dimension ref="A1:H180"/>
  <sheetViews>
    <sheetView showGridLines="0" view="pageBreakPreview" topLeftCell="A61" zoomScale="115" zoomScaleNormal="100" zoomScaleSheetLayoutView="115" zoomScalePageLayoutView="140" workbookViewId="0">
      <selection activeCell="M12" sqref="M12"/>
    </sheetView>
  </sheetViews>
  <sheetFormatPr defaultColWidth="9.33203125" defaultRowHeight="11.25"/>
  <cols>
    <col min="1" max="1" width="22.5" customWidth="1"/>
    <col min="2" max="2" width="20.83203125" customWidth="1"/>
    <col min="3" max="3" width="15.83203125" customWidth="1"/>
    <col min="4" max="4" width="17" customWidth="1"/>
    <col min="5" max="5" width="13.5" customWidth="1"/>
    <col min="6" max="6" width="13.83203125" customWidth="1"/>
    <col min="7" max="7" width="14.5" customWidth="1"/>
  </cols>
  <sheetData>
    <row r="1" spans="1:8" ht="11.25" customHeight="1">
      <c r="A1" s="279" t="s">
        <v>286</v>
      </c>
      <c r="B1" s="278"/>
      <c r="C1" s="278"/>
      <c r="D1" s="278"/>
      <c r="E1" s="278"/>
      <c r="F1" s="278"/>
      <c r="G1" s="278"/>
    </row>
    <row r="2" spans="1:8" ht="14.25" customHeight="1">
      <c r="A2" s="971" t="s">
        <v>261</v>
      </c>
      <c r="B2" s="974" t="s">
        <v>55</v>
      </c>
      <c r="C2" s="977" t="str">
        <f>"ENERGÍA PRODUCIDA "&amp;UPPER('1. Resumen'!Q4)&amp;" "&amp;'1. Resumen'!Q5</f>
        <v>ENERGÍA PRODUCIDA OCTUBRE 2019</v>
      </c>
      <c r="D2" s="977"/>
      <c r="E2" s="977"/>
      <c r="F2" s="977"/>
      <c r="G2" s="692" t="s">
        <v>287</v>
      </c>
      <c r="H2" s="203"/>
    </row>
    <row r="3" spans="1:8" ht="11.25" customHeight="1">
      <c r="A3" s="972"/>
      <c r="B3" s="975"/>
      <c r="C3" s="978" t="s">
        <v>288</v>
      </c>
      <c r="D3" s="978"/>
      <c r="E3" s="978"/>
      <c r="F3" s="979" t="str">
        <f>"TOTAL 
"&amp;UPPER('1. Resumen'!Q4)</f>
        <v>TOTAL 
OCTUBRE</v>
      </c>
      <c r="G3" s="693" t="s">
        <v>289</v>
      </c>
      <c r="H3" s="194"/>
    </row>
    <row r="4" spans="1:8" ht="12.75" customHeight="1">
      <c r="A4" s="972"/>
      <c r="B4" s="975"/>
      <c r="C4" s="682" t="s">
        <v>222</v>
      </c>
      <c r="D4" s="682" t="s">
        <v>223</v>
      </c>
      <c r="E4" s="682" t="s">
        <v>290</v>
      </c>
      <c r="F4" s="980"/>
      <c r="G4" s="693">
        <v>2019</v>
      </c>
      <c r="H4" s="196"/>
    </row>
    <row r="5" spans="1:8" ht="11.25" customHeight="1">
      <c r="A5" s="973"/>
      <c r="B5" s="976"/>
      <c r="C5" s="683" t="s">
        <v>291</v>
      </c>
      <c r="D5" s="683" t="s">
        <v>291</v>
      </c>
      <c r="E5" s="683" t="s">
        <v>291</v>
      </c>
      <c r="F5" s="683" t="s">
        <v>291</v>
      </c>
      <c r="G5" s="694" t="s">
        <v>210</v>
      </c>
      <c r="H5" s="196"/>
    </row>
    <row r="6" spans="1:8" ht="9.75" customHeight="1">
      <c r="A6" s="762" t="s">
        <v>122</v>
      </c>
      <c r="B6" s="461" t="s">
        <v>87</v>
      </c>
      <c r="C6" s="462"/>
      <c r="D6" s="462"/>
      <c r="E6" s="462">
        <v>0</v>
      </c>
      <c r="F6" s="462">
        <v>0</v>
      </c>
      <c r="G6" s="758">
        <v>28416.323984999999</v>
      </c>
      <c r="H6" s="196"/>
    </row>
    <row r="7" spans="1:8" ht="9.75" customHeight="1">
      <c r="A7" s="742" t="s">
        <v>292</v>
      </c>
      <c r="B7" s="560"/>
      <c r="C7" s="561"/>
      <c r="D7" s="561"/>
      <c r="E7" s="561">
        <v>0</v>
      </c>
      <c r="F7" s="561">
        <v>0</v>
      </c>
      <c r="G7" s="747">
        <v>28416.323984999999</v>
      </c>
      <c r="H7" s="196"/>
    </row>
    <row r="8" spans="1:8" ht="9.75" customHeight="1">
      <c r="A8" s="762" t="s">
        <v>121</v>
      </c>
      <c r="B8" s="461" t="s">
        <v>64</v>
      </c>
      <c r="C8" s="462"/>
      <c r="D8" s="462"/>
      <c r="E8" s="462">
        <v>9245.8196399999997</v>
      </c>
      <c r="F8" s="462">
        <v>9245.8196399999997</v>
      </c>
      <c r="G8" s="758">
        <v>89163.621705000012</v>
      </c>
      <c r="H8" s="196"/>
    </row>
    <row r="9" spans="1:8" ht="9.75" customHeight="1">
      <c r="A9" s="742" t="s">
        <v>293</v>
      </c>
      <c r="B9" s="560"/>
      <c r="C9" s="561"/>
      <c r="D9" s="561"/>
      <c r="E9" s="561">
        <v>9245.8196399999997</v>
      </c>
      <c r="F9" s="561">
        <v>9245.8196399999997</v>
      </c>
      <c r="G9" s="747">
        <v>89163.621705000012</v>
      </c>
      <c r="H9" s="196"/>
    </row>
    <row r="10" spans="1:8" ht="9.75" customHeight="1">
      <c r="A10" s="740" t="s">
        <v>107</v>
      </c>
      <c r="B10" s="685" t="s">
        <v>84</v>
      </c>
      <c r="C10" s="686"/>
      <c r="D10" s="686"/>
      <c r="E10" s="686">
        <v>8539.2450774999998</v>
      </c>
      <c r="F10" s="686">
        <v>8539.2450774999998</v>
      </c>
      <c r="G10" s="746">
        <v>79174.463480000006</v>
      </c>
      <c r="H10" s="196"/>
    </row>
    <row r="11" spans="1:8" ht="9.75" customHeight="1">
      <c r="A11" s="742" t="s">
        <v>294</v>
      </c>
      <c r="B11" s="560"/>
      <c r="C11" s="561"/>
      <c r="D11" s="561"/>
      <c r="E11" s="561">
        <v>8539.2450774999998</v>
      </c>
      <c r="F11" s="561">
        <v>8539.2450774999998</v>
      </c>
      <c r="G11" s="747">
        <v>79174.463480000006</v>
      </c>
      <c r="H11" s="196"/>
    </row>
    <row r="12" spans="1:8" ht="9.75" customHeight="1">
      <c r="A12" s="740" t="s">
        <v>489</v>
      </c>
      <c r="B12" s="685" t="s">
        <v>493</v>
      </c>
      <c r="C12" s="686"/>
      <c r="D12" s="686"/>
      <c r="E12" s="686">
        <v>8956.8569525000003</v>
      </c>
      <c r="F12" s="686">
        <v>8956.8569525000003</v>
      </c>
      <c r="G12" s="746">
        <v>95142.897489999974</v>
      </c>
      <c r="H12" s="196"/>
    </row>
    <row r="13" spans="1:8" ht="9.75" customHeight="1">
      <c r="A13" s="742" t="s">
        <v>490</v>
      </c>
      <c r="B13" s="560"/>
      <c r="C13" s="561"/>
      <c r="D13" s="561"/>
      <c r="E13" s="561">
        <v>8956.8569525000003</v>
      </c>
      <c r="F13" s="561">
        <v>8956.8569525000003</v>
      </c>
      <c r="G13" s="747">
        <v>95142.897489999974</v>
      </c>
      <c r="H13" s="196"/>
    </row>
    <row r="14" spans="1:8" s="819" customFormat="1" ht="9.75" customHeight="1">
      <c r="A14" s="740" t="s">
        <v>756</v>
      </c>
      <c r="B14" s="685" t="s">
        <v>623</v>
      </c>
      <c r="C14" s="686"/>
      <c r="D14" s="686"/>
      <c r="E14" s="686">
        <v>6328.4610624999996</v>
      </c>
      <c r="F14" s="686">
        <v>6328.4610624999996</v>
      </c>
      <c r="G14" s="746">
        <v>6328.4610624999996</v>
      </c>
      <c r="H14" s="196"/>
    </row>
    <row r="15" spans="1:8" s="819" customFormat="1" ht="21.75" customHeight="1">
      <c r="A15" s="841" t="s">
        <v>622</v>
      </c>
      <c r="B15" s="560"/>
      <c r="C15" s="561"/>
      <c r="D15" s="561"/>
      <c r="E15" s="561">
        <v>6328.4610624999996</v>
      </c>
      <c r="F15" s="561">
        <v>6328.4610624999996</v>
      </c>
      <c r="G15" s="747">
        <v>6328.4610624999996</v>
      </c>
      <c r="H15" s="196"/>
    </row>
    <row r="16" spans="1:8" ht="9.75" customHeight="1">
      <c r="A16" s="740" t="s">
        <v>95</v>
      </c>
      <c r="B16" s="685" t="s">
        <v>295</v>
      </c>
      <c r="C16" s="686">
        <v>59264.519217499997</v>
      </c>
      <c r="D16" s="686"/>
      <c r="E16" s="686"/>
      <c r="F16" s="686">
        <v>59264.519217499997</v>
      </c>
      <c r="G16" s="746">
        <v>965956.88758750004</v>
      </c>
      <c r="H16" s="196"/>
    </row>
    <row r="17" spans="1:8" ht="9.75" customHeight="1">
      <c r="A17" s="742" t="s">
        <v>296</v>
      </c>
      <c r="B17" s="560"/>
      <c r="C17" s="561">
        <v>59264.519217499997</v>
      </c>
      <c r="D17" s="561"/>
      <c r="E17" s="561"/>
      <c r="F17" s="561">
        <v>59264.519217499997</v>
      </c>
      <c r="G17" s="747">
        <v>965956.88758750004</v>
      </c>
      <c r="H17" s="196"/>
    </row>
    <row r="18" spans="1:8" ht="10.5" customHeight="1">
      <c r="A18" s="740" t="s">
        <v>247</v>
      </c>
      <c r="B18" s="685" t="s">
        <v>297</v>
      </c>
      <c r="C18" s="686"/>
      <c r="D18" s="686">
        <v>1293.1201550000001</v>
      </c>
      <c r="E18" s="686"/>
      <c r="F18" s="686">
        <v>1293.1201550000001</v>
      </c>
      <c r="G18" s="746">
        <v>1293.1201775</v>
      </c>
      <c r="H18" s="196"/>
    </row>
    <row r="19" spans="1:8" ht="10.5" customHeight="1">
      <c r="A19" s="742" t="s">
        <v>298</v>
      </c>
      <c r="B19" s="560"/>
      <c r="C19" s="561"/>
      <c r="D19" s="561">
        <v>1293.1201550000001</v>
      </c>
      <c r="E19" s="561"/>
      <c r="F19" s="561">
        <v>1293.1201550000001</v>
      </c>
      <c r="G19" s="747">
        <v>1293.1201775</v>
      </c>
      <c r="H19" s="196"/>
    </row>
    <row r="20" spans="1:8" ht="9.75" customHeight="1">
      <c r="A20" s="740" t="s">
        <v>94</v>
      </c>
      <c r="B20" s="685" t="s">
        <v>299</v>
      </c>
      <c r="C20" s="686">
        <v>54930.729162499993</v>
      </c>
      <c r="D20" s="686"/>
      <c r="E20" s="686"/>
      <c r="F20" s="686">
        <v>54930.729162499993</v>
      </c>
      <c r="G20" s="746">
        <v>619205.94027249981</v>
      </c>
      <c r="H20" s="196"/>
    </row>
    <row r="21" spans="1:8" ht="9.75" customHeight="1">
      <c r="A21" s="740"/>
      <c r="B21" s="685" t="s">
        <v>300</v>
      </c>
      <c r="C21" s="686">
        <v>14654.417857500001</v>
      </c>
      <c r="D21" s="686"/>
      <c r="E21" s="686"/>
      <c r="F21" s="686">
        <v>14654.417857500001</v>
      </c>
      <c r="G21" s="746">
        <v>187303.5508975001</v>
      </c>
      <c r="H21" s="196"/>
    </row>
    <row r="22" spans="1:8" ht="9.75" customHeight="1">
      <c r="A22" s="742" t="s">
        <v>301</v>
      </c>
      <c r="B22" s="560"/>
      <c r="C22" s="561">
        <v>69585.147019999989</v>
      </c>
      <c r="D22" s="561"/>
      <c r="E22" s="561"/>
      <c r="F22" s="561">
        <v>69585.147019999989</v>
      </c>
      <c r="G22" s="747">
        <v>806509.49116999994</v>
      </c>
      <c r="H22" s="196"/>
    </row>
    <row r="23" spans="1:8" ht="9.75" customHeight="1">
      <c r="A23" s="740" t="s">
        <v>92</v>
      </c>
      <c r="B23" s="685" t="s">
        <v>302</v>
      </c>
      <c r="C23" s="686">
        <v>1217.81754</v>
      </c>
      <c r="D23" s="686"/>
      <c r="E23" s="686"/>
      <c r="F23" s="686">
        <v>1217.81754</v>
      </c>
      <c r="G23" s="746">
        <v>11946.055255000005</v>
      </c>
      <c r="H23" s="196"/>
    </row>
    <row r="24" spans="1:8" ht="9.75" customHeight="1">
      <c r="A24" s="740"/>
      <c r="B24" s="685" t="s">
        <v>303</v>
      </c>
      <c r="C24" s="686">
        <v>421.20924999999994</v>
      </c>
      <c r="D24" s="686"/>
      <c r="E24" s="686"/>
      <c r="F24" s="686">
        <v>421.20924999999994</v>
      </c>
      <c r="G24" s="746">
        <v>4052.5792249999995</v>
      </c>
      <c r="H24" s="196"/>
    </row>
    <row r="25" spans="1:8" ht="9.75" customHeight="1">
      <c r="A25" s="740"/>
      <c r="B25" s="685" t="s">
        <v>304</v>
      </c>
      <c r="C25" s="686">
        <v>3396.7429124999999</v>
      </c>
      <c r="D25" s="686"/>
      <c r="E25" s="686"/>
      <c r="F25" s="686">
        <v>3396.7429124999999</v>
      </c>
      <c r="G25" s="746">
        <v>32646.520694999999</v>
      </c>
      <c r="H25" s="196"/>
    </row>
    <row r="26" spans="1:8" ht="9.75" customHeight="1">
      <c r="A26" s="740"/>
      <c r="B26" s="685" t="s">
        <v>305</v>
      </c>
      <c r="C26" s="686">
        <v>9505.9842974999992</v>
      </c>
      <c r="D26" s="686"/>
      <c r="E26" s="686"/>
      <c r="F26" s="686">
        <v>9505.9842974999992</v>
      </c>
      <c r="G26" s="746">
        <v>86335.601655000006</v>
      </c>
      <c r="H26" s="196"/>
    </row>
    <row r="27" spans="1:8" ht="9.75" customHeight="1">
      <c r="A27" s="740"/>
      <c r="B27" s="685" t="s">
        <v>306</v>
      </c>
      <c r="C27" s="686">
        <v>58454.390897499994</v>
      </c>
      <c r="D27" s="686"/>
      <c r="E27" s="686"/>
      <c r="F27" s="686">
        <v>58454.390897499994</v>
      </c>
      <c r="G27" s="746">
        <v>617957.34257999994</v>
      </c>
      <c r="H27" s="196"/>
    </row>
    <row r="28" spans="1:8" ht="9.75" customHeight="1">
      <c r="A28" s="740"/>
      <c r="B28" s="685" t="s">
        <v>307</v>
      </c>
      <c r="C28" s="686">
        <v>5878.3970849999996</v>
      </c>
      <c r="D28" s="686"/>
      <c r="E28" s="686"/>
      <c r="F28" s="686">
        <v>5878.3970849999996</v>
      </c>
      <c r="G28" s="746">
        <v>52235.01395249999</v>
      </c>
      <c r="H28" s="196"/>
    </row>
    <row r="29" spans="1:8" ht="9.75" customHeight="1">
      <c r="A29" s="740"/>
      <c r="B29" s="685" t="s">
        <v>308</v>
      </c>
      <c r="C29" s="686"/>
      <c r="D29" s="686">
        <v>32.466169999999998</v>
      </c>
      <c r="E29" s="686"/>
      <c r="F29" s="686">
        <v>32.466169999999998</v>
      </c>
      <c r="G29" s="746">
        <v>348.52100999999993</v>
      </c>
      <c r="H29" s="196"/>
    </row>
    <row r="30" spans="1:8" ht="9.75" customHeight="1">
      <c r="A30" s="740"/>
      <c r="B30" s="685" t="s">
        <v>309</v>
      </c>
      <c r="C30" s="686"/>
      <c r="D30" s="686">
        <v>0</v>
      </c>
      <c r="E30" s="686"/>
      <c r="F30" s="686">
        <v>0</v>
      </c>
      <c r="G30" s="746">
        <v>293.71182999999996</v>
      </c>
      <c r="H30" s="196"/>
    </row>
    <row r="31" spans="1:8" ht="9.75" customHeight="1">
      <c r="A31" s="740"/>
      <c r="B31" s="685" t="s">
        <v>310</v>
      </c>
      <c r="C31" s="686"/>
      <c r="D31" s="686">
        <v>0</v>
      </c>
      <c r="E31" s="686"/>
      <c r="F31" s="686">
        <v>0</v>
      </c>
      <c r="G31" s="746">
        <v>30953.393329999999</v>
      </c>
      <c r="H31" s="196"/>
    </row>
    <row r="32" spans="1:8" ht="9.75" customHeight="1">
      <c r="A32" s="742" t="s">
        <v>311</v>
      </c>
      <c r="B32" s="560"/>
      <c r="C32" s="561">
        <v>78874.541982499999</v>
      </c>
      <c r="D32" s="561">
        <v>32.466169999999998</v>
      </c>
      <c r="E32" s="561"/>
      <c r="F32" s="561">
        <v>78907.008152499999</v>
      </c>
      <c r="G32" s="747">
        <v>836768.73953250004</v>
      </c>
      <c r="H32" s="196"/>
    </row>
    <row r="33" spans="1:8" ht="9.75" customHeight="1">
      <c r="A33" s="740" t="s">
        <v>115</v>
      </c>
      <c r="B33" s="685" t="s">
        <v>71</v>
      </c>
      <c r="C33" s="686"/>
      <c r="D33" s="686"/>
      <c r="E33" s="686">
        <v>1209.7734025000002</v>
      </c>
      <c r="F33" s="686">
        <v>1209.7734025000002</v>
      </c>
      <c r="G33" s="746">
        <v>26642.666589999997</v>
      </c>
      <c r="H33" s="196"/>
    </row>
    <row r="34" spans="1:8" ht="9.75" customHeight="1">
      <c r="A34" s="742" t="s">
        <v>312</v>
      </c>
      <c r="B34" s="560"/>
      <c r="C34" s="561"/>
      <c r="D34" s="561"/>
      <c r="E34" s="561">
        <v>1209.7734025000002</v>
      </c>
      <c r="F34" s="561">
        <v>1209.7734025000002</v>
      </c>
      <c r="G34" s="747">
        <v>26642.666589999997</v>
      </c>
      <c r="H34" s="196"/>
    </row>
    <row r="35" spans="1:8" ht="9.75" customHeight="1">
      <c r="A35" s="740" t="s">
        <v>93</v>
      </c>
      <c r="B35" s="685" t="s">
        <v>313</v>
      </c>
      <c r="C35" s="686">
        <v>88806.342247499997</v>
      </c>
      <c r="D35" s="686"/>
      <c r="E35" s="686"/>
      <c r="F35" s="686">
        <v>88806.342247499997</v>
      </c>
      <c r="G35" s="746">
        <v>1017675.0498675</v>
      </c>
      <c r="H35" s="196"/>
    </row>
    <row r="36" spans="1:8" ht="9.75" customHeight="1">
      <c r="A36" s="742" t="s">
        <v>314</v>
      </c>
      <c r="B36" s="560"/>
      <c r="C36" s="561">
        <v>88806.342247499997</v>
      </c>
      <c r="D36" s="561"/>
      <c r="E36" s="561"/>
      <c r="F36" s="561">
        <v>88806.342247499997</v>
      </c>
      <c r="G36" s="747">
        <v>1017675.0498675</v>
      </c>
      <c r="H36" s="196"/>
    </row>
    <row r="37" spans="1:8" ht="9.75" customHeight="1">
      <c r="A37" s="740" t="s">
        <v>102</v>
      </c>
      <c r="B37" s="685" t="s">
        <v>315</v>
      </c>
      <c r="C37" s="686">
        <v>5267.3114999999998</v>
      </c>
      <c r="D37" s="686"/>
      <c r="E37" s="686"/>
      <c r="F37" s="686">
        <v>5267.3114999999998</v>
      </c>
      <c r="G37" s="746">
        <v>51710.037000000011</v>
      </c>
      <c r="H37" s="196"/>
    </row>
    <row r="38" spans="1:8" ht="9.75" customHeight="1">
      <c r="A38" s="740"/>
      <c r="B38" s="685" t="s">
        <v>316</v>
      </c>
      <c r="C38" s="686">
        <v>3345.6315</v>
      </c>
      <c r="D38" s="686"/>
      <c r="E38" s="686"/>
      <c r="F38" s="686">
        <v>3345.6315</v>
      </c>
      <c r="G38" s="746">
        <v>35445.625500000009</v>
      </c>
      <c r="H38" s="196"/>
    </row>
    <row r="39" spans="1:8" ht="9.75" customHeight="1">
      <c r="A39" s="740"/>
      <c r="B39" s="685" t="s">
        <v>317</v>
      </c>
      <c r="C39" s="686"/>
      <c r="D39" s="686">
        <v>1076.287525</v>
      </c>
      <c r="E39" s="686"/>
      <c r="F39" s="686">
        <v>1076.287525</v>
      </c>
      <c r="G39" s="746">
        <v>58449.261894999996</v>
      </c>
      <c r="H39" s="196"/>
    </row>
    <row r="40" spans="1:8" ht="9.75" customHeight="1">
      <c r="A40" s="742" t="s">
        <v>318</v>
      </c>
      <c r="B40" s="560"/>
      <c r="C40" s="561">
        <v>8612.9429999999993</v>
      </c>
      <c r="D40" s="561">
        <v>1076.287525</v>
      </c>
      <c r="E40" s="561"/>
      <c r="F40" s="561">
        <v>9689.230524999999</v>
      </c>
      <c r="G40" s="747">
        <v>145604.92439500001</v>
      </c>
      <c r="H40" s="196"/>
    </row>
    <row r="41" spans="1:8" ht="19.5" customHeight="1">
      <c r="A41" s="755" t="s">
        <v>612</v>
      </c>
      <c r="B41" s="685" t="s">
        <v>76</v>
      </c>
      <c r="C41" s="686"/>
      <c r="D41" s="686"/>
      <c r="E41" s="686">
        <v>240.95872249999999</v>
      </c>
      <c r="F41" s="686">
        <v>240.95872249999999</v>
      </c>
      <c r="G41" s="746">
        <v>1675.0476000000001</v>
      </c>
      <c r="H41" s="196"/>
    </row>
    <row r="42" spans="1:8" ht="20.25" customHeight="1">
      <c r="A42" s="841" t="s">
        <v>593</v>
      </c>
      <c r="B42" s="560"/>
      <c r="C42" s="561"/>
      <c r="D42" s="561"/>
      <c r="E42" s="561">
        <v>240.95872249999999</v>
      </c>
      <c r="F42" s="561">
        <v>240.95872249999999</v>
      </c>
      <c r="G42" s="747">
        <v>1675.0476000000001</v>
      </c>
      <c r="H42" s="196"/>
    </row>
    <row r="43" spans="1:8" ht="9.75" customHeight="1">
      <c r="A43" s="740" t="s">
        <v>116</v>
      </c>
      <c r="B43" s="685" t="s">
        <v>74</v>
      </c>
      <c r="C43" s="686"/>
      <c r="D43" s="686"/>
      <c r="E43" s="686">
        <v>1703.2831249999999</v>
      </c>
      <c r="F43" s="686">
        <v>1703.2831249999999</v>
      </c>
      <c r="G43" s="746">
        <v>18468.415982499995</v>
      </c>
      <c r="H43" s="196"/>
    </row>
    <row r="44" spans="1:8" ht="9.75" customHeight="1">
      <c r="A44" s="742" t="s">
        <v>319</v>
      </c>
      <c r="B44" s="560"/>
      <c r="C44" s="561"/>
      <c r="D44" s="561"/>
      <c r="E44" s="561">
        <v>1703.2831249999999</v>
      </c>
      <c r="F44" s="561">
        <v>1703.2831249999999</v>
      </c>
      <c r="G44" s="747">
        <v>18468.415982499995</v>
      </c>
      <c r="H44" s="196"/>
    </row>
    <row r="45" spans="1:8" ht="9.75" customHeight="1">
      <c r="A45" s="740" t="s">
        <v>757</v>
      </c>
      <c r="B45" s="685" t="s">
        <v>608</v>
      </c>
      <c r="C45" s="686"/>
      <c r="D45" s="686"/>
      <c r="E45" s="686">
        <v>3216.3367275000001</v>
      </c>
      <c r="F45" s="686">
        <v>3216.3367275000001</v>
      </c>
      <c r="G45" s="746">
        <v>60719.370227499974</v>
      </c>
      <c r="H45" s="196"/>
    </row>
    <row r="46" spans="1:8" ht="9.75" customHeight="1">
      <c r="A46" s="742" t="s">
        <v>495</v>
      </c>
      <c r="B46" s="560"/>
      <c r="C46" s="561"/>
      <c r="D46" s="561"/>
      <c r="E46" s="561">
        <v>3216.3367275000001</v>
      </c>
      <c r="F46" s="561">
        <v>3216.3367275000001</v>
      </c>
      <c r="G46" s="747">
        <v>60719.370227499974</v>
      </c>
      <c r="H46" s="196"/>
    </row>
    <row r="47" spans="1:8" ht="9.75" customHeight="1">
      <c r="A47" s="740" t="s">
        <v>90</v>
      </c>
      <c r="B47" s="685" t="s">
        <v>320</v>
      </c>
      <c r="C47" s="686">
        <v>451916.24520000006</v>
      </c>
      <c r="D47" s="686"/>
      <c r="E47" s="686"/>
      <c r="F47" s="686">
        <v>451916.24520000006</v>
      </c>
      <c r="G47" s="746">
        <v>4521828.639600005</v>
      </c>
      <c r="H47" s="196"/>
    </row>
    <row r="48" spans="1:8" ht="9.75" customHeight="1">
      <c r="A48" s="740"/>
      <c r="B48" s="685" t="s">
        <v>321</v>
      </c>
      <c r="C48" s="686">
        <v>120469.07616000001</v>
      </c>
      <c r="D48" s="686"/>
      <c r="E48" s="686"/>
      <c r="F48" s="686">
        <v>120469.07616000001</v>
      </c>
      <c r="G48" s="746">
        <v>1425791.7451200013</v>
      </c>
      <c r="H48" s="196"/>
    </row>
    <row r="49" spans="1:8" ht="9.75" customHeight="1">
      <c r="A49" s="740"/>
      <c r="B49" s="685" t="s">
        <v>322</v>
      </c>
      <c r="C49" s="686"/>
      <c r="D49" s="686">
        <v>55.587990000000005</v>
      </c>
      <c r="E49" s="686"/>
      <c r="F49" s="686">
        <v>55.587990000000005</v>
      </c>
      <c r="G49" s="746">
        <v>282.46972499999998</v>
      </c>
      <c r="H49" s="196"/>
    </row>
    <row r="50" spans="1:8" ht="9.75" customHeight="1">
      <c r="A50" s="742" t="s">
        <v>323</v>
      </c>
      <c r="B50" s="560"/>
      <c r="C50" s="561">
        <v>572385.32136000006</v>
      </c>
      <c r="D50" s="561">
        <v>55.587990000000005</v>
      </c>
      <c r="E50" s="561"/>
      <c r="F50" s="561">
        <v>572440.90935000009</v>
      </c>
      <c r="G50" s="747">
        <v>5947902.8544450058</v>
      </c>
      <c r="H50" s="196"/>
    </row>
    <row r="51" spans="1:8" ht="9.75" customHeight="1">
      <c r="A51" s="740" t="s">
        <v>248</v>
      </c>
      <c r="B51" s="685" t="s">
        <v>324</v>
      </c>
      <c r="C51" s="686">
        <v>109060.29226250001</v>
      </c>
      <c r="D51" s="686"/>
      <c r="E51" s="686"/>
      <c r="F51" s="686">
        <v>109060.29226250001</v>
      </c>
      <c r="G51" s="746">
        <v>1777363.1246425</v>
      </c>
      <c r="H51" s="196"/>
    </row>
    <row r="52" spans="1:8" ht="9.75" customHeight="1">
      <c r="A52" s="740"/>
      <c r="B52" s="685" t="s">
        <v>325</v>
      </c>
      <c r="C52" s="686">
        <v>4573.9914774999997</v>
      </c>
      <c r="D52" s="686"/>
      <c r="E52" s="686"/>
      <c r="F52" s="686">
        <v>4573.9914774999997</v>
      </c>
      <c r="G52" s="746">
        <v>40723.005979999994</v>
      </c>
      <c r="H52" s="196"/>
    </row>
    <row r="53" spans="1:8" ht="9.75" customHeight="1">
      <c r="A53" s="742" t="s">
        <v>326</v>
      </c>
      <c r="B53" s="560"/>
      <c r="C53" s="561">
        <v>113634.28374000001</v>
      </c>
      <c r="D53" s="561"/>
      <c r="E53" s="561"/>
      <c r="F53" s="561">
        <v>113634.28374000001</v>
      </c>
      <c r="G53" s="747">
        <v>1818086.1306224999</v>
      </c>
      <c r="H53" s="196"/>
    </row>
    <row r="54" spans="1:8" ht="9.75" customHeight="1">
      <c r="A54" s="740" t="s">
        <v>249</v>
      </c>
      <c r="B54" s="685" t="s">
        <v>327</v>
      </c>
      <c r="C54" s="686">
        <v>36550.209790000001</v>
      </c>
      <c r="D54" s="686"/>
      <c r="E54" s="686"/>
      <c r="F54" s="686">
        <v>36550.209790000001</v>
      </c>
      <c r="G54" s="746">
        <v>335946.53007000004</v>
      </c>
      <c r="H54" s="196"/>
    </row>
    <row r="55" spans="1:8" ht="9.75" customHeight="1">
      <c r="A55" s="742" t="s">
        <v>328</v>
      </c>
      <c r="B55" s="560"/>
      <c r="C55" s="561">
        <v>36550.209790000001</v>
      </c>
      <c r="D55" s="561"/>
      <c r="E55" s="561"/>
      <c r="F55" s="561">
        <v>36550.209790000001</v>
      </c>
      <c r="G55" s="747">
        <v>335946.53007000004</v>
      </c>
      <c r="H55" s="111"/>
    </row>
    <row r="56" spans="1:8" ht="24.75" customHeight="1">
      <c r="A56" s="744" t="s">
        <v>611</v>
      </c>
      <c r="B56" s="685" t="s">
        <v>66</v>
      </c>
      <c r="C56" s="686"/>
      <c r="D56" s="686"/>
      <c r="E56" s="686">
        <v>3202.4353775</v>
      </c>
      <c r="F56" s="686">
        <v>3202.4353775</v>
      </c>
      <c r="G56" s="746">
        <v>40611.961582499993</v>
      </c>
      <c r="H56" s="111"/>
    </row>
    <row r="57" spans="1:8" ht="9.75" customHeight="1">
      <c r="A57" s="740"/>
      <c r="B57" s="685" t="s">
        <v>65</v>
      </c>
      <c r="C57" s="686"/>
      <c r="D57" s="686"/>
      <c r="E57" s="686">
        <v>3291.43246</v>
      </c>
      <c r="F57" s="686">
        <v>3291.43246</v>
      </c>
      <c r="G57" s="746">
        <v>42675.186152499999</v>
      </c>
      <c r="H57" s="111"/>
    </row>
    <row r="58" spans="1:8" s="819" customFormat="1" ht="9.75" customHeight="1">
      <c r="A58" s="740"/>
      <c r="B58" s="685" t="s">
        <v>61</v>
      </c>
      <c r="C58" s="686"/>
      <c r="D58" s="686"/>
      <c r="E58" s="686">
        <v>4615.6257949999999</v>
      </c>
      <c r="F58" s="686">
        <v>4615.6257949999999</v>
      </c>
      <c r="G58" s="746">
        <v>72438.919135000047</v>
      </c>
      <c r="H58" s="111"/>
    </row>
    <row r="59" spans="1:8" s="819" customFormat="1" ht="9.75" customHeight="1">
      <c r="A59" s="740"/>
      <c r="B59" s="685" t="s">
        <v>58</v>
      </c>
      <c r="C59" s="686"/>
      <c r="D59" s="686"/>
      <c r="E59" s="686">
        <v>6597.9722524999997</v>
      </c>
      <c r="F59" s="686">
        <v>6597.9722524999997</v>
      </c>
      <c r="G59" s="746">
        <v>90204.460627499997</v>
      </c>
      <c r="H59" s="111"/>
    </row>
    <row r="60" spans="1:8" s="819" customFormat="1" ht="9.75" customHeight="1">
      <c r="A60" s="740"/>
      <c r="B60" s="685" t="s">
        <v>69</v>
      </c>
      <c r="C60" s="686"/>
      <c r="D60" s="686"/>
      <c r="E60" s="686">
        <v>1304.7591975</v>
      </c>
      <c r="F60" s="686">
        <v>1304.7591975</v>
      </c>
      <c r="G60" s="746">
        <v>25611.955387499991</v>
      </c>
      <c r="H60" s="111"/>
    </row>
    <row r="61" spans="1:8" s="819" customFormat="1" ht="9.75" customHeight="1">
      <c r="A61" s="740"/>
      <c r="B61" s="685" t="s">
        <v>68</v>
      </c>
      <c r="C61" s="686"/>
      <c r="D61" s="686"/>
      <c r="E61" s="686">
        <v>1533.6893574999999</v>
      </c>
      <c r="F61" s="686">
        <v>1533.6893574999999</v>
      </c>
      <c r="G61" s="746">
        <v>28089.914944999997</v>
      </c>
      <c r="H61" s="111"/>
    </row>
    <row r="62" spans="1:8" ht="21" customHeight="1">
      <c r="A62" s="841" t="s">
        <v>606</v>
      </c>
      <c r="B62" s="560"/>
      <c r="C62" s="561"/>
      <c r="D62" s="561"/>
      <c r="E62" s="561">
        <v>20545.914439999997</v>
      </c>
      <c r="F62" s="561">
        <v>20545.914439999997</v>
      </c>
      <c r="G62" s="561">
        <v>299632.39783000003</v>
      </c>
      <c r="H62" s="111"/>
    </row>
    <row r="63" spans="1:8" ht="9.75" customHeight="1">
      <c r="A63" s="740" t="s">
        <v>89</v>
      </c>
      <c r="B63" s="685" t="s">
        <v>759</v>
      </c>
      <c r="C63" s="686">
        <v>49349.209437500002</v>
      </c>
      <c r="D63" s="686"/>
      <c r="E63" s="686"/>
      <c r="F63" s="686">
        <v>49349.209437500002</v>
      </c>
      <c r="G63" s="746">
        <v>389653.92978000001</v>
      </c>
      <c r="H63" s="111"/>
    </row>
    <row r="64" spans="1:8" ht="9.75" customHeight="1">
      <c r="A64" s="740"/>
      <c r="B64" s="685" t="s">
        <v>329</v>
      </c>
      <c r="C64" s="686">
        <v>19427.667042499997</v>
      </c>
      <c r="D64" s="686"/>
      <c r="E64" s="686"/>
      <c r="F64" s="686">
        <v>19427.667042499997</v>
      </c>
      <c r="G64" s="746">
        <v>186833.26429749996</v>
      </c>
      <c r="H64" s="197"/>
    </row>
    <row r="65" spans="1:8" ht="9.75" customHeight="1">
      <c r="A65" s="740"/>
      <c r="B65" s="685" t="s">
        <v>330</v>
      </c>
      <c r="C65" s="686">
        <v>85662.451264999996</v>
      </c>
      <c r="D65" s="686"/>
      <c r="E65" s="686"/>
      <c r="F65" s="686">
        <v>85662.451264999996</v>
      </c>
      <c r="G65" s="746">
        <v>1006091.4954125001</v>
      </c>
      <c r="H65" s="197"/>
    </row>
    <row r="66" spans="1:8" ht="9.75" customHeight="1">
      <c r="A66" s="740"/>
      <c r="B66" s="685" t="s">
        <v>331</v>
      </c>
      <c r="C66" s="686">
        <v>62577.744139999995</v>
      </c>
      <c r="D66" s="686"/>
      <c r="E66" s="686"/>
      <c r="F66" s="686">
        <v>62577.744139999995</v>
      </c>
      <c r="G66" s="746">
        <v>736296.60947000014</v>
      </c>
      <c r="H66" s="197"/>
    </row>
    <row r="67" spans="1:8" ht="9.75" customHeight="1">
      <c r="A67" s="740"/>
      <c r="B67" s="685" t="s">
        <v>332</v>
      </c>
      <c r="C67" s="686">
        <v>47000.2650125</v>
      </c>
      <c r="D67" s="686"/>
      <c r="E67" s="686"/>
      <c r="F67" s="686">
        <v>47000.2650125</v>
      </c>
      <c r="G67" s="746">
        <v>448421.54885499994</v>
      </c>
      <c r="H67" s="197"/>
    </row>
    <row r="68" spans="1:8" ht="9.75" customHeight="1">
      <c r="A68" s="740"/>
      <c r="B68" s="685" t="s">
        <v>333</v>
      </c>
      <c r="C68" s="686"/>
      <c r="D68" s="686">
        <v>26438.543002500002</v>
      </c>
      <c r="E68" s="686"/>
      <c r="F68" s="686">
        <v>26438.543002500002</v>
      </c>
      <c r="G68" s="746">
        <v>77783.342372500003</v>
      </c>
      <c r="H68" s="197"/>
    </row>
    <row r="69" spans="1:8" ht="9.75" customHeight="1">
      <c r="A69" s="740"/>
      <c r="B69" s="685" t="s">
        <v>334</v>
      </c>
      <c r="C69" s="686"/>
      <c r="D69" s="686">
        <v>21060.092397500001</v>
      </c>
      <c r="E69" s="686"/>
      <c r="F69" s="686">
        <v>21060.092397500001</v>
      </c>
      <c r="G69" s="746">
        <v>278531.61720500002</v>
      </c>
      <c r="H69" s="197"/>
    </row>
    <row r="70" spans="1:8" ht="9.75" customHeight="1">
      <c r="A70" s="740"/>
      <c r="B70" s="685" t="s">
        <v>335</v>
      </c>
      <c r="C70" s="686"/>
      <c r="D70" s="686">
        <v>287524.44372499996</v>
      </c>
      <c r="E70" s="686"/>
      <c r="F70" s="686">
        <v>287524.44372499996</v>
      </c>
      <c r="G70" s="746">
        <v>2542734.7147500007</v>
      </c>
    </row>
    <row r="71" spans="1:8" ht="9.75" customHeight="1">
      <c r="A71" s="740"/>
      <c r="B71" s="685" t="s">
        <v>485</v>
      </c>
      <c r="C71" s="686"/>
      <c r="D71" s="686"/>
      <c r="E71" s="686">
        <v>430.65744000000001</v>
      </c>
      <c r="F71" s="686">
        <v>430.65744000000001</v>
      </c>
      <c r="G71" s="746">
        <v>3523.3641974999996</v>
      </c>
    </row>
    <row r="72" spans="1:8" ht="9.75" customHeight="1">
      <c r="A72" s="742" t="s">
        <v>336</v>
      </c>
      <c r="B72" s="560"/>
      <c r="C72" s="561">
        <v>264017.33689750003</v>
      </c>
      <c r="D72" s="561">
        <v>335023.07912499993</v>
      </c>
      <c r="E72" s="561">
        <v>430.65744000000001</v>
      </c>
      <c r="F72" s="561">
        <v>599471.0734625</v>
      </c>
      <c r="G72" s="747">
        <v>5669869.8863400016</v>
      </c>
    </row>
    <row r="73" spans="1:8" ht="9.75" customHeight="1">
      <c r="A73" s="740" t="s">
        <v>97</v>
      </c>
      <c r="B73" s="685" t="s">
        <v>337</v>
      </c>
      <c r="C73" s="686"/>
      <c r="D73" s="686">
        <v>1231.8363575000001</v>
      </c>
      <c r="E73" s="686"/>
      <c r="F73" s="686">
        <v>1231.8363575000001</v>
      </c>
      <c r="G73" s="746">
        <v>12081.041257500001</v>
      </c>
    </row>
    <row r="74" spans="1:8" ht="9.75" customHeight="1">
      <c r="A74" s="740"/>
      <c r="B74" s="685" t="s">
        <v>338</v>
      </c>
      <c r="C74" s="686"/>
      <c r="D74" s="686">
        <v>62958.784372499998</v>
      </c>
      <c r="E74" s="686"/>
      <c r="F74" s="686">
        <v>62958.784372499998</v>
      </c>
      <c r="G74" s="746">
        <v>362714.39465749997</v>
      </c>
    </row>
    <row r="75" spans="1:8" ht="9.75" customHeight="1">
      <c r="A75" s="740"/>
      <c r="B75" s="685" t="s">
        <v>339</v>
      </c>
      <c r="C75" s="686"/>
      <c r="D75" s="686">
        <v>477.14182249999999</v>
      </c>
      <c r="E75" s="686"/>
      <c r="F75" s="686">
        <v>477.14182249999999</v>
      </c>
      <c r="G75" s="746">
        <v>175453.7181075</v>
      </c>
    </row>
    <row r="76" spans="1:8" ht="23.25" customHeight="1">
      <c r="A76" s="841" t="s">
        <v>340</v>
      </c>
      <c r="B76" s="560"/>
      <c r="C76" s="561"/>
      <c r="D76" s="561">
        <v>64667.762552499997</v>
      </c>
      <c r="E76" s="561"/>
      <c r="F76" s="561">
        <v>64667.762552499997</v>
      </c>
      <c r="G76" s="747">
        <v>550249.15402249992</v>
      </c>
    </row>
    <row r="77" spans="1:8" ht="9.75" customHeight="1">
      <c r="A77" s="740" t="s">
        <v>99</v>
      </c>
      <c r="B77" s="685" t="s">
        <v>516</v>
      </c>
      <c r="C77" s="686"/>
      <c r="D77" s="686"/>
      <c r="E77" s="686">
        <v>44026.813802499993</v>
      </c>
      <c r="F77" s="686">
        <v>44026.813802499993</v>
      </c>
      <c r="G77" s="746">
        <v>336083.92924249987</v>
      </c>
    </row>
    <row r="78" spans="1:8" ht="9.75" customHeight="1">
      <c r="A78" s="740"/>
      <c r="B78" s="685" t="s">
        <v>515</v>
      </c>
      <c r="C78" s="686"/>
      <c r="D78" s="686"/>
      <c r="E78" s="686">
        <v>57365.420160000001</v>
      </c>
      <c r="F78" s="686">
        <v>57365.420160000001</v>
      </c>
      <c r="G78" s="746">
        <v>488716.09208749986</v>
      </c>
    </row>
    <row r="79" spans="1:8" ht="21.75" customHeight="1">
      <c r="A79" s="841" t="s">
        <v>341</v>
      </c>
      <c r="B79" s="560"/>
      <c r="C79" s="561"/>
      <c r="D79" s="561"/>
      <c r="E79" s="561">
        <v>101392.2339625</v>
      </c>
      <c r="F79" s="561">
        <v>101392.2339625</v>
      </c>
      <c r="G79" s="747">
        <v>824800.02132999967</v>
      </c>
    </row>
    <row r="80" spans="1:8" ht="9.75" customHeight="1">
      <c r="A80" s="740" t="s">
        <v>98</v>
      </c>
      <c r="B80" s="685" t="s">
        <v>78</v>
      </c>
      <c r="C80" s="686"/>
      <c r="D80" s="686"/>
      <c r="E80" s="686">
        <v>31639.017800000001</v>
      </c>
      <c r="F80" s="686">
        <v>31639.017800000001</v>
      </c>
      <c r="G80" s="746">
        <v>263943.21611749998</v>
      </c>
    </row>
    <row r="81" spans="1:7" ht="9.75" customHeight="1">
      <c r="A81" s="740"/>
      <c r="B81" s="685" t="s">
        <v>80</v>
      </c>
      <c r="C81" s="686"/>
      <c r="D81" s="686"/>
      <c r="E81" s="686">
        <v>13565.9147975</v>
      </c>
      <c r="F81" s="686">
        <v>13565.9147975</v>
      </c>
      <c r="G81" s="746">
        <v>102058.76845249999</v>
      </c>
    </row>
    <row r="82" spans="1:7" ht="9.75" customHeight="1">
      <c r="A82" s="760" t="s">
        <v>342</v>
      </c>
      <c r="B82" s="695"/>
      <c r="C82" s="696"/>
      <c r="D82" s="696"/>
      <c r="E82" s="696">
        <v>45204.932597500003</v>
      </c>
      <c r="F82" s="696">
        <v>45204.932597500003</v>
      </c>
      <c r="G82" s="761">
        <v>366001.98456999997</v>
      </c>
    </row>
    <row r="83" spans="1:7" ht="9.75" customHeight="1">
      <c r="A83" s="353"/>
      <c r="B83" s="353"/>
      <c r="C83" s="463"/>
      <c r="D83" s="463"/>
      <c r="E83" s="463"/>
      <c r="F83" s="353"/>
      <c r="G83" s="353"/>
    </row>
    <row r="84" spans="1:7" ht="9.75" customHeight="1">
      <c r="A84" s="353"/>
      <c r="B84" s="353"/>
      <c r="C84" s="463"/>
      <c r="D84" s="463"/>
      <c r="E84" s="463"/>
      <c r="F84" s="353"/>
      <c r="G84" s="353"/>
    </row>
    <row r="85" spans="1:7" ht="9.75" customHeight="1">
      <c r="A85" s="353"/>
      <c r="B85" s="353"/>
      <c r="C85" s="463"/>
      <c r="D85" s="463"/>
      <c r="E85" s="463"/>
      <c r="F85" s="353"/>
      <c r="G85" s="353"/>
    </row>
    <row r="86" spans="1:7" ht="9.75" customHeight="1">
      <c r="A86" s="353"/>
      <c r="B86" s="353"/>
      <c r="C86" s="463"/>
      <c r="D86" s="463"/>
      <c r="E86" s="463"/>
      <c r="F86" s="353"/>
      <c r="G86" s="353"/>
    </row>
    <row r="87" spans="1:7" ht="9.75" customHeight="1">
      <c r="A87" s="353"/>
      <c r="B87" s="353"/>
      <c r="C87" s="463"/>
      <c r="D87" s="463"/>
      <c r="E87" s="463"/>
      <c r="F87" s="353"/>
      <c r="G87" s="353"/>
    </row>
    <row r="88" spans="1:7" ht="9.75" customHeight="1">
      <c r="A88" s="353"/>
      <c r="B88" s="353"/>
      <c r="C88" s="463"/>
      <c r="D88" s="463"/>
      <c r="E88" s="463"/>
      <c r="F88" s="353"/>
      <c r="G88" s="353"/>
    </row>
    <row r="89" spans="1:7" ht="9.75" customHeight="1">
      <c r="A89" s="353"/>
      <c r="B89" s="353"/>
      <c r="C89" s="463"/>
      <c r="D89" s="463"/>
      <c r="E89" s="463"/>
      <c r="F89" s="353"/>
      <c r="G89" s="353"/>
    </row>
    <row r="90" spans="1:7" ht="9.75" customHeight="1">
      <c r="A90" s="353"/>
      <c r="B90" s="353"/>
      <c r="C90" s="463"/>
      <c r="D90" s="463"/>
      <c r="E90" s="463"/>
      <c r="F90" s="353"/>
      <c r="G90" s="353"/>
    </row>
    <row r="91" spans="1:7" ht="9.75" customHeight="1">
      <c r="A91" s="353"/>
      <c r="B91" s="353"/>
      <c r="C91" s="463"/>
      <c r="D91" s="463"/>
      <c r="E91" s="463"/>
      <c r="F91" s="353"/>
      <c r="G91" s="353"/>
    </row>
    <row r="92" spans="1:7" ht="9.75" customHeight="1">
      <c r="A92" s="353"/>
      <c r="B92" s="353"/>
      <c r="C92" s="463"/>
      <c r="D92" s="463"/>
      <c r="E92" s="463"/>
      <c r="F92" s="353"/>
      <c r="G92" s="353"/>
    </row>
    <row r="93" spans="1:7" ht="9.75" customHeight="1">
      <c r="A93" s="353"/>
      <c r="B93" s="353"/>
      <c r="C93" s="463"/>
      <c r="D93" s="463"/>
      <c r="E93" s="463"/>
      <c r="F93" s="353"/>
      <c r="G93" s="353"/>
    </row>
    <row r="94" spans="1:7" ht="9.75" customHeight="1">
      <c r="A94" s="353"/>
      <c r="B94" s="353"/>
      <c r="C94" s="463"/>
      <c r="D94" s="463"/>
      <c r="E94" s="463"/>
      <c r="F94" s="353"/>
      <c r="G94" s="353"/>
    </row>
    <row r="95" spans="1:7" ht="9.75" customHeight="1">
      <c r="A95" s="353"/>
      <c r="B95" s="353"/>
      <c r="C95" s="463"/>
      <c r="D95" s="463"/>
      <c r="E95" s="463"/>
      <c r="F95" s="353"/>
      <c r="G95" s="353"/>
    </row>
    <row r="96" spans="1:7" ht="9.75" customHeight="1">
      <c r="A96" s="353"/>
      <c r="B96" s="353"/>
      <c r="C96" s="463"/>
      <c r="D96" s="463"/>
      <c r="E96" s="463"/>
      <c r="F96" s="353"/>
      <c r="G96" s="353"/>
    </row>
    <row r="97" spans="1:7" ht="9.75" customHeight="1">
      <c r="A97" s="353"/>
      <c r="B97" s="353"/>
      <c r="C97" s="463"/>
      <c r="D97" s="463"/>
      <c r="E97" s="463"/>
      <c r="F97" s="353"/>
      <c r="G97" s="353"/>
    </row>
    <row r="98" spans="1:7" ht="9.75" customHeight="1">
      <c r="A98" s="353"/>
      <c r="B98" s="353"/>
      <c r="C98" s="463"/>
      <c r="D98" s="463"/>
      <c r="E98" s="463"/>
      <c r="F98" s="353"/>
      <c r="G98" s="353"/>
    </row>
    <row r="99" spans="1:7" ht="9.75" customHeight="1">
      <c r="A99" s="353"/>
      <c r="B99" s="353"/>
      <c r="C99" s="463"/>
      <c r="D99" s="463"/>
      <c r="E99" s="463"/>
      <c r="F99" s="353"/>
      <c r="G99" s="353"/>
    </row>
    <row r="100" spans="1:7" ht="9.75" customHeight="1">
      <c r="A100" s="353"/>
      <c r="B100" s="353"/>
      <c r="C100" s="463"/>
      <c r="D100" s="463"/>
      <c r="E100" s="463"/>
      <c r="F100" s="353"/>
      <c r="G100" s="353"/>
    </row>
    <row r="101" spans="1:7" ht="9.75" customHeight="1">
      <c r="A101" s="353"/>
      <c r="B101" s="353"/>
      <c r="C101" s="463"/>
      <c r="D101" s="463"/>
      <c r="E101" s="463"/>
      <c r="F101" s="353"/>
      <c r="G101" s="353"/>
    </row>
    <row r="102" spans="1:7" ht="9.75" customHeight="1">
      <c r="A102" s="353"/>
      <c r="B102" s="353"/>
      <c r="C102" s="463"/>
      <c r="D102" s="463"/>
      <c r="E102" s="463"/>
      <c r="F102" s="353"/>
      <c r="G102" s="353"/>
    </row>
    <row r="103" spans="1:7" ht="9.75" customHeight="1">
      <c r="A103" s="353"/>
      <c r="B103" s="353"/>
      <c r="C103" s="463"/>
      <c r="D103" s="463"/>
      <c r="E103" s="463"/>
      <c r="F103" s="353"/>
      <c r="G103" s="353"/>
    </row>
    <row r="104" spans="1:7" ht="9.75" customHeight="1">
      <c r="A104" s="353"/>
      <c r="B104" s="353"/>
      <c r="C104" s="463"/>
      <c r="D104" s="463"/>
      <c r="E104" s="463"/>
      <c r="F104" s="353"/>
      <c r="G104" s="353"/>
    </row>
    <row r="105" spans="1:7" ht="9.75" customHeight="1">
      <c r="A105" s="353"/>
      <c r="B105" s="353"/>
      <c r="C105" s="463"/>
      <c r="D105" s="463"/>
      <c r="E105" s="463"/>
      <c r="F105" s="353"/>
      <c r="G105" s="353"/>
    </row>
    <row r="106" spans="1:7" ht="9.75" customHeight="1">
      <c r="A106" s="353"/>
      <c r="B106" s="353"/>
      <c r="C106" s="463"/>
      <c r="D106" s="463"/>
      <c r="E106" s="463"/>
      <c r="F106" s="353"/>
      <c r="G106" s="353"/>
    </row>
    <row r="107" spans="1:7" ht="9.75" customHeight="1">
      <c r="A107" s="353"/>
      <c r="B107" s="353"/>
      <c r="C107" s="463"/>
      <c r="D107" s="463"/>
      <c r="E107" s="463"/>
      <c r="F107" s="353"/>
      <c r="G107" s="353"/>
    </row>
    <row r="108" spans="1:7" ht="9.75" customHeight="1">
      <c r="A108" s="353"/>
      <c r="B108" s="353"/>
      <c r="C108" s="463"/>
      <c r="D108" s="463"/>
      <c r="E108" s="463"/>
      <c r="F108" s="353"/>
      <c r="G108" s="353"/>
    </row>
    <row r="109" spans="1:7" ht="9.75" customHeight="1">
      <c r="A109" s="353"/>
      <c r="B109" s="353"/>
      <c r="C109" s="463"/>
      <c r="D109" s="463"/>
      <c r="E109" s="463"/>
      <c r="F109" s="353"/>
      <c r="G109" s="353"/>
    </row>
    <row r="110" spans="1:7" ht="9.75" customHeight="1">
      <c r="A110" s="353"/>
      <c r="B110" s="353"/>
      <c r="C110" s="463"/>
      <c r="D110" s="463"/>
      <c r="E110" s="463"/>
      <c r="F110" s="353"/>
      <c r="G110" s="353"/>
    </row>
    <row r="111" spans="1:7" ht="9.75" customHeight="1">
      <c r="A111" s="353"/>
      <c r="B111" s="353"/>
      <c r="C111" s="463"/>
      <c r="D111" s="463"/>
      <c r="E111" s="463"/>
      <c r="F111" s="353"/>
      <c r="G111" s="353"/>
    </row>
    <row r="112" spans="1:7" ht="9.75" customHeight="1">
      <c r="A112" s="353"/>
      <c r="B112" s="353"/>
      <c r="C112" s="463"/>
      <c r="D112" s="463"/>
      <c r="E112" s="463"/>
      <c r="F112" s="353"/>
      <c r="G112" s="353"/>
    </row>
    <row r="113" spans="1:7" ht="9.75" customHeight="1">
      <c r="A113" s="353"/>
      <c r="B113" s="353"/>
      <c r="C113" s="463"/>
      <c r="D113" s="463"/>
      <c r="E113" s="463"/>
      <c r="F113" s="353"/>
      <c r="G113" s="353"/>
    </row>
    <row r="114" spans="1:7" ht="9.75" customHeight="1">
      <c r="A114" s="353"/>
      <c r="B114" s="353"/>
      <c r="C114" s="463"/>
      <c r="D114" s="463"/>
      <c r="E114" s="463"/>
      <c r="F114" s="353"/>
      <c r="G114" s="353"/>
    </row>
    <row r="115" spans="1:7" ht="9.75" customHeight="1">
      <c r="A115" s="353"/>
      <c r="B115" s="353"/>
      <c r="C115" s="463"/>
      <c r="D115" s="463"/>
      <c r="E115" s="463"/>
      <c r="F115" s="353"/>
      <c r="G115" s="353"/>
    </row>
    <row r="116" spans="1:7" ht="9.75" customHeight="1">
      <c r="A116" s="353"/>
      <c r="B116" s="353"/>
      <c r="C116" s="463"/>
      <c r="D116" s="463"/>
      <c r="E116" s="463"/>
      <c r="F116" s="353"/>
      <c r="G116" s="353"/>
    </row>
    <row r="117" spans="1:7" ht="9.75" customHeight="1">
      <c r="A117" s="353"/>
      <c r="B117" s="353"/>
      <c r="C117" s="463"/>
      <c r="D117" s="463"/>
      <c r="E117" s="463"/>
      <c r="F117" s="353"/>
      <c r="G117" s="353"/>
    </row>
    <row r="118" spans="1:7" ht="9.75" customHeight="1">
      <c r="A118" s="353"/>
      <c r="B118" s="353"/>
      <c r="C118" s="463"/>
      <c r="D118" s="463"/>
      <c r="E118" s="463"/>
      <c r="F118" s="353"/>
      <c r="G118" s="353"/>
    </row>
    <row r="119" spans="1:7" ht="9.75" customHeight="1">
      <c r="A119" s="353"/>
      <c r="B119" s="353"/>
      <c r="C119" s="463"/>
      <c r="D119" s="463"/>
      <c r="E119" s="463"/>
      <c r="F119" s="353"/>
      <c r="G119" s="353"/>
    </row>
    <row r="120" spans="1:7" ht="9.75" customHeight="1">
      <c r="A120" s="353"/>
      <c r="B120" s="353"/>
      <c r="C120" s="463"/>
      <c r="D120" s="463"/>
      <c r="E120" s="463"/>
      <c r="F120" s="353"/>
      <c r="G120" s="353"/>
    </row>
    <row r="121" spans="1:7" ht="9.75" customHeight="1">
      <c r="A121" s="353"/>
      <c r="B121" s="353"/>
      <c r="C121" s="463"/>
      <c r="D121" s="463"/>
      <c r="E121" s="463"/>
      <c r="F121" s="353"/>
      <c r="G121" s="353"/>
    </row>
    <row r="122" spans="1:7" ht="9.75" customHeight="1">
      <c r="A122" s="353"/>
      <c r="B122" s="353"/>
      <c r="C122" s="463"/>
      <c r="D122" s="463"/>
      <c r="E122" s="463"/>
      <c r="F122" s="353"/>
      <c r="G122" s="353"/>
    </row>
    <row r="123" spans="1:7" ht="9.75" customHeight="1">
      <c r="A123" s="353"/>
      <c r="B123" s="353"/>
      <c r="C123" s="463"/>
      <c r="D123" s="463"/>
      <c r="E123" s="463"/>
      <c r="F123" s="353"/>
      <c r="G123" s="353"/>
    </row>
    <row r="124" spans="1:7" ht="9.75" customHeight="1">
      <c r="A124" s="353"/>
      <c r="B124" s="353"/>
      <c r="C124" s="463"/>
      <c r="D124" s="463"/>
      <c r="E124" s="463"/>
      <c r="F124" s="353"/>
      <c r="G124" s="353"/>
    </row>
    <row r="125" spans="1:7" ht="9.75" customHeight="1">
      <c r="A125" s="353"/>
      <c r="B125" s="353"/>
      <c r="C125" s="463"/>
      <c r="D125" s="463"/>
      <c r="E125" s="463"/>
      <c r="F125" s="353"/>
      <c r="G125" s="353"/>
    </row>
    <row r="126" spans="1:7" ht="9.75" customHeight="1">
      <c r="A126" s="353"/>
      <c r="B126" s="353"/>
      <c r="C126" s="463"/>
      <c r="D126" s="463"/>
      <c r="E126" s="463"/>
      <c r="F126" s="353"/>
      <c r="G126" s="353"/>
    </row>
    <row r="127" spans="1:7" ht="9.75" customHeight="1">
      <c r="A127" s="353"/>
      <c r="B127" s="353"/>
      <c r="C127" s="463"/>
      <c r="D127" s="463"/>
      <c r="E127" s="463"/>
      <c r="F127" s="353"/>
      <c r="G127" s="353"/>
    </row>
    <row r="128" spans="1:7" ht="9.75" customHeight="1">
      <c r="A128" s="353"/>
      <c r="B128" s="353"/>
      <c r="C128" s="463"/>
      <c r="D128" s="463"/>
      <c r="E128" s="463"/>
      <c r="F128" s="353"/>
      <c r="G128" s="353"/>
    </row>
    <row r="129" spans="1:7" ht="9.75" customHeight="1">
      <c r="A129" s="353"/>
      <c r="B129" s="353"/>
      <c r="C129" s="463"/>
      <c r="D129" s="463"/>
      <c r="E129" s="463"/>
      <c r="F129" s="353"/>
      <c r="G129" s="353"/>
    </row>
    <row r="130" spans="1:7" ht="9.75" customHeight="1">
      <c r="A130" s="353"/>
      <c r="B130" s="353"/>
      <c r="C130" s="463"/>
      <c r="D130" s="463"/>
      <c r="E130" s="463"/>
      <c r="F130" s="353"/>
      <c r="G130" s="353"/>
    </row>
    <row r="131" spans="1:7" ht="9.75" customHeight="1">
      <c r="A131" s="353"/>
      <c r="B131" s="353"/>
      <c r="C131" s="463"/>
      <c r="D131" s="463"/>
      <c r="E131" s="463"/>
      <c r="F131" s="353"/>
      <c r="G131" s="353"/>
    </row>
    <row r="132" spans="1:7" ht="9.75" customHeight="1">
      <c r="A132" s="353"/>
      <c r="B132" s="353"/>
      <c r="C132" s="463"/>
      <c r="D132" s="463"/>
      <c r="E132" s="463"/>
      <c r="F132" s="353"/>
      <c r="G132" s="353"/>
    </row>
    <row r="133" spans="1:7" ht="9.75" customHeight="1">
      <c r="A133" s="353"/>
      <c r="B133" s="353"/>
      <c r="C133" s="463"/>
      <c r="D133" s="463"/>
      <c r="E133" s="463"/>
      <c r="F133" s="353"/>
      <c r="G133" s="353"/>
    </row>
    <row r="134" spans="1:7" ht="9.75" customHeight="1">
      <c r="A134" s="353"/>
      <c r="B134" s="353"/>
      <c r="C134" s="463"/>
      <c r="D134" s="463"/>
      <c r="E134" s="463"/>
      <c r="F134" s="353"/>
      <c r="G134" s="353"/>
    </row>
    <row r="135" spans="1:7" ht="9.75" customHeight="1">
      <c r="A135" s="353"/>
      <c r="B135" s="353"/>
      <c r="C135" s="463"/>
      <c r="D135" s="463"/>
      <c r="E135" s="463"/>
      <c r="F135" s="353"/>
      <c r="G135" s="353"/>
    </row>
    <row r="136" spans="1:7" ht="9.75" customHeight="1">
      <c r="A136" s="353"/>
      <c r="B136" s="353"/>
      <c r="C136" s="463"/>
      <c r="D136" s="463"/>
      <c r="E136" s="463"/>
      <c r="F136" s="353"/>
      <c r="G136" s="353"/>
    </row>
    <row r="137" spans="1:7" ht="9.75" customHeight="1">
      <c r="A137" s="353"/>
      <c r="B137" s="353"/>
      <c r="C137" s="463"/>
      <c r="D137" s="463"/>
      <c r="E137" s="463"/>
      <c r="F137" s="353"/>
      <c r="G137" s="353"/>
    </row>
    <row r="138" spans="1:7" ht="9.75" customHeight="1">
      <c r="A138" s="353"/>
      <c r="B138" s="353"/>
      <c r="C138" s="463"/>
      <c r="D138" s="463"/>
      <c r="E138" s="463"/>
      <c r="F138" s="353"/>
      <c r="G138" s="353"/>
    </row>
    <row r="139" spans="1:7" ht="9.75" customHeight="1">
      <c r="A139" s="353"/>
      <c r="B139" s="353"/>
      <c r="C139" s="463"/>
      <c r="D139" s="463"/>
      <c r="E139" s="463"/>
      <c r="F139" s="353"/>
      <c r="G139" s="353"/>
    </row>
    <row r="140" spans="1:7" ht="9.75" customHeight="1">
      <c r="A140" s="353"/>
      <c r="B140" s="353"/>
      <c r="C140" s="463"/>
      <c r="D140" s="463"/>
      <c r="E140" s="463"/>
      <c r="F140" s="353"/>
      <c r="G140" s="353"/>
    </row>
    <row r="141" spans="1:7" ht="9.75" customHeight="1">
      <c r="A141" s="353"/>
      <c r="B141" s="353"/>
      <c r="C141" s="463"/>
      <c r="D141" s="463"/>
      <c r="E141" s="463"/>
      <c r="F141" s="353"/>
      <c r="G141" s="353"/>
    </row>
    <row r="142" spans="1:7" ht="9.75" customHeight="1">
      <c r="A142" s="353"/>
      <c r="B142" s="353"/>
      <c r="C142" s="463"/>
      <c r="D142" s="463"/>
      <c r="E142" s="463"/>
      <c r="F142" s="353"/>
      <c r="G142" s="353"/>
    </row>
    <row r="143" spans="1:7" ht="9.75" customHeight="1">
      <c r="A143" s="353"/>
      <c r="B143" s="353"/>
      <c r="C143" s="463"/>
      <c r="D143" s="463"/>
      <c r="E143" s="463"/>
      <c r="F143" s="353"/>
      <c r="G143" s="353"/>
    </row>
    <row r="144" spans="1:7" ht="9.75" customHeight="1">
      <c r="A144" s="353"/>
      <c r="B144" s="353"/>
      <c r="C144" s="463"/>
      <c r="D144" s="463"/>
      <c r="E144" s="463"/>
      <c r="F144" s="353"/>
      <c r="G144" s="353"/>
    </row>
    <row r="145" spans="1:7" ht="9.75" customHeight="1">
      <c r="A145" s="353"/>
      <c r="B145" s="353"/>
      <c r="C145" s="463"/>
      <c r="D145" s="463"/>
      <c r="E145" s="463"/>
      <c r="F145" s="353"/>
      <c r="G145" s="353"/>
    </row>
    <row r="146" spans="1:7" ht="9.75" customHeight="1">
      <c r="A146" s="353"/>
      <c r="B146" s="353"/>
      <c r="C146" s="463"/>
      <c r="D146" s="463"/>
      <c r="E146" s="463"/>
      <c r="F146" s="353"/>
      <c r="G146" s="353"/>
    </row>
    <row r="147" spans="1:7" ht="9.75" customHeight="1">
      <c r="A147" s="353"/>
      <c r="B147" s="353"/>
      <c r="C147" s="463"/>
      <c r="D147" s="463"/>
      <c r="E147" s="463"/>
      <c r="F147" s="353"/>
      <c r="G147" s="353"/>
    </row>
    <row r="148" spans="1:7" ht="9.75" customHeight="1">
      <c r="A148" s="353"/>
      <c r="B148" s="353"/>
      <c r="C148" s="463"/>
      <c r="D148" s="463"/>
      <c r="E148" s="463"/>
      <c r="F148" s="353"/>
      <c r="G148" s="353"/>
    </row>
    <row r="149" spans="1:7" ht="9.75" customHeight="1">
      <c r="A149" s="353"/>
      <c r="B149" s="353"/>
      <c r="C149" s="463"/>
      <c r="D149" s="463"/>
      <c r="E149" s="463"/>
      <c r="F149" s="353"/>
      <c r="G149" s="353"/>
    </row>
    <row r="150" spans="1:7" ht="9.75" customHeight="1">
      <c r="A150" s="353"/>
      <c r="B150" s="353"/>
      <c r="C150" s="463"/>
      <c r="D150" s="463"/>
      <c r="E150" s="463"/>
      <c r="F150" s="353"/>
      <c r="G150" s="353"/>
    </row>
    <row r="151" spans="1:7" ht="9.75" customHeight="1">
      <c r="A151" s="353"/>
      <c r="B151" s="353"/>
      <c r="C151" s="463"/>
      <c r="D151" s="463"/>
      <c r="E151" s="463"/>
      <c r="F151" s="353"/>
      <c r="G151" s="353"/>
    </row>
    <row r="152" spans="1:7" ht="9.75" customHeight="1">
      <c r="A152" s="353"/>
      <c r="B152" s="353"/>
      <c r="C152" s="463"/>
      <c r="D152" s="463"/>
      <c r="E152" s="463"/>
      <c r="F152" s="353"/>
      <c r="G152" s="353"/>
    </row>
    <row r="153" spans="1:7" ht="9.75" customHeight="1">
      <c r="A153" s="353"/>
      <c r="B153" s="353"/>
      <c r="C153" s="463"/>
      <c r="D153" s="463"/>
      <c r="E153" s="463"/>
      <c r="F153" s="353"/>
      <c r="G153" s="353"/>
    </row>
    <row r="154" spans="1:7" ht="9.75" customHeight="1">
      <c r="A154" s="353"/>
      <c r="B154" s="353"/>
      <c r="C154" s="463"/>
      <c r="D154" s="463"/>
      <c r="E154" s="463"/>
      <c r="F154" s="353"/>
      <c r="G154" s="353"/>
    </row>
    <row r="155" spans="1:7" ht="9.75" customHeight="1">
      <c r="A155" s="353"/>
      <c r="B155" s="353"/>
      <c r="C155" s="463"/>
      <c r="D155" s="463"/>
      <c r="E155" s="463"/>
      <c r="F155" s="353"/>
      <c r="G155" s="353"/>
    </row>
    <row r="156" spans="1:7" ht="9.75" customHeight="1">
      <c r="A156" s="353"/>
      <c r="B156" s="353"/>
      <c r="C156" s="463"/>
      <c r="D156" s="463"/>
      <c r="E156" s="463"/>
      <c r="F156" s="353"/>
      <c r="G156" s="353"/>
    </row>
    <row r="157" spans="1:7" ht="9.75" customHeight="1">
      <c r="A157" s="353"/>
      <c r="B157" s="353"/>
      <c r="C157" s="463"/>
      <c r="D157" s="463"/>
      <c r="E157" s="463"/>
      <c r="F157" s="353"/>
      <c r="G157" s="353"/>
    </row>
    <row r="158" spans="1:7" ht="9.75" customHeight="1">
      <c r="A158" s="353"/>
      <c r="B158" s="353"/>
      <c r="C158" s="463"/>
      <c r="D158" s="463"/>
      <c r="E158" s="463"/>
      <c r="F158" s="353"/>
      <c r="G158" s="353"/>
    </row>
    <row r="159" spans="1:7" ht="9.75" customHeight="1">
      <c r="A159" s="353"/>
      <c r="B159" s="353"/>
      <c r="C159" s="463"/>
      <c r="D159" s="463"/>
      <c r="E159" s="463"/>
      <c r="F159" s="353"/>
      <c r="G159" s="353"/>
    </row>
    <row r="160" spans="1:7" ht="9.75" customHeight="1">
      <c r="A160" s="353"/>
      <c r="B160" s="353"/>
      <c r="C160" s="463"/>
      <c r="D160" s="463"/>
      <c r="E160" s="463"/>
      <c r="F160" s="353"/>
      <c r="G160" s="353"/>
    </row>
    <row r="161" spans="1:7" ht="9.75" customHeight="1">
      <c r="A161" s="353"/>
      <c r="B161" s="353"/>
      <c r="C161" s="463"/>
      <c r="D161" s="463"/>
      <c r="E161" s="463"/>
      <c r="F161" s="353"/>
      <c r="G161" s="353"/>
    </row>
    <row r="162" spans="1:7" ht="9.75" customHeight="1">
      <c r="A162" s="353"/>
      <c r="B162" s="353"/>
      <c r="C162" s="463"/>
      <c r="D162" s="463"/>
      <c r="E162" s="463"/>
      <c r="F162" s="353"/>
      <c r="G162" s="353"/>
    </row>
    <row r="163" spans="1:7" ht="9.75" customHeight="1">
      <c r="A163" s="353"/>
      <c r="B163" s="353"/>
      <c r="C163" s="463"/>
      <c r="D163" s="463"/>
      <c r="E163" s="463"/>
      <c r="F163" s="353"/>
      <c r="G163" s="353"/>
    </row>
    <row r="164" spans="1:7" ht="9.75" customHeight="1">
      <c r="A164" s="353"/>
      <c r="B164" s="353"/>
      <c r="C164" s="463"/>
      <c r="D164" s="463"/>
      <c r="E164" s="463"/>
      <c r="F164" s="353"/>
      <c r="G164" s="353"/>
    </row>
    <row r="165" spans="1:7" ht="9.75" customHeight="1">
      <c r="A165" s="353"/>
      <c r="B165" s="353"/>
      <c r="C165" s="463"/>
      <c r="D165" s="463"/>
      <c r="E165" s="463"/>
      <c r="F165" s="353"/>
      <c r="G165" s="353"/>
    </row>
    <row r="166" spans="1:7" ht="9.75" customHeight="1">
      <c r="A166" s="353"/>
      <c r="B166" s="353"/>
      <c r="C166" s="463"/>
      <c r="D166" s="463"/>
      <c r="E166" s="463"/>
      <c r="F166" s="353"/>
      <c r="G166" s="353"/>
    </row>
    <row r="167" spans="1:7" ht="9.75" customHeight="1">
      <c r="A167" s="353"/>
      <c r="B167" s="353"/>
      <c r="C167" s="463"/>
      <c r="D167" s="463"/>
      <c r="E167" s="463"/>
      <c r="F167" s="353"/>
      <c r="G167" s="353"/>
    </row>
    <row r="168" spans="1:7" ht="9.75" customHeight="1">
      <c r="A168" s="353"/>
      <c r="B168" s="353"/>
      <c r="C168" s="463"/>
      <c r="D168" s="463"/>
      <c r="E168" s="463"/>
      <c r="F168" s="353"/>
      <c r="G168" s="353"/>
    </row>
    <row r="169" spans="1:7" ht="9.75" customHeight="1">
      <c r="A169" s="353"/>
      <c r="B169" s="353"/>
      <c r="C169" s="463"/>
      <c r="D169" s="463"/>
      <c r="E169" s="463"/>
      <c r="F169" s="353"/>
      <c r="G169" s="353"/>
    </row>
    <row r="170" spans="1:7" ht="9.75" customHeight="1">
      <c r="A170" s="353"/>
      <c r="B170" s="353"/>
      <c r="C170" s="463"/>
      <c r="D170" s="463"/>
      <c r="E170" s="463"/>
      <c r="F170" s="353"/>
      <c r="G170" s="353"/>
    </row>
    <row r="171" spans="1:7" ht="9.75" customHeight="1">
      <c r="A171" s="353"/>
      <c r="B171" s="353"/>
      <c r="C171" s="463"/>
      <c r="D171" s="463"/>
      <c r="E171" s="463"/>
      <c r="F171" s="353"/>
      <c r="G171" s="353"/>
    </row>
    <row r="172" spans="1:7" ht="9.75" customHeight="1">
      <c r="A172" s="353"/>
      <c r="B172" s="353"/>
      <c r="C172" s="353"/>
      <c r="D172" s="353"/>
      <c r="E172" s="353"/>
      <c r="F172" s="353"/>
      <c r="G172" s="353"/>
    </row>
    <row r="173" spans="1:7" ht="9.75" customHeight="1">
      <c r="A173" s="353"/>
      <c r="B173" s="353"/>
      <c r="C173" s="353"/>
      <c r="D173" s="353"/>
      <c r="E173" s="353"/>
      <c r="F173" s="353"/>
      <c r="G173" s="353"/>
    </row>
    <row r="174" spans="1:7" ht="9.75" customHeight="1">
      <c r="A174" s="353"/>
      <c r="B174" s="353"/>
      <c r="C174" s="353"/>
      <c r="D174" s="353"/>
      <c r="E174" s="353"/>
      <c r="F174" s="353"/>
      <c r="G174" s="353"/>
    </row>
    <row r="175" spans="1:7" ht="9.75" customHeight="1">
      <c r="A175" s="353"/>
      <c r="B175" s="353"/>
      <c r="C175" s="353"/>
      <c r="D175" s="353"/>
      <c r="E175" s="353"/>
      <c r="F175" s="353"/>
      <c r="G175" s="353"/>
    </row>
    <row r="176" spans="1:7" ht="9.75" customHeight="1">
      <c r="A176" s="353"/>
      <c r="B176" s="353"/>
      <c r="C176" s="353"/>
      <c r="D176" s="353"/>
      <c r="E176" s="353"/>
      <c r="F176" s="353"/>
      <c r="G176" s="353"/>
    </row>
    <row r="177" spans="1:7" ht="9.75" customHeight="1">
      <c r="A177" s="353"/>
      <c r="B177" s="353"/>
      <c r="C177" s="353"/>
      <c r="D177" s="353"/>
      <c r="E177" s="353"/>
      <c r="F177" s="353"/>
      <c r="G177" s="353"/>
    </row>
    <row r="178" spans="1:7" ht="9.75" customHeight="1">
      <c r="A178" s="353"/>
      <c r="B178" s="353"/>
      <c r="C178" s="353"/>
      <c r="D178" s="353"/>
      <c r="E178" s="353"/>
      <c r="F178" s="353"/>
      <c r="G178" s="353"/>
    </row>
    <row r="179" spans="1:7" ht="9.75" customHeight="1">
      <c r="A179" s="353"/>
      <c r="B179" s="353"/>
      <c r="C179" s="353"/>
      <c r="D179" s="353"/>
      <c r="E179" s="353"/>
      <c r="F179" s="353"/>
      <c r="G179" s="353"/>
    </row>
    <row r="180" spans="1:7" ht="9.75" customHeight="1">
      <c r="A180" s="353"/>
      <c r="B180" s="353"/>
      <c r="C180" s="353"/>
      <c r="D180" s="353"/>
      <c r="E180" s="353"/>
      <c r="F180" s="353"/>
      <c r="G180" s="353"/>
    </row>
  </sheetData>
  <mergeCells count="5">
    <mergeCell ref="A2:A5"/>
    <mergeCell ref="B2:B5"/>
    <mergeCell ref="C2:F2"/>
    <mergeCell ref="C3:E3"/>
    <mergeCell ref="F3:F4"/>
  </mergeCells>
  <pageMargins left="0.70866141732283472" right="0.47244094488188981" top="1.0236220472440944" bottom="0.62992125984251968" header="0.31496062992125984" footer="0.31496062992125984"/>
  <pageSetup paperSize="9" scale="89" orientation="portrait" r:id="rId1"/>
  <headerFooter>
    <oddHeader>&amp;R&amp;7Informe de la Operación Mensual-Octubre 2019
INFSGI-MES-10-2019
18/10/2019
Versión: 01</oddHeader>
    <oddFooter>&amp;L&amp;7COES, 2019&amp;C18&amp;R&amp;7Dirección Ejecutiva
Sub Dirección de Gestión de Información</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1">
    <tabColor theme="4"/>
  </sheetPr>
  <dimension ref="A1:H107"/>
  <sheetViews>
    <sheetView showGridLines="0" view="pageBreakPreview" zoomScale="120" zoomScaleNormal="100" zoomScaleSheetLayoutView="120" zoomScalePageLayoutView="130" workbookViewId="0">
      <selection activeCell="M12" sqref="M12"/>
    </sheetView>
  </sheetViews>
  <sheetFormatPr defaultColWidth="9.33203125" defaultRowHeight="11.25"/>
  <cols>
    <col min="1" max="1" width="22.83203125" customWidth="1"/>
    <col min="2" max="2" width="21.33203125" customWidth="1"/>
    <col min="3" max="3" width="16.5" customWidth="1"/>
    <col min="4" max="4" width="18.5" customWidth="1"/>
    <col min="5" max="5" width="10.33203125" customWidth="1"/>
    <col min="6" max="6" width="12.5" customWidth="1"/>
    <col min="7" max="7" width="16.1640625" bestFit="1" customWidth="1"/>
    <col min="8" max="8" width="13" bestFit="1" customWidth="1"/>
  </cols>
  <sheetData>
    <row r="1" spans="1:8" ht="17.25" customHeight="1">
      <c r="A1" s="971" t="s">
        <v>261</v>
      </c>
      <c r="B1" s="974" t="s">
        <v>55</v>
      </c>
      <c r="C1" s="977" t="str">
        <f>+'18. ANEXOI-1'!C2:F2</f>
        <v>ENERGÍA PRODUCIDA OCTUBRE 2019</v>
      </c>
      <c r="D1" s="977"/>
      <c r="E1" s="977"/>
      <c r="F1" s="977"/>
      <c r="G1" s="692" t="s">
        <v>287</v>
      </c>
      <c r="H1" s="203"/>
    </row>
    <row r="2" spans="1:8" ht="11.25" customHeight="1">
      <c r="A2" s="972"/>
      <c r="B2" s="975"/>
      <c r="C2" s="978" t="s">
        <v>288</v>
      </c>
      <c r="D2" s="978"/>
      <c r="E2" s="978"/>
      <c r="F2" s="979" t="str">
        <f>"TOTAL 
"&amp;UPPER('1. Resumen'!Q4)</f>
        <v>TOTAL 
OCTUBRE</v>
      </c>
      <c r="G2" s="693" t="s">
        <v>289</v>
      </c>
      <c r="H2" s="194"/>
    </row>
    <row r="3" spans="1:8" ht="11.25" customHeight="1">
      <c r="A3" s="972"/>
      <c r="B3" s="975"/>
      <c r="C3" s="682" t="s">
        <v>222</v>
      </c>
      <c r="D3" s="682" t="s">
        <v>223</v>
      </c>
      <c r="E3" s="682" t="s">
        <v>290</v>
      </c>
      <c r="F3" s="980"/>
      <c r="G3" s="693">
        <v>2019</v>
      </c>
      <c r="H3" s="196"/>
    </row>
    <row r="4" spans="1:8" ht="11.25" customHeight="1">
      <c r="A4" s="981"/>
      <c r="B4" s="982"/>
      <c r="C4" s="683" t="s">
        <v>291</v>
      </c>
      <c r="D4" s="683" t="s">
        <v>291</v>
      </c>
      <c r="E4" s="683" t="s">
        <v>291</v>
      </c>
      <c r="F4" s="683" t="s">
        <v>291</v>
      </c>
      <c r="G4" s="694" t="s">
        <v>210</v>
      </c>
      <c r="H4" s="196"/>
    </row>
    <row r="5" spans="1:8" ht="10.5" customHeight="1">
      <c r="A5" s="740" t="s">
        <v>88</v>
      </c>
      <c r="B5" s="685" t="s">
        <v>343</v>
      </c>
      <c r="C5" s="686">
        <v>29153.527569999998</v>
      </c>
      <c r="D5" s="686"/>
      <c r="E5" s="686"/>
      <c r="F5" s="686">
        <v>29153.527569999998</v>
      </c>
      <c r="G5" s="746">
        <v>444372.82017249992</v>
      </c>
    </row>
    <row r="6" spans="1:8" ht="10.5" customHeight="1">
      <c r="A6" s="740"/>
      <c r="B6" s="685" t="s">
        <v>344</v>
      </c>
      <c r="C6" s="686">
        <v>63409.439735000007</v>
      </c>
      <c r="D6" s="686"/>
      <c r="E6" s="686"/>
      <c r="F6" s="686">
        <v>63409.439735000007</v>
      </c>
      <c r="G6" s="746">
        <v>721644.74995999993</v>
      </c>
    </row>
    <row r="7" spans="1:8" ht="10.5" customHeight="1">
      <c r="A7" s="740"/>
      <c r="B7" s="685" t="s">
        <v>345</v>
      </c>
      <c r="C7" s="686"/>
      <c r="D7" s="686">
        <v>506425.46468000003</v>
      </c>
      <c r="E7" s="686"/>
      <c r="F7" s="686">
        <v>506425.46468000003</v>
      </c>
      <c r="G7" s="746">
        <v>3698630.1832800005</v>
      </c>
    </row>
    <row r="8" spans="1:8" ht="10.5" customHeight="1">
      <c r="A8" s="740"/>
      <c r="B8" s="685" t="s">
        <v>346</v>
      </c>
      <c r="C8" s="686"/>
      <c r="D8" s="686">
        <v>50220.153064999999</v>
      </c>
      <c r="E8" s="686"/>
      <c r="F8" s="686">
        <v>50220.153064999999</v>
      </c>
      <c r="G8" s="746">
        <v>368563.57895249996</v>
      </c>
    </row>
    <row r="9" spans="1:8" ht="10.5" customHeight="1">
      <c r="A9" s="740"/>
      <c r="B9" s="685" t="s">
        <v>347</v>
      </c>
      <c r="C9" s="686"/>
      <c r="D9" s="686">
        <v>8600.8893575000002</v>
      </c>
      <c r="E9" s="686"/>
      <c r="F9" s="686">
        <v>8600.8893575000002</v>
      </c>
      <c r="G9" s="746">
        <v>36149.195487499994</v>
      </c>
    </row>
    <row r="10" spans="1:8" ht="10.5" customHeight="1">
      <c r="A10" s="740"/>
      <c r="B10" s="685" t="s">
        <v>348</v>
      </c>
      <c r="C10" s="686"/>
      <c r="D10" s="686">
        <v>468.5455475</v>
      </c>
      <c r="E10" s="686"/>
      <c r="F10" s="686">
        <v>468.5455475</v>
      </c>
      <c r="G10" s="746">
        <v>3188.9138825</v>
      </c>
    </row>
    <row r="11" spans="1:8" ht="10.5" customHeight="1">
      <c r="A11" s="740"/>
      <c r="B11" s="685" t="s">
        <v>349</v>
      </c>
      <c r="C11" s="686"/>
      <c r="D11" s="686">
        <v>367.63881249999997</v>
      </c>
      <c r="E11" s="686"/>
      <c r="F11" s="686">
        <v>367.63881249999997</v>
      </c>
      <c r="G11" s="746">
        <v>5738.4973800000007</v>
      </c>
    </row>
    <row r="12" spans="1:8" ht="10.5" customHeight="1">
      <c r="A12" s="740"/>
      <c r="B12" s="685" t="s">
        <v>517</v>
      </c>
      <c r="C12" s="686"/>
      <c r="D12" s="686"/>
      <c r="E12" s="686">
        <v>10980.26924</v>
      </c>
      <c r="F12" s="686">
        <v>10980.26924</v>
      </c>
      <c r="G12" s="746">
        <v>83689.499619999988</v>
      </c>
    </row>
    <row r="13" spans="1:8" ht="10.5" customHeight="1">
      <c r="A13" s="742" t="s">
        <v>350</v>
      </c>
      <c r="B13" s="560"/>
      <c r="C13" s="561">
        <v>92562.967304999998</v>
      </c>
      <c r="D13" s="561">
        <v>566082.69146250014</v>
      </c>
      <c r="E13" s="561">
        <v>10980.26924</v>
      </c>
      <c r="F13" s="561">
        <v>669625.92800750013</v>
      </c>
      <c r="G13" s="747">
        <v>5361977.4387349989</v>
      </c>
    </row>
    <row r="14" spans="1:8" ht="10.5" customHeight="1">
      <c r="A14" s="740" t="s">
        <v>250</v>
      </c>
      <c r="B14" s="685" t="s">
        <v>351</v>
      </c>
      <c r="C14" s="686"/>
      <c r="D14" s="686">
        <v>347316.74387499999</v>
      </c>
      <c r="E14" s="686"/>
      <c r="F14" s="686">
        <v>347316.74387499999</v>
      </c>
      <c r="G14" s="746">
        <v>3401597.8333624997</v>
      </c>
    </row>
    <row r="15" spans="1:8" ht="10.5" customHeight="1">
      <c r="A15" s="742" t="s">
        <v>352</v>
      </c>
      <c r="B15" s="560"/>
      <c r="C15" s="561"/>
      <c r="D15" s="561">
        <v>347316.74387499999</v>
      </c>
      <c r="E15" s="561"/>
      <c r="F15" s="561">
        <v>347316.74387499999</v>
      </c>
      <c r="G15" s="747">
        <v>3401597.8333624997</v>
      </c>
    </row>
    <row r="16" spans="1:8" ht="10.5" customHeight="1">
      <c r="A16" s="740" t="s">
        <v>109</v>
      </c>
      <c r="B16" s="685" t="s">
        <v>67</v>
      </c>
      <c r="C16" s="686"/>
      <c r="D16" s="686"/>
      <c r="E16" s="686">
        <v>5330.2760975000001</v>
      </c>
      <c r="F16" s="686">
        <v>5330.2760975000001</v>
      </c>
      <c r="G16" s="746">
        <v>47742.655587499998</v>
      </c>
    </row>
    <row r="17" spans="1:7" ht="10.5" customHeight="1">
      <c r="A17" s="740"/>
      <c r="B17" s="685" t="s">
        <v>484</v>
      </c>
      <c r="C17" s="686"/>
      <c r="D17" s="686"/>
      <c r="E17" s="686">
        <v>5101.3568324999997</v>
      </c>
      <c r="F17" s="686">
        <v>5101.3568324999997</v>
      </c>
      <c r="G17" s="746">
        <v>54256.738377500013</v>
      </c>
    </row>
    <row r="18" spans="1:7" ht="10.5" customHeight="1">
      <c r="A18" s="740"/>
      <c r="B18" s="685" t="s">
        <v>482</v>
      </c>
      <c r="C18" s="686"/>
      <c r="D18" s="686"/>
      <c r="E18" s="686">
        <v>6211.4726250000003</v>
      </c>
      <c r="F18" s="686">
        <v>6211.4726250000003</v>
      </c>
      <c r="G18" s="746">
        <v>62405.850307500004</v>
      </c>
    </row>
    <row r="19" spans="1:7" ht="10.5" customHeight="1">
      <c r="A19" s="740"/>
      <c r="B19" s="685" t="s">
        <v>483</v>
      </c>
      <c r="C19" s="686"/>
      <c r="D19" s="686"/>
      <c r="E19" s="686">
        <v>5643.3170725</v>
      </c>
      <c r="F19" s="686">
        <v>5643.3170725</v>
      </c>
      <c r="G19" s="746">
        <v>61303.09565000001</v>
      </c>
    </row>
    <row r="20" spans="1:7" ht="10.5" customHeight="1">
      <c r="A20" s="742" t="s">
        <v>353</v>
      </c>
      <c r="B20" s="560"/>
      <c r="C20" s="561"/>
      <c r="D20" s="561"/>
      <c r="E20" s="561">
        <v>22286.422627500004</v>
      </c>
      <c r="F20" s="561">
        <v>22286.422627500004</v>
      </c>
      <c r="G20" s="747">
        <v>225708.33992250002</v>
      </c>
    </row>
    <row r="21" spans="1:7" ht="10.5" customHeight="1">
      <c r="A21" s="740" t="s">
        <v>112</v>
      </c>
      <c r="B21" s="685" t="s">
        <v>244</v>
      </c>
      <c r="C21" s="686"/>
      <c r="D21" s="686"/>
      <c r="E21" s="686">
        <v>3979.1125000000002</v>
      </c>
      <c r="F21" s="686">
        <v>3979.1125000000002</v>
      </c>
      <c r="G21" s="746">
        <v>36287.758564999996</v>
      </c>
    </row>
    <row r="22" spans="1:7" ht="10.5" customHeight="1">
      <c r="A22" s="742" t="s">
        <v>354</v>
      </c>
      <c r="B22" s="560"/>
      <c r="C22" s="561"/>
      <c r="D22" s="561"/>
      <c r="E22" s="561">
        <v>3979.1125000000002</v>
      </c>
      <c r="F22" s="561">
        <v>3979.1125000000002</v>
      </c>
      <c r="G22" s="747">
        <v>36287.758564999996</v>
      </c>
    </row>
    <row r="23" spans="1:7" ht="10.5" customHeight="1">
      <c r="A23" s="740" t="s">
        <v>113</v>
      </c>
      <c r="B23" s="685" t="s">
        <v>83</v>
      </c>
      <c r="C23" s="686"/>
      <c r="D23" s="686"/>
      <c r="E23" s="686">
        <v>3887.4629825000002</v>
      </c>
      <c r="F23" s="686">
        <v>3887.4629825000002</v>
      </c>
      <c r="G23" s="746">
        <v>35540.586712499993</v>
      </c>
    </row>
    <row r="24" spans="1:7" ht="10.5" customHeight="1">
      <c r="A24" s="742" t="s">
        <v>355</v>
      </c>
      <c r="B24" s="560"/>
      <c r="C24" s="561"/>
      <c r="D24" s="561"/>
      <c r="E24" s="561">
        <v>3887.4629825000002</v>
      </c>
      <c r="F24" s="561">
        <v>3887.4629825000002</v>
      </c>
      <c r="G24" s="747">
        <v>35540.586712499993</v>
      </c>
    </row>
    <row r="25" spans="1:7" ht="10.5" customHeight="1">
      <c r="A25" s="740" t="s">
        <v>117</v>
      </c>
      <c r="B25" s="685" t="s">
        <v>75</v>
      </c>
      <c r="C25" s="686"/>
      <c r="D25" s="686"/>
      <c r="E25" s="686">
        <v>2454.1</v>
      </c>
      <c r="F25" s="686">
        <v>2454.1</v>
      </c>
      <c r="G25" s="746">
        <v>23515.70000000011</v>
      </c>
    </row>
    <row r="26" spans="1:7" ht="10.5" customHeight="1">
      <c r="A26" s="742" t="s">
        <v>356</v>
      </c>
      <c r="B26" s="560"/>
      <c r="C26" s="561"/>
      <c r="D26" s="561"/>
      <c r="E26" s="561">
        <v>2454.1</v>
      </c>
      <c r="F26" s="561">
        <v>2454.1</v>
      </c>
      <c r="G26" s="747">
        <v>23515.70000000011</v>
      </c>
    </row>
    <row r="27" spans="1:7" ht="10.5" customHeight="1">
      <c r="A27" s="740" t="s">
        <v>104</v>
      </c>
      <c r="B27" s="685" t="s">
        <v>357</v>
      </c>
      <c r="C27" s="686">
        <v>12929.278877500001</v>
      </c>
      <c r="D27" s="686"/>
      <c r="E27" s="686"/>
      <c r="F27" s="686">
        <v>12929.278877500001</v>
      </c>
      <c r="G27" s="746">
        <v>131333.90391749996</v>
      </c>
    </row>
    <row r="28" spans="1:7" ht="10.5" customHeight="1">
      <c r="A28" s="742" t="s">
        <v>358</v>
      </c>
      <c r="B28" s="560"/>
      <c r="C28" s="561">
        <v>12929.278877500001</v>
      </c>
      <c r="D28" s="561"/>
      <c r="E28" s="561"/>
      <c r="F28" s="561">
        <v>12929.278877500001</v>
      </c>
      <c r="G28" s="747">
        <v>131333.90391749996</v>
      </c>
    </row>
    <row r="29" spans="1:7" ht="20.25" customHeight="1">
      <c r="A29" s="755" t="s">
        <v>501</v>
      </c>
      <c r="B29" s="697" t="s">
        <v>359</v>
      </c>
      <c r="C29" s="698">
        <v>9722.9389100000008</v>
      </c>
      <c r="D29" s="698"/>
      <c r="E29" s="698"/>
      <c r="F29" s="698">
        <v>9722.9389100000008</v>
      </c>
      <c r="G29" s="756">
        <v>114144.66966500001</v>
      </c>
    </row>
    <row r="30" spans="1:7" ht="10.5" customHeight="1">
      <c r="A30" s="742" t="s">
        <v>496</v>
      </c>
      <c r="B30" s="560"/>
      <c r="C30" s="561">
        <v>9722.9389100000008</v>
      </c>
      <c r="D30" s="561"/>
      <c r="E30" s="561"/>
      <c r="F30" s="561">
        <v>9722.9389100000008</v>
      </c>
      <c r="G30" s="747">
        <v>114144.66966500001</v>
      </c>
    </row>
    <row r="31" spans="1:7" ht="10.5" customHeight="1">
      <c r="A31" s="740" t="s">
        <v>251</v>
      </c>
      <c r="B31" s="685" t="s">
        <v>60</v>
      </c>
      <c r="C31" s="686"/>
      <c r="D31" s="686"/>
      <c r="E31" s="686">
        <v>12249.863584999999</v>
      </c>
      <c r="F31" s="686">
        <v>12249.863584999999</v>
      </c>
      <c r="G31" s="746">
        <v>112920.88440749999</v>
      </c>
    </row>
    <row r="32" spans="1:7" ht="10.5" customHeight="1">
      <c r="A32" s="742" t="s">
        <v>360</v>
      </c>
      <c r="B32" s="560"/>
      <c r="C32" s="561"/>
      <c r="D32" s="561"/>
      <c r="E32" s="561">
        <v>12249.863584999999</v>
      </c>
      <c r="F32" s="561">
        <v>12249.863584999999</v>
      </c>
      <c r="G32" s="747">
        <v>112920.88440749999</v>
      </c>
    </row>
    <row r="33" spans="1:8" ht="10.5" customHeight="1">
      <c r="A33" s="740" t="s">
        <v>758</v>
      </c>
      <c r="B33" s="685" t="s">
        <v>609</v>
      </c>
      <c r="C33" s="686">
        <v>410.327</v>
      </c>
      <c r="D33" s="686"/>
      <c r="E33" s="686"/>
      <c r="F33" s="686">
        <v>410.327</v>
      </c>
      <c r="G33" s="746">
        <v>3944.5837500000007</v>
      </c>
    </row>
    <row r="34" spans="1:8" ht="10.5" customHeight="1">
      <c r="A34" s="742" t="s">
        <v>486</v>
      </c>
      <c r="B34" s="560"/>
      <c r="C34" s="561">
        <v>410.327</v>
      </c>
      <c r="D34" s="561"/>
      <c r="E34" s="561"/>
      <c r="F34" s="561">
        <v>410.327</v>
      </c>
      <c r="G34" s="747">
        <v>3944.5837500000007</v>
      </c>
    </row>
    <row r="35" spans="1:8" ht="10.5" customHeight="1">
      <c r="A35" s="740" t="s">
        <v>519</v>
      </c>
      <c r="B35" s="685" t="s">
        <v>524</v>
      </c>
      <c r="C35" s="686">
        <v>46583.9023075</v>
      </c>
      <c r="D35" s="686"/>
      <c r="E35" s="686"/>
      <c r="F35" s="686">
        <v>46583.9023075</v>
      </c>
      <c r="G35" s="746">
        <v>543565.3618500001</v>
      </c>
    </row>
    <row r="36" spans="1:8" ht="10.5" customHeight="1">
      <c r="A36" s="742" t="s">
        <v>525</v>
      </c>
      <c r="B36" s="560"/>
      <c r="C36" s="561">
        <v>46583.9023075</v>
      </c>
      <c r="D36" s="561"/>
      <c r="E36" s="561"/>
      <c r="F36" s="561">
        <v>46583.9023075</v>
      </c>
      <c r="G36" s="747">
        <v>543565.3618500001</v>
      </c>
    </row>
    <row r="37" spans="1:8" ht="10.5" customHeight="1">
      <c r="A37" s="757" t="s">
        <v>119</v>
      </c>
      <c r="B37" s="461" t="s">
        <v>361</v>
      </c>
      <c r="C37" s="462"/>
      <c r="D37" s="462">
        <v>266.61714749999999</v>
      </c>
      <c r="E37" s="462"/>
      <c r="F37" s="462">
        <v>266.61714749999999</v>
      </c>
      <c r="G37" s="758">
        <v>588.657195</v>
      </c>
    </row>
    <row r="38" spans="1:8" ht="10.5" customHeight="1">
      <c r="A38" s="759"/>
      <c r="B38" s="685" t="s">
        <v>362</v>
      </c>
      <c r="C38" s="686"/>
      <c r="D38" s="686">
        <v>643.29461500000002</v>
      </c>
      <c r="E38" s="686"/>
      <c r="F38" s="686">
        <v>643.29461500000002</v>
      </c>
      <c r="G38" s="746">
        <v>2089.79819</v>
      </c>
    </row>
    <row r="39" spans="1:8" ht="10.5" customHeight="1">
      <c r="A39" s="742" t="s">
        <v>363</v>
      </c>
      <c r="B39" s="560"/>
      <c r="C39" s="561"/>
      <c r="D39" s="561">
        <v>909.91176250000001</v>
      </c>
      <c r="E39" s="561"/>
      <c r="F39" s="561">
        <v>909.91176250000001</v>
      </c>
      <c r="G39" s="747">
        <v>2678.4553850000002</v>
      </c>
    </row>
    <row r="40" spans="1:8" ht="10.5" customHeight="1">
      <c r="A40" s="740" t="s">
        <v>478</v>
      </c>
      <c r="B40" s="685" t="s">
        <v>364</v>
      </c>
      <c r="C40" s="686"/>
      <c r="D40" s="686">
        <v>494500.70723</v>
      </c>
      <c r="E40" s="686"/>
      <c r="F40" s="686">
        <v>494500.70723</v>
      </c>
      <c r="G40" s="746">
        <v>3554377.8448299998</v>
      </c>
    </row>
    <row r="41" spans="1:8" ht="10.5" customHeight="1">
      <c r="A41" s="740"/>
      <c r="B41" s="685" t="s">
        <v>365</v>
      </c>
      <c r="C41" s="686"/>
      <c r="D41" s="686">
        <v>87602.624457500002</v>
      </c>
      <c r="E41" s="686"/>
      <c r="F41" s="686">
        <v>87602.624457500002</v>
      </c>
      <c r="G41" s="746">
        <v>503971.03141250007</v>
      </c>
    </row>
    <row r="42" spans="1:8" ht="10.5" customHeight="1">
      <c r="A42" s="759"/>
      <c r="B42" s="685" t="s">
        <v>522</v>
      </c>
      <c r="C42" s="686">
        <v>194301.456465</v>
      </c>
      <c r="D42" s="686"/>
      <c r="E42" s="686"/>
      <c r="F42" s="686">
        <v>194301.456465</v>
      </c>
      <c r="G42" s="746">
        <v>2465836.4005774995</v>
      </c>
    </row>
    <row r="43" spans="1:8" ht="10.5" customHeight="1">
      <c r="A43" s="759"/>
      <c r="B43" s="685" t="s">
        <v>366</v>
      </c>
      <c r="C43" s="686">
        <v>2183.4789449999998</v>
      </c>
      <c r="D43" s="686"/>
      <c r="E43" s="686"/>
      <c r="F43" s="686">
        <v>2183.4789449999998</v>
      </c>
      <c r="G43" s="746">
        <v>42871.212935000003</v>
      </c>
    </row>
    <row r="44" spans="1:8" ht="10.5" customHeight="1">
      <c r="A44" s="742" t="s">
        <v>367</v>
      </c>
      <c r="B44" s="560"/>
      <c r="C44" s="561">
        <v>196484.93541000001</v>
      </c>
      <c r="D44" s="561">
        <v>582103.3316875</v>
      </c>
      <c r="E44" s="561"/>
      <c r="F44" s="561">
        <v>778588.26709750004</v>
      </c>
      <c r="G44" s="747">
        <v>6567056.4897549991</v>
      </c>
    </row>
    <row r="45" spans="1:8" ht="10.5" customHeight="1">
      <c r="A45" s="740" t="s">
        <v>118</v>
      </c>
      <c r="B45" s="685" t="s">
        <v>73</v>
      </c>
      <c r="C45" s="686"/>
      <c r="D45" s="686"/>
      <c r="E45" s="686">
        <v>908.90776249999999</v>
      </c>
      <c r="F45" s="686">
        <v>908.90776249999999</v>
      </c>
      <c r="G45" s="746">
        <v>12194.983305000002</v>
      </c>
    </row>
    <row r="46" spans="1:8" ht="10.5" customHeight="1">
      <c r="A46" s="742" t="s">
        <v>368</v>
      </c>
      <c r="B46" s="560"/>
      <c r="C46" s="561"/>
      <c r="D46" s="561"/>
      <c r="E46" s="561">
        <v>908.90776249999999</v>
      </c>
      <c r="F46" s="561">
        <v>908.90776249999999</v>
      </c>
      <c r="G46" s="747">
        <v>12194.983305000002</v>
      </c>
    </row>
    <row r="47" spans="1:8" ht="10.5" customHeight="1">
      <c r="A47" s="740" t="s">
        <v>111</v>
      </c>
      <c r="B47" s="685" t="s">
        <v>82</v>
      </c>
      <c r="C47" s="686"/>
      <c r="D47" s="686"/>
      <c r="E47" s="686">
        <v>4665.2179999999998</v>
      </c>
      <c r="F47" s="686">
        <v>4665.2179999999998</v>
      </c>
      <c r="G47" s="746">
        <v>38101.689942500001</v>
      </c>
    </row>
    <row r="48" spans="1:8" ht="10.5" customHeight="1">
      <c r="A48" s="742" t="s">
        <v>369</v>
      </c>
      <c r="B48" s="560"/>
      <c r="C48" s="561"/>
      <c r="D48" s="561"/>
      <c r="E48" s="561">
        <v>4665.2179999999998</v>
      </c>
      <c r="F48" s="561">
        <v>4665.2179999999998</v>
      </c>
      <c r="G48" s="747">
        <v>38101.689942500001</v>
      </c>
      <c r="H48" s="383"/>
    </row>
    <row r="49" spans="1:7" ht="10.5" customHeight="1">
      <c r="A49" s="740" t="s">
        <v>252</v>
      </c>
      <c r="B49" s="685" t="s">
        <v>72</v>
      </c>
      <c r="C49" s="686"/>
      <c r="D49" s="686"/>
      <c r="E49" s="686">
        <v>2202.313095</v>
      </c>
      <c r="F49" s="686">
        <v>2202.313095</v>
      </c>
      <c r="G49" s="746">
        <v>27415.623187500001</v>
      </c>
    </row>
    <row r="50" spans="1:7" ht="10.5" customHeight="1">
      <c r="A50" s="740"/>
      <c r="B50" s="685" t="s">
        <v>370</v>
      </c>
      <c r="C50" s="686">
        <v>81443.086572499989</v>
      </c>
      <c r="D50" s="686"/>
      <c r="E50" s="686"/>
      <c r="F50" s="686">
        <v>81443.086572499989</v>
      </c>
      <c r="G50" s="746">
        <v>1139291.7969499999</v>
      </c>
    </row>
    <row r="51" spans="1:7" ht="10.5" customHeight="1">
      <c r="A51" s="740"/>
      <c r="B51" s="685" t="s">
        <v>371</v>
      </c>
      <c r="C51" s="686">
        <v>32038.038372499999</v>
      </c>
      <c r="D51" s="686"/>
      <c r="E51" s="686"/>
      <c r="F51" s="686">
        <v>32038.038372499999</v>
      </c>
      <c r="G51" s="746">
        <v>429896.95686749992</v>
      </c>
    </row>
    <row r="52" spans="1:7" ht="10.5" customHeight="1">
      <c r="A52" s="740"/>
      <c r="B52" s="685" t="s">
        <v>63</v>
      </c>
      <c r="C52" s="686"/>
      <c r="D52" s="686"/>
      <c r="E52" s="686">
        <v>4929.9513349999997</v>
      </c>
      <c r="F52" s="686">
        <v>4929.9513349999997</v>
      </c>
      <c r="G52" s="746">
        <v>57561.139294999964</v>
      </c>
    </row>
    <row r="53" spans="1:7" ht="10.5" customHeight="1">
      <c r="A53" s="742" t="s">
        <v>372</v>
      </c>
      <c r="B53" s="560"/>
      <c r="C53" s="561">
        <v>113481.12494499999</v>
      </c>
      <c r="D53" s="561"/>
      <c r="E53" s="561">
        <v>7132.2644299999993</v>
      </c>
      <c r="F53" s="561">
        <v>120613.389375</v>
      </c>
      <c r="G53" s="747">
        <v>1654165.5162999998</v>
      </c>
    </row>
    <row r="54" spans="1:7" ht="10.5" customHeight="1">
      <c r="A54" s="740" t="s">
        <v>253</v>
      </c>
      <c r="B54" s="685" t="s">
        <v>79</v>
      </c>
      <c r="C54" s="686"/>
      <c r="D54" s="686"/>
      <c r="E54" s="686">
        <v>15261.19701</v>
      </c>
      <c r="F54" s="686">
        <v>15261.19701</v>
      </c>
      <c r="G54" s="746">
        <v>135524.07113000003</v>
      </c>
    </row>
    <row r="55" spans="1:7" ht="10.5" customHeight="1">
      <c r="A55" s="742" t="s">
        <v>373</v>
      </c>
      <c r="B55" s="560"/>
      <c r="C55" s="561"/>
      <c r="D55" s="561"/>
      <c r="E55" s="561">
        <v>15261.19701</v>
      </c>
      <c r="F55" s="561">
        <v>15261.19701</v>
      </c>
      <c r="G55" s="747">
        <v>135524.07113000003</v>
      </c>
    </row>
    <row r="56" spans="1:7" ht="10.5" customHeight="1">
      <c r="A56" s="740" t="s">
        <v>100</v>
      </c>
      <c r="B56" s="685" t="s">
        <v>77</v>
      </c>
      <c r="C56" s="686"/>
      <c r="D56" s="686"/>
      <c r="E56" s="686">
        <v>44209.399752500001</v>
      </c>
      <c r="F56" s="686">
        <v>44209.399752500001</v>
      </c>
      <c r="G56" s="746">
        <v>396406.97269750002</v>
      </c>
    </row>
    <row r="57" spans="1:7" ht="10.5" customHeight="1">
      <c r="A57" s="742" t="s">
        <v>374</v>
      </c>
      <c r="B57" s="560"/>
      <c r="C57" s="561"/>
      <c r="D57" s="561"/>
      <c r="E57" s="561">
        <v>44209.399752500001</v>
      </c>
      <c r="F57" s="561">
        <v>44209.399752500001</v>
      </c>
      <c r="G57" s="747">
        <v>396406.97269750002</v>
      </c>
    </row>
    <row r="58" spans="1:7" ht="10.5" customHeight="1">
      <c r="A58" s="740" t="s">
        <v>108</v>
      </c>
      <c r="B58" s="685" t="s">
        <v>243</v>
      </c>
      <c r="C58" s="686"/>
      <c r="D58" s="686"/>
      <c r="E58" s="686">
        <v>5093.4307200000003</v>
      </c>
      <c r="F58" s="686">
        <v>5093.4307200000003</v>
      </c>
      <c r="G58" s="746">
        <v>41309.763057500008</v>
      </c>
    </row>
    <row r="59" spans="1:7" ht="10.5" customHeight="1">
      <c r="A59" s="742" t="s">
        <v>375</v>
      </c>
      <c r="B59" s="560"/>
      <c r="C59" s="561"/>
      <c r="D59" s="561"/>
      <c r="E59" s="561">
        <v>5093.4307200000003</v>
      </c>
      <c r="F59" s="561">
        <v>5093.4307200000003</v>
      </c>
      <c r="G59" s="747">
        <v>41309.763057500008</v>
      </c>
    </row>
    <row r="60" spans="1:7" ht="10.5" customHeight="1">
      <c r="A60" s="740" t="s">
        <v>479</v>
      </c>
      <c r="B60" s="685" t="s">
        <v>86</v>
      </c>
      <c r="C60" s="686"/>
      <c r="D60" s="686"/>
      <c r="E60" s="686">
        <v>2025.6033500000001</v>
      </c>
      <c r="F60" s="686">
        <v>2025.6033500000001</v>
      </c>
      <c r="G60" s="746">
        <v>15017.505749999995</v>
      </c>
    </row>
    <row r="61" spans="1:7" ht="10.5" customHeight="1">
      <c r="A61" s="740"/>
      <c r="B61" s="685" t="s">
        <v>85</v>
      </c>
      <c r="C61" s="686"/>
      <c r="D61" s="686"/>
      <c r="E61" s="686">
        <v>2999.7862500000001</v>
      </c>
      <c r="F61" s="686">
        <v>2999.7862500000001</v>
      </c>
      <c r="G61" s="746">
        <v>28255.610525</v>
      </c>
    </row>
    <row r="62" spans="1:7" ht="10.5" customHeight="1">
      <c r="A62" s="740"/>
      <c r="B62" s="685" t="s">
        <v>518</v>
      </c>
      <c r="C62" s="686"/>
      <c r="D62" s="686"/>
      <c r="E62" s="686">
        <v>1061.873675</v>
      </c>
      <c r="F62" s="686">
        <v>1061.873675</v>
      </c>
      <c r="G62" s="746">
        <v>12044.352655000006</v>
      </c>
    </row>
    <row r="63" spans="1:7" ht="10.5" customHeight="1">
      <c r="A63" s="742" t="s">
        <v>376</v>
      </c>
      <c r="B63" s="560"/>
      <c r="C63" s="561"/>
      <c r="D63" s="561"/>
      <c r="E63" s="561">
        <v>6087.2632750000002</v>
      </c>
      <c r="F63" s="561">
        <v>6087.2632750000002</v>
      </c>
      <c r="G63" s="747">
        <v>55317.468930000003</v>
      </c>
    </row>
    <row r="64" spans="1:7" ht="10.5" customHeight="1">
      <c r="A64" s="740" t="s">
        <v>254</v>
      </c>
      <c r="B64" s="685" t="s">
        <v>377</v>
      </c>
      <c r="C64" s="686"/>
      <c r="D64" s="686">
        <v>1792.534285</v>
      </c>
      <c r="E64" s="686"/>
      <c r="F64" s="686">
        <v>1792.534285</v>
      </c>
      <c r="G64" s="746">
        <v>2482.9896774999997</v>
      </c>
    </row>
    <row r="65" spans="1:7" ht="10.5" customHeight="1">
      <c r="A65" s="742" t="s">
        <v>378</v>
      </c>
      <c r="B65" s="560"/>
      <c r="C65" s="561"/>
      <c r="D65" s="561">
        <v>1792.534285</v>
      </c>
      <c r="E65" s="561"/>
      <c r="F65" s="561">
        <v>1792.534285</v>
      </c>
      <c r="G65" s="747">
        <v>2482.9896774999997</v>
      </c>
    </row>
    <row r="66" spans="1:7" ht="10.5" customHeight="1">
      <c r="A66" s="740" t="s">
        <v>761</v>
      </c>
      <c r="B66" s="685" t="s">
        <v>610</v>
      </c>
      <c r="C66" s="686"/>
      <c r="D66" s="686"/>
      <c r="E66" s="686">
        <v>8339.8417475000006</v>
      </c>
      <c r="F66" s="686">
        <v>8339.8417475000006</v>
      </c>
      <c r="G66" s="746">
        <v>44677.261342500002</v>
      </c>
    </row>
    <row r="67" spans="1:7" ht="10.5" customHeight="1">
      <c r="A67" s="742" t="s">
        <v>560</v>
      </c>
      <c r="B67" s="560"/>
      <c r="C67" s="561"/>
      <c r="D67" s="561"/>
      <c r="E67" s="561">
        <v>8339.8417475000006</v>
      </c>
      <c r="F67" s="561">
        <v>8339.8417475000006</v>
      </c>
      <c r="G67" s="747">
        <v>44677.261342500002</v>
      </c>
    </row>
    <row r="68" spans="1:7" ht="10.5" customHeight="1">
      <c r="A68" s="740" t="s">
        <v>105</v>
      </c>
      <c r="B68" s="685" t="s">
        <v>62</v>
      </c>
      <c r="C68" s="686"/>
      <c r="D68" s="686"/>
      <c r="E68" s="686">
        <v>4781.7677000000003</v>
      </c>
      <c r="F68" s="686">
        <v>4781.7677000000003</v>
      </c>
      <c r="G68" s="746">
        <v>80971.767447499995</v>
      </c>
    </row>
    <row r="69" spans="1:7" ht="10.5" customHeight="1">
      <c r="A69" s="760" t="s">
        <v>379</v>
      </c>
      <c r="B69" s="695"/>
      <c r="C69" s="696"/>
      <c r="D69" s="696"/>
      <c r="E69" s="696">
        <v>4781.7677000000003</v>
      </c>
      <c r="F69" s="696">
        <v>4781.7677000000003</v>
      </c>
      <c r="G69" s="761">
        <v>80971.767447499995</v>
      </c>
    </row>
    <row r="70" spans="1:7" ht="10.5" customHeight="1"/>
    <row r="71" spans="1:7" ht="10.5" customHeight="1"/>
    <row r="72" spans="1:7" ht="10.5" customHeight="1">
      <c r="A72" s="353"/>
      <c r="B72" s="353"/>
      <c r="C72" s="353"/>
      <c r="D72" s="353"/>
      <c r="E72" s="353"/>
      <c r="F72" s="353"/>
      <c r="G72" s="353"/>
    </row>
    <row r="73" spans="1:7" ht="10.5" customHeight="1">
      <c r="A73" s="353"/>
      <c r="B73" s="353"/>
      <c r="C73" s="353"/>
      <c r="D73" s="353"/>
      <c r="E73" s="353"/>
      <c r="F73" s="353"/>
      <c r="G73" s="353"/>
    </row>
    <row r="74" spans="1:7" ht="10.5" customHeight="1">
      <c r="A74" s="353"/>
      <c r="B74" s="353"/>
      <c r="C74" s="353"/>
      <c r="D74" s="353"/>
      <c r="E74" s="353"/>
      <c r="F74" s="353"/>
      <c r="G74" s="353"/>
    </row>
    <row r="75" spans="1:7" ht="10.5" customHeight="1">
      <c r="A75" s="353"/>
      <c r="B75" s="353"/>
      <c r="C75" s="353"/>
      <c r="D75" s="353"/>
      <c r="E75" s="353"/>
      <c r="F75" s="353"/>
      <c r="G75" s="353"/>
    </row>
    <row r="76" spans="1:7" ht="10.5" customHeight="1">
      <c r="A76" s="353"/>
      <c r="B76" s="353"/>
      <c r="C76" s="353"/>
      <c r="D76" s="353"/>
      <c r="E76" s="353"/>
      <c r="F76" s="353"/>
      <c r="G76" s="353"/>
    </row>
    <row r="77" spans="1:7" ht="10.5" customHeight="1">
      <c r="A77" s="353"/>
      <c r="B77" s="353"/>
      <c r="C77" s="353"/>
      <c r="D77" s="353"/>
      <c r="E77" s="353"/>
      <c r="F77" s="353"/>
      <c r="G77" s="353"/>
    </row>
    <row r="78" spans="1:7" ht="10.5" customHeight="1">
      <c r="A78" s="353"/>
      <c r="B78" s="353"/>
      <c r="C78" s="353"/>
      <c r="D78" s="353"/>
      <c r="E78" s="353"/>
      <c r="F78" s="353"/>
      <c r="G78" s="353"/>
    </row>
    <row r="79" spans="1:7" ht="10.5" customHeight="1">
      <c r="A79" s="353"/>
      <c r="B79" s="353"/>
      <c r="C79" s="353"/>
      <c r="D79" s="353"/>
      <c r="E79" s="353"/>
      <c r="F79" s="353"/>
      <c r="G79" s="353"/>
    </row>
    <row r="80" spans="1:7" ht="10.5" customHeight="1">
      <c r="A80" s="353"/>
      <c r="B80" s="353"/>
      <c r="C80" s="353"/>
      <c r="D80" s="353"/>
      <c r="E80" s="353"/>
      <c r="F80" s="353"/>
      <c r="G80" s="353"/>
    </row>
    <row r="81" spans="1:7" ht="10.5" customHeight="1">
      <c r="A81" s="353"/>
      <c r="B81" s="353"/>
      <c r="C81" s="353"/>
      <c r="D81" s="353"/>
      <c r="E81" s="353"/>
      <c r="F81" s="353"/>
      <c r="G81" s="353"/>
    </row>
    <row r="82" spans="1:7" ht="10.5" customHeight="1">
      <c r="A82" s="353"/>
      <c r="B82" s="353"/>
      <c r="C82" s="353"/>
      <c r="D82" s="353"/>
      <c r="E82" s="353"/>
      <c r="F82" s="353"/>
      <c r="G82" s="353"/>
    </row>
    <row r="83" spans="1:7" ht="10.5" customHeight="1">
      <c r="A83" s="353"/>
      <c r="B83" s="353"/>
      <c r="C83" s="353"/>
      <c r="D83" s="353"/>
      <c r="E83" s="353"/>
      <c r="F83" s="353"/>
      <c r="G83" s="353"/>
    </row>
    <row r="84" spans="1:7" ht="10.5" customHeight="1">
      <c r="A84" s="353"/>
      <c r="B84" s="353"/>
      <c r="C84" s="353"/>
      <c r="D84" s="353"/>
      <c r="E84" s="353"/>
      <c r="F84" s="353"/>
      <c r="G84" s="353"/>
    </row>
    <row r="85" spans="1:7" ht="10.5" customHeight="1">
      <c r="A85" s="353"/>
      <c r="B85" s="353"/>
      <c r="C85" s="353"/>
      <c r="D85" s="353"/>
      <c r="E85" s="353"/>
      <c r="F85" s="353"/>
      <c r="G85" s="353"/>
    </row>
    <row r="86" spans="1:7" ht="10.5" customHeight="1">
      <c r="A86" s="353"/>
      <c r="B86" s="353"/>
      <c r="C86" s="353"/>
      <c r="D86" s="353"/>
      <c r="E86" s="353"/>
      <c r="F86" s="353"/>
      <c r="G86" s="353"/>
    </row>
    <row r="87" spans="1:7" ht="10.5" customHeight="1">
      <c r="A87" s="353"/>
      <c r="B87" s="353"/>
      <c r="C87" s="353"/>
      <c r="D87" s="353"/>
      <c r="E87" s="353"/>
      <c r="F87" s="353"/>
      <c r="G87" s="353"/>
    </row>
    <row r="88" spans="1:7" ht="10.5" customHeight="1">
      <c r="A88" s="353"/>
      <c r="B88" s="353"/>
      <c r="C88" s="353"/>
      <c r="D88" s="353"/>
      <c r="E88" s="353"/>
      <c r="F88" s="353"/>
      <c r="G88" s="353"/>
    </row>
    <row r="89" spans="1:7" ht="10.5" customHeight="1">
      <c r="A89" s="353"/>
      <c r="B89" s="353"/>
      <c r="C89" s="353"/>
      <c r="D89" s="353"/>
      <c r="E89" s="353"/>
      <c r="F89" s="353"/>
      <c r="G89" s="353"/>
    </row>
    <row r="90" spans="1:7" ht="10.5" customHeight="1">
      <c r="A90" s="353"/>
      <c r="B90" s="353"/>
      <c r="C90" s="353"/>
      <c r="D90" s="353"/>
      <c r="E90" s="353"/>
      <c r="F90" s="353"/>
      <c r="G90" s="353"/>
    </row>
    <row r="91" spans="1:7" ht="10.5" customHeight="1">
      <c r="A91" s="353"/>
      <c r="B91" s="353"/>
      <c r="C91" s="353"/>
      <c r="D91" s="353"/>
      <c r="E91" s="353"/>
      <c r="F91" s="353"/>
      <c r="G91" s="353"/>
    </row>
    <row r="92" spans="1:7" ht="10.5" customHeight="1">
      <c r="A92" s="353"/>
      <c r="B92" s="353"/>
      <c r="C92" s="353"/>
      <c r="D92" s="353"/>
      <c r="E92" s="353"/>
      <c r="F92" s="353"/>
      <c r="G92" s="353"/>
    </row>
    <row r="93" spans="1:7" ht="10.5" customHeight="1">
      <c r="A93" s="353"/>
      <c r="B93" s="353"/>
      <c r="C93" s="353"/>
      <c r="D93" s="353"/>
      <c r="E93" s="353"/>
      <c r="F93" s="353"/>
      <c r="G93" s="353"/>
    </row>
    <row r="94" spans="1:7" ht="10.5" customHeight="1">
      <c r="A94" s="353"/>
      <c r="B94" s="353"/>
      <c r="C94" s="353"/>
      <c r="D94" s="353"/>
      <c r="E94" s="353"/>
      <c r="F94" s="353"/>
      <c r="G94" s="353"/>
    </row>
    <row r="95" spans="1:7" ht="10.5" customHeight="1">
      <c r="A95" s="353"/>
      <c r="B95" s="353"/>
      <c r="C95" s="353"/>
      <c r="D95" s="353"/>
      <c r="E95" s="353"/>
      <c r="F95" s="353"/>
      <c r="G95" s="353"/>
    </row>
    <row r="96" spans="1:7" ht="10.5" customHeight="1">
      <c r="A96" s="353"/>
      <c r="B96" s="353"/>
      <c r="C96" s="353"/>
      <c r="D96" s="353"/>
      <c r="E96" s="353"/>
      <c r="F96" s="353"/>
      <c r="G96" s="353"/>
    </row>
    <row r="97" spans="1:7" ht="10.5" customHeight="1">
      <c r="A97" s="353"/>
      <c r="B97" s="353"/>
      <c r="C97" s="353"/>
      <c r="D97" s="353"/>
      <c r="E97" s="353"/>
      <c r="F97" s="353"/>
      <c r="G97" s="353"/>
    </row>
    <row r="98" spans="1:7" ht="10.5" customHeight="1">
      <c r="A98" s="353"/>
      <c r="B98" s="353"/>
      <c r="C98" s="353"/>
      <c r="D98" s="353"/>
      <c r="E98" s="353"/>
      <c r="F98" s="353"/>
      <c r="G98" s="353"/>
    </row>
    <row r="99" spans="1:7" ht="10.5" customHeight="1">
      <c r="A99" s="353"/>
      <c r="B99" s="353"/>
      <c r="C99" s="353"/>
      <c r="D99" s="353"/>
      <c r="E99" s="353"/>
      <c r="F99" s="353"/>
      <c r="G99" s="353"/>
    </row>
    <row r="100" spans="1:7" ht="10.5" customHeight="1">
      <c r="A100" s="353"/>
      <c r="B100" s="353"/>
      <c r="C100" s="353"/>
      <c r="D100" s="353"/>
      <c r="E100" s="353"/>
      <c r="F100" s="353"/>
      <c r="G100" s="353"/>
    </row>
    <row r="101" spans="1:7" ht="10.5" customHeight="1">
      <c r="A101" s="353"/>
      <c r="B101" s="353"/>
      <c r="C101" s="353"/>
      <c r="D101" s="353"/>
      <c r="E101" s="353"/>
      <c r="F101" s="353"/>
      <c r="G101" s="353"/>
    </row>
    <row r="102" spans="1:7" ht="10.5" customHeight="1">
      <c r="A102" s="353"/>
      <c r="B102" s="353"/>
      <c r="C102" s="353"/>
      <c r="D102" s="353"/>
      <c r="E102" s="353"/>
      <c r="F102" s="353"/>
      <c r="G102" s="353"/>
    </row>
    <row r="103" spans="1:7" ht="10.5" customHeight="1">
      <c r="A103" s="353"/>
      <c r="B103" s="353"/>
      <c r="C103" s="353"/>
      <c r="D103" s="353"/>
      <c r="E103" s="353"/>
      <c r="F103" s="353"/>
      <c r="G103" s="353"/>
    </row>
    <row r="104" spans="1:7" ht="10.5" customHeight="1">
      <c r="A104" s="353"/>
      <c r="B104" s="353"/>
      <c r="C104" s="353"/>
      <c r="D104" s="353"/>
      <c r="E104" s="353"/>
      <c r="F104" s="353"/>
      <c r="G104" s="353"/>
    </row>
    <row r="105" spans="1:7" ht="10.5" customHeight="1">
      <c r="A105" s="353"/>
      <c r="B105" s="353"/>
      <c r="C105" s="353"/>
      <c r="D105" s="353"/>
      <c r="E105" s="353"/>
      <c r="F105" s="353"/>
      <c r="G105" s="353"/>
    </row>
    <row r="106" spans="1:7" ht="10.5" customHeight="1">
      <c r="A106" s="353"/>
      <c r="B106" s="353"/>
      <c r="C106" s="353"/>
      <c r="D106" s="353"/>
      <c r="E106" s="353"/>
      <c r="F106" s="353"/>
      <c r="G106" s="353"/>
    </row>
    <row r="107" spans="1:7" ht="10.5" customHeight="1">
      <c r="A107" s="353"/>
      <c r="B107" s="353"/>
      <c r="C107" s="353"/>
      <c r="D107" s="353"/>
      <c r="E107" s="353"/>
      <c r="F107" s="353"/>
      <c r="G107" s="353"/>
    </row>
  </sheetData>
  <mergeCells count="5">
    <mergeCell ref="A1:A4"/>
    <mergeCell ref="B1:B4"/>
    <mergeCell ref="C1:F1"/>
    <mergeCell ref="C2:E2"/>
    <mergeCell ref="F2:F3"/>
  </mergeCells>
  <pageMargins left="0.70866141732283472" right="0.47244094488188981" top="1.0236220472440944" bottom="0.62992125984251968" header="0.31496062992125984" footer="0.31496062992125984"/>
  <pageSetup paperSize="9" scale="95" orientation="portrait" r:id="rId1"/>
  <headerFooter>
    <oddHeader>&amp;R&amp;7Informe de la Operación Mensual-Octubre 2019
INFSGI-MES-10-2019
18/10/2019
Versión: 01</oddHeader>
    <oddFooter>&amp;L&amp;7COES, 2019&amp;C19&amp;R&amp;7Dirección Ejecutiva
Sub Dirección de Gestión de Información</oddFooter>
  </headerFooter>
  <rowBreaks count="1" manualBreakCount="1">
    <brk id="69" max="16383" man="1"/>
  </row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2">
    <tabColor theme="4"/>
  </sheetPr>
  <dimension ref="A1:H59"/>
  <sheetViews>
    <sheetView showGridLines="0" view="pageBreakPreview" zoomScale="120" zoomScaleNormal="100" zoomScaleSheetLayoutView="120" zoomScalePageLayoutView="160" workbookViewId="0">
      <selection activeCell="M12" sqref="M12"/>
    </sheetView>
  </sheetViews>
  <sheetFormatPr defaultColWidth="9.33203125" defaultRowHeight="11.25"/>
  <cols>
    <col min="1" max="1" width="22.6640625" customWidth="1"/>
    <col min="2" max="2" width="20.83203125" customWidth="1"/>
    <col min="3" max="3" width="16.5" customWidth="1"/>
    <col min="4" max="4" width="18.5" customWidth="1"/>
    <col min="5" max="5" width="10.33203125" customWidth="1"/>
    <col min="6" max="6" width="12.5" customWidth="1"/>
    <col min="7" max="7" width="16.1640625" bestFit="1" customWidth="1"/>
  </cols>
  <sheetData>
    <row r="1" spans="1:8" ht="15.75" customHeight="1">
      <c r="A1" s="971" t="s">
        <v>261</v>
      </c>
      <c r="B1" s="974" t="s">
        <v>55</v>
      </c>
      <c r="C1" s="977" t="str">
        <f>+'19. ANEXOI-2'!C1:F1</f>
        <v>ENERGÍA PRODUCIDA OCTUBRE 2019</v>
      </c>
      <c r="D1" s="977"/>
      <c r="E1" s="977"/>
      <c r="F1" s="977"/>
      <c r="G1" s="692" t="s">
        <v>287</v>
      </c>
      <c r="H1" s="203"/>
    </row>
    <row r="2" spans="1:8" ht="11.25" customHeight="1">
      <c r="A2" s="972"/>
      <c r="B2" s="975"/>
      <c r="C2" s="978" t="s">
        <v>288</v>
      </c>
      <c r="D2" s="978"/>
      <c r="E2" s="978"/>
      <c r="F2" s="979" t="str">
        <f>"TOTAL 
"&amp;UPPER('1. Resumen'!Q4)</f>
        <v>TOTAL 
OCTUBRE</v>
      </c>
      <c r="G2" s="693" t="s">
        <v>289</v>
      </c>
      <c r="H2" s="194"/>
    </row>
    <row r="3" spans="1:8" ht="11.25" customHeight="1">
      <c r="A3" s="972"/>
      <c r="B3" s="975"/>
      <c r="C3" s="682" t="s">
        <v>222</v>
      </c>
      <c r="D3" s="682" t="s">
        <v>223</v>
      </c>
      <c r="E3" s="682" t="s">
        <v>290</v>
      </c>
      <c r="F3" s="980"/>
      <c r="G3" s="693">
        <v>2019</v>
      </c>
      <c r="H3" s="196"/>
    </row>
    <row r="4" spans="1:8" ht="11.25" customHeight="1">
      <c r="A4" s="981"/>
      <c r="B4" s="982"/>
      <c r="C4" s="683" t="s">
        <v>291</v>
      </c>
      <c r="D4" s="683" t="s">
        <v>291</v>
      </c>
      <c r="E4" s="683" t="s">
        <v>291</v>
      </c>
      <c r="F4" s="683" t="s">
        <v>291</v>
      </c>
      <c r="G4" s="694" t="s">
        <v>210</v>
      </c>
      <c r="H4" s="196"/>
    </row>
    <row r="5" spans="1:8" s="353" customFormat="1" ht="9" customHeight="1">
      <c r="A5" s="740" t="s">
        <v>255</v>
      </c>
      <c r="B5" s="685" t="s">
        <v>380</v>
      </c>
      <c r="C5" s="686"/>
      <c r="D5" s="686">
        <v>381.57293249999998</v>
      </c>
      <c r="E5" s="686"/>
      <c r="F5" s="686">
        <v>381.57293249999998</v>
      </c>
      <c r="G5" s="746">
        <v>2356.0167074999999</v>
      </c>
    </row>
    <row r="6" spans="1:8" s="353" customFormat="1" ht="9" customHeight="1">
      <c r="A6" s="742" t="s">
        <v>381</v>
      </c>
      <c r="B6" s="560"/>
      <c r="C6" s="561"/>
      <c r="D6" s="561">
        <v>381.57293249999998</v>
      </c>
      <c r="E6" s="561"/>
      <c r="F6" s="561">
        <v>381.57293249999998</v>
      </c>
      <c r="G6" s="747">
        <v>2356.0167074999999</v>
      </c>
    </row>
    <row r="7" spans="1:8" s="353" customFormat="1" ht="9" customHeight="1">
      <c r="A7" s="740" t="s">
        <v>96</v>
      </c>
      <c r="B7" s="685" t="s">
        <v>382</v>
      </c>
      <c r="C7" s="686">
        <v>60646.513262499997</v>
      </c>
      <c r="D7" s="686"/>
      <c r="E7" s="686"/>
      <c r="F7" s="686">
        <v>60646.513262499997</v>
      </c>
      <c r="G7" s="746">
        <v>582449.37937500002</v>
      </c>
    </row>
    <row r="8" spans="1:8" s="353" customFormat="1" ht="9" customHeight="1">
      <c r="A8" s="742" t="s">
        <v>383</v>
      </c>
      <c r="B8" s="560"/>
      <c r="C8" s="561">
        <v>60646.513262499997</v>
      </c>
      <c r="D8" s="561"/>
      <c r="E8" s="561"/>
      <c r="F8" s="561">
        <v>60646.513262499997</v>
      </c>
      <c r="G8" s="747">
        <v>582449.37937500002</v>
      </c>
    </row>
    <row r="9" spans="1:8" s="353" customFormat="1" ht="9" customHeight="1">
      <c r="A9" s="740" t="s">
        <v>760</v>
      </c>
      <c r="B9" s="685" t="s">
        <v>763</v>
      </c>
      <c r="C9" s="686"/>
      <c r="D9" s="686"/>
      <c r="E9" s="686">
        <v>5231.3902500000004</v>
      </c>
      <c r="F9" s="686">
        <v>5231.3902500000004</v>
      </c>
      <c r="G9" s="746">
        <v>32505.030479999998</v>
      </c>
    </row>
    <row r="10" spans="1:8" s="353" customFormat="1" ht="9" customHeight="1">
      <c r="A10" s="742" t="s">
        <v>526</v>
      </c>
      <c r="B10" s="560"/>
      <c r="C10" s="561"/>
      <c r="D10" s="561"/>
      <c r="E10" s="561">
        <v>5231.3902500000004</v>
      </c>
      <c r="F10" s="561">
        <v>5231.3902500000004</v>
      </c>
      <c r="G10" s="747">
        <v>32505.030479999998</v>
      </c>
    </row>
    <row r="11" spans="1:8" s="353" customFormat="1" ht="9" customHeight="1">
      <c r="A11" s="740" t="s">
        <v>462</v>
      </c>
      <c r="B11" s="685" t="s">
        <v>469</v>
      </c>
      <c r="C11" s="686"/>
      <c r="D11" s="686"/>
      <c r="E11" s="686">
        <v>14561.900835</v>
      </c>
      <c r="F11" s="686">
        <v>14561.900835</v>
      </c>
      <c r="G11" s="746">
        <v>132698.29081999999</v>
      </c>
    </row>
    <row r="12" spans="1:8" s="353" customFormat="1" ht="9" customHeight="1">
      <c r="A12" s="742" t="s">
        <v>464</v>
      </c>
      <c r="B12" s="560"/>
      <c r="C12" s="561"/>
      <c r="D12" s="561"/>
      <c r="E12" s="561">
        <v>14561.900835</v>
      </c>
      <c r="F12" s="561">
        <v>14561.900835</v>
      </c>
      <c r="G12" s="747">
        <v>132698.29081999999</v>
      </c>
    </row>
    <row r="13" spans="1:8" s="353" customFormat="1" ht="9" customHeight="1">
      <c r="A13" s="740" t="s">
        <v>103</v>
      </c>
      <c r="B13" s="685" t="s">
        <v>384</v>
      </c>
      <c r="C13" s="686"/>
      <c r="D13" s="686">
        <v>19022.962199999998</v>
      </c>
      <c r="E13" s="686"/>
      <c r="F13" s="686">
        <v>19022.962199999998</v>
      </c>
      <c r="G13" s="746">
        <v>200529.81086750003</v>
      </c>
    </row>
    <row r="14" spans="1:8" s="353" customFormat="1" ht="9" customHeight="1">
      <c r="A14" s="742" t="s">
        <v>385</v>
      </c>
      <c r="B14" s="560"/>
      <c r="C14" s="561"/>
      <c r="D14" s="561">
        <v>19022.962199999998</v>
      </c>
      <c r="E14" s="561"/>
      <c r="F14" s="561">
        <v>19022.962199999998</v>
      </c>
      <c r="G14" s="747">
        <v>200529.81086750003</v>
      </c>
    </row>
    <row r="15" spans="1:8" s="353" customFormat="1" ht="9" customHeight="1">
      <c r="A15" s="740" t="s">
        <v>120</v>
      </c>
      <c r="B15" s="685" t="s">
        <v>386</v>
      </c>
      <c r="C15" s="686"/>
      <c r="D15" s="686">
        <v>754.43277499999999</v>
      </c>
      <c r="E15" s="686"/>
      <c r="F15" s="686">
        <v>754.43277499999999</v>
      </c>
      <c r="G15" s="746">
        <v>43461.71755999999</v>
      </c>
    </row>
    <row r="16" spans="1:8" s="353" customFormat="1" ht="9" customHeight="1">
      <c r="A16" s="742" t="s">
        <v>387</v>
      </c>
      <c r="B16" s="560"/>
      <c r="C16" s="561"/>
      <c r="D16" s="561">
        <v>754.43277499999999</v>
      </c>
      <c r="E16" s="561"/>
      <c r="F16" s="561">
        <v>754.43277499999999</v>
      </c>
      <c r="G16" s="747">
        <v>43461.71755999999</v>
      </c>
    </row>
    <row r="17" spans="1:7" s="353" customFormat="1" ht="9" customHeight="1">
      <c r="A17" s="740" t="s">
        <v>114</v>
      </c>
      <c r="B17" s="685" t="s">
        <v>762</v>
      </c>
      <c r="C17" s="686"/>
      <c r="D17" s="686"/>
      <c r="E17" s="686">
        <v>12661.763085000001</v>
      </c>
      <c r="F17" s="686">
        <v>12661.763085000001</v>
      </c>
      <c r="G17" s="746">
        <v>65736.527602500006</v>
      </c>
    </row>
    <row r="18" spans="1:7" s="353" customFormat="1" ht="9" customHeight="1">
      <c r="A18" s="740"/>
      <c r="B18" s="685" t="s">
        <v>70</v>
      </c>
      <c r="C18" s="686"/>
      <c r="D18" s="686"/>
      <c r="E18" s="686">
        <v>4133.9973124999997</v>
      </c>
      <c r="F18" s="686">
        <v>4133.9973124999997</v>
      </c>
      <c r="G18" s="746">
        <v>45124.0269825</v>
      </c>
    </row>
    <row r="19" spans="1:7" s="353" customFormat="1" ht="9" customHeight="1">
      <c r="A19" s="742" t="s">
        <v>388</v>
      </c>
      <c r="B19" s="560"/>
      <c r="C19" s="561"/>
      <c r="D19" s="561"/>
      <c r="E19" s="561">
        <v>16795.760397500002</v>
      </c>
      <c r="F19" s="561">
        <v>16795.760397500002</v>
      </c>
      <c r="G19" s="747">
        <v>110860.55458500001</v>
      </c>
    </row>
    <row r="20" spans="1:7" s="353" customFormat="1" ht="9" customHeight="1">
      <c r="A20" s="740" t="s">
        <v>91</v>
      </c>
      <c r="B20" s="685" t="s">
        <v>389</v>
      </c>
      <c r="C20" s="686">
        <v>19820.183659999999</v>
      </c>
      <c r="D20" s="686"/>
      <c r="E20" s="686"/>
      <c r="F20" s="686">
        <v>19820.183659999999</v>
      </c>
      <c r="G20" s="746">
        <v>220825.12406</v>
      </c>
    </row>
    <row r="21" spans="1:7" s="353" customFormat="1" ht="9" customHeight="1">
      <c r="A21" s="740"/>
      <c r="B21" s="685" t="s">
        <v>390</v>
      </c>
      <c r="C21" s="686">
        <v>41697.779389999996</v>
      </c>
      <c r="D21" s="686"/>
      <c r="E21" s="686"/>
      <c r="F21" s="686">
        <v>41697.779389999996</v>
      </c>
      <c r="G21" s="746">
        <v>626259.69014500012</v>
      </c>
    </row>
    <row r="22" spans="1:7" s="353" customFormat="1" ht="9" customHeight="1">
      <c r="A22" s="740"/>
      <c r="B22" s="685" t="s">
        <v>391</v>
      </c>
      <c r="C22" s="686">
        <v>6844.0740874999992</v>
      </c>
      <c r="D22" s="686"/>
      <c r="E22" s="686"/>
      <c r="F22" s="686">
        <v>6844.0740874999992</v>
      </c>
      <c r="G22" s="746">
        <v>107534.51441249998</v>
      </c>
    </row>
    <row r="23" spans="1:7" s="353" customFormat="1" ht="9" customHeight="1">
      <c r="A23" s="740"/>
      <c r="B23" s="685" t="s">
        <v>392</v>
      </c>
      <c r="C23" s="686">
        <v>82.77</v>
      </c>
      <c r="D23" s="686"/>
      <c r="E23" s="686"/>
      <c r="F23" s="686">
        <v>82.77</v>
      </c>
      <c r="G23" s="746">
        <v>643.272875</v>
      </c>
    </row>
    <row r="24" spans="1:7" s="353" customFormat="1" ht="9" customHeight="1">
      <c r="A24" s="740"/>
      <c r="B24" s="685" t="s">
        <v>393</v>
      </c>
      <c r="C24" s="686">
        <v>19703.808617499999</v>
      </c>
      <c r="D24" s="686"/>
      <c r="E24" s="686"/>
      <c r="F24" s="686">
        <v>19703.808617499999</v>
      </c>
      <c r="G24" s="746">
        <v>198576.63682499999</v>
      </c>
    </row>
    <row r="25" spans="1:7" s="353" customFormat="1" ht="9" customHeight="1">
      <c r="A25" s="740"/>
      <c r="B25" s="685" t="s">
        <v>394</v>
      </c>
      <c r="C25" s="686">
        <v>1880.4398974999999</v>
      </c>
      <c r="D25" s="686"/>
      <c r="E25" s="686"/>
      <c r="F25" s="686">
        <v>1880.4398974999999</v>
      </c>
      <c r="G25" s="746">
        <v>19438.235080000006</v>
      </c>
    </row>
    <row r="26" spans="1:7" s="353" customFormat="1" ht="9" customHeight="1">
      <c r="A26" s="740"/>
      <c r="B26" s="685" t="s">
        <v>395</v>
      </c>
      <c r="C26" s="686">
        <v>6049.0338300000003</v>
      </c>
      <c r="D26" s="686"/>
      <c r="E26" s="686"/>
      <c r="F26" s="686">
        <v>6049.0338300000003</v>
      </c>
      <c r="G26" s="746">
        <v>40824.673380000007</v>
      </c>
    </row>
    <row r="27" spans="1:7" s="353" customFormat="1" ht="8.25" customHeight="1">
      <c r="A27" s="740"/>
      <c r="B27" s="685" t="s">
        <v>396</v>
      </c>
      <c r="C27" s="686">
        <v>5117.4861274999994</v>
      </c>
      <c r="D27" s="686"/>
      <c r="E27" s="686"/>
      <c r="F27" s="686">
        <v>5117.4861274999994</v>
      </c>
      <c r="G27" s="746">
        <v>27169.398409999991</v>
      </c>
    </row>
    <row r="28" spans="1:7" s="353" customFormat="1" ht="9" customHeight="1">
      <c r="A28" s="740"/>
      <c r="B28" s="685" t="s">
        <v>397</v>
      </c>
      <c r="C28" s="686">
        <v>1282.8353225000001</v>
      </c>
      <c r="D28" s="686"/>
      <c r="E28" s="686"/>
      <c r="F28" s="686">
        <v>1282.8353225000001</v>
      </c>
      <c r="G28" s="746">
        <v>13051.354627500001</v>
      </c>
    </row>
    <row r="29" spans="1:7" s="353" customFormat="1" ht="9" customHeight="1">
      <c r="A29" s="740"/>
      <c r="B29" s="685" t="s">
        <v>398</v>
      </c>
      <c r="C29" s="686">
        <v>142.31190749999999</v>
      </c>
      <c r="D29" s="686"/>
      <c r="E29" s="686"/>
      <c r="F29" s="686">
        <v>142.31190749999999</v>
      </c>
      <c r="G29" s="746">
        <v>2749.1410374999996</v>
      </c>
    </row>
    <row r="30" spans="1:7" s="353" customFormat="1" ht="9" customHeight="1">
      <c r="A30" s="740"/>
      <c r="B30" s="685" t="s">
        <v>399</v>
      </c>
      <c r="C30" s="686">
        <v>116.51819999999999</v>
      </c>
      <c r="D30" s="686"/>
      <c r="E30" s="686"/>
      <c r="F30" s="686">
        <v>116.51819999999999</v>
      </c>
      <c r="G30" s="746">
        <v>2074.5230450000004</v>
      </c>
    </row>
    <row r="31" spans="1:7" s="353" customFormat="1" ht="9" customHeight="1">
      <c r="A31" s="740"/>
      <c r="B31" s="685" t="s">
        <v>400</v>
      </c>
      <c r="C31" s="686">
        <v>63759.899797499995</v>
      </c>
      <c r="D31" s="686"/>
      <c r="E31" s="686"/>
      <c r="F31" s="686">
        <v>63759.899797499995</v>
      </c>
      <c r="G31" s="746">
        <v>649230.83660749998</v>
      </c>
    </row>
    <row r="32" spans="1:7" s="353" customFormat="1" ht="9" customHeight="1">
      <c r="A32" s="742" t="s">
        <v>401</v>
      </c>
      <c r="B32" s="560"/>
      <c r="C32" s="561">
        <v>166497.14083749999</v>
      </c>
      <c r="D32" s="561"/>
      <c r="E32" s="561"/>
      <c r="F32" s="561">
        <v>166497.14083749999</v>
      </c>
      <c r="G32" s="747">
        <v>1908377.400505</v>
      </c>
    </row>
    <row r="33" spans="1:8" s="353" customFormat="1" ht="9" customHeight="1">
      <c r="A33" s="740" t="s">
        <v>110</v>
      </c>
      <c r="B33" s="685" t="s">
        <v>242</v>
      </c>
      <c r="C33" s="686"/>
      <c r="D33" s="686"/>
      <c r="E33" s="686">
        <v>4437.8233575000004</v>
      </c>
      <c r="F33" s="686">
        <v>4437.8233575000004</v>
      </c>
      <c r="G33" s="746">
        <v>38056.707022500006</v>
      </c>
    </row>
    <row r="34" spans="1:8" s="353" customFormat="1" ht="9" customHeight="1">
      <c r="A34" s="742" t="s">
        <v>402</v>
      </c>
      <c r="B34" s="560"/>
      <c r="C34" s="561"/>
      <c r="D34" s="561"/>
      <c r="E34" s="561">
        <v>4437.8233575000004</v>
      </c>
      <c r="F34" s="561">
        <v>4437.8233575000004</v>
      </c>
      <c r="G34" s="747">
        <v>38056.707022500006</v>
      </c>
    </row>
    <row r="35" spans="1:8">
      <c r="A35" s="740" t="s">
        <v>101</v>
      </c>
      <c r="B35" s="685" t="s">
        <v>523</v>
      </c>
      <c r="C35" s="685"/>
      <c r="D35" s="685">
        <v>121106.20092</v>
      </c>
      <c r="E35" s="685"/>
      <c r="F35" s="685">
        <v>121106.20092</v>
      </c>
      <c r="G35" s="748">
        <v>1528609.9073424996</v>
      </c>
    </row>
    <row r="36" spans="1:8">
      <c r="A36" s="742" t="s">
        <v>403</v>
      </c>
      <c r="B36" s="560"/>
      <c r="C36" s="561"/>
      <c r="D36" s="561">
        <v>121106.20092</v>
      </c>
      <c r="E36" s="561"/>
      <c r="F36" s="561">
        <v>121106.20092</v>
      </c>
      <c r="G36" s="747">
        <v>1528609.9073424996</v>
      </c>
    </row>
    <row r="37" spans="1:8">
      <c r="A37" s="749" t="s">
        <v>106</v>
      </c>
      <c r="B37" s="699" t="s">
        <v>404</v>
      </c>
      <c r="C37" s="700"/>
      <c r="D37" s="700">
        <v>49544.273907499999</v>
      </c>
      <c r="E37" s="700"/>
      <c r="F37" s="700">
        <v>49544.273907499999</v>
      </c>
      <c r="G37" s="750">
        <v>306835.60870749998</v>
      </c>
    </row>
    <row r="38" spans="1:8">
      <c r="A38" s="751" t="s">
        <v>405</v>
      </c>
      <c r="B38" s="752"/>
      <c r="C38" s="753"/>
      <c r="D38" s="753">
        <v>49544.273907499999</v>
      </c>
      <c r="E38" s="753"/>
      <c r="F38" s="753">
        <v>49544.273907499999</v>
      </c>
      <c r="G38" s="754">
        <v>306835.60870749998</v>
      </c>
    </row>
    <row r="39" spans="1:8">
      <c r="A39" s="541" t="s">
        <v>498</v>
      </c>
      <c r="B39" s="541"/>
      <c r="C39" s="540">
        <v>1991049.774110001</v>
      </c>
      <c r="D39" s="540">
        <v>2091162.9593249999</v>
      </c>
      <c r="E39" s="540">
        <v>400357.86932249996</v>
      </c>
      <c r="F39" s="540">
        <v>4482570.6027575005</v>
      </c>
      <c r="G39" s="701">
        <v>43900193.353912532</v>
      </c>
    </row>
    <row r="40" spans="1:8">
      <c r="A40" s="541" t="s">
        <v>406</v>
      </c>
      <c r="B40" s="541"/>
      <c r="C40" s="542"/>
      <c r="D40" s="542"/>
      <c r="E40" s="585"/>
      <c r="F40" s="543">
        <f>+'3. Tipo Generación'!D14*1000</f>
        <v>0</v>
      </c>
      <c r="G40" s="702">
        <f>+'4. Tipo Recurso'!$G$21*1000</f>
        <v>57917.815239999996</v>
      </c>
    </row>
    <row r="41" spans="1:8">
      <c r="A41" s="703" t="s">
        <v>407</v>
      </c>
      <c r="B41" s="541"/>
      <c r="C41" s="542"/>
      <c r="D41" s="542"/>
      <c r="E41" s="585"/>
      <c r="F41" s="543"/>
      <c r="G41" s="702"/>
    </row>
    <row r="42" spans="1:8" ht="6.75" customHeight="1">
      <c r="A42" s="704"/>
      <c r="B42" s="704"/>
      <c r="C42" s="704"/>
      <c r="D42" s="704"/>
      <c r="E42" s="704"/>
      <c r="F42" s="704"/>
      <c r="G42" s="704"/>
    </row>
    <row r="43" spans="1:8" ht="23.25" customHeight="1">
      <c r="A43" s="984" t="s">
        <v>535</v>
      </c>
      <c r="B43" s="984"/>
      <c r="C43" s="984"/>
      <c r="D43" s="984"/>
      <c r="E43" s="984"/>
      <c r="F43" s="984"/>
      <c r="G43" s="984"/>
    </row>
    <row r="44" spans="1:8" ht="17.25" customHeight="1">
      <c r="A44" s="781" t="s">
        <v>563</v>
      </c>
      <c r="B44" s="781"/>
      <c r="C44" s="781"/>
      <c r="D44" s="781"/>
      <c r="E44" s="781"/>
      <c r="F44" s="781"/>
      <c r="G44" s="781"/>
      <c r="H44" s="46"/>
    </row>
    <row r="45" spans="1:8" ht="17.25" customHeight="1">
      <c r="A45" s="781" t="s">
        <v>564</v>
      </c>
      <c r="B45" s="781"/>
      <c r="C45" s="781"/>
      <c r="D45" s="781"/>
      <c r="E45" s="781"/>
      <c r="F45" s="781"/>
      <c r="G45" s="781"/>
      <c r="H45" s="46"/>
    </row>
    <row r="46" spans="1:8" s="437" customFormat="1" ht="17.25" customHeight="1">
      <c r="A46" s="781" t="s">
        <v>565</v>
      </c>
      <c r="B46" s="781"/>
      <c r="C46" s="781"/>
      <c r="D46" s="781"/>
      <c r="E46" s="781"/>
      <c r="F46" s="781"/>
      <c r="G46" s="781"/>
      <c r="H46" s="46"/>
    </row>
    <row r="47" spans="1:8" ht="17.25" customHeight="1">
      <c r="A47" s="781" t="s">
        <v>566</v>
      </c>
      <c r="B47" s="781"/>
      <c r="C47" s="781"/>
      <c r="D47" s="781"/>
      <c r="E47" s="781"/>
      <c r="F47" s="781"/>
      <c r="G47" s="781"/>
      <c r="H47" s="46"/>
    </row>
    <row r="48" spans="1:8" ht="17.25" customHeight="1">
      <c r="A48" s="781" t="s">
        <v>583</v>
      </c>
      <c r="B48" s="289"/>
      <c r="C48" s="289"/>
      <c r="D48" s="289"/>
      <c r="E48" s="289"/>
      <c r="F48" s="289"/>
      <c r="G48" s="46"/>
      <c r="H48" s="46"/>
    </row>
    <row r="49" spans="1:8" ht="17.25" customHeight="1">
      <c r="A49" s="781" t="s">
        <v>582</v>
      </c>
      <c r="B49" s="289"/>
      <c r="C49" s="289"/>
      <c r="D49" s="289"/>
      <c r="E49" s="289"/>
      <c r="F49" s="289"/>
      <c r="G49" s="46"/>
      <c r="H49" s="46"/>
    </row>
    <row r="50" spans="1:8" ht="22.5" customHeight="1">
      <c r="A50" s="983" t="s">
        <v>592</v>
      </c>
      <c r="B50" s="983"/>
      <c r="C50" s="983"/>
      <c r="D50" s="983"/>
      <c r="E50" s="983"/>
      <c r="F50" s="983"/>
      <c r="G50" s="983"/>
    </row>
    <row r="51" spans="1:8" ht="16.5" customHeight="1">
      <c r="A51" s="781" t="s">
        <v>590</v>
      </c>
      <c r="B51" s="280"/>
      <c r="C51" s="280"/>
      <c r="D51" s="280"/>
      <c r="E51" s="280"/>
      <c r="F51" s="280"/>
    </row>
    <row r="52" spans="1:8">
      <c r="A52" s="353" t="s">
        <v>764</v>
      </c>
      <c r="B52" s="280"/>
      <c r="C52" s="280"/>
      <c r="D52" s="280"/>
      <c r="E52" s="280"/>
      <c r="F52" s="280"/>
    </row>
    <row r="53" spans="1:8">
      <c r="A53" s="353"/>
      <c r="B53" s="280"/>
      <c r="C53" s="280"/>
      <c r="D53" s="280"/>
      <c r="E53" s="280"/>
      <c r="F53" s="280"/>
    </row>
    <row r="54" spans="1:8">
      <c r="A54" s="353"/>
      <c r="B54" s="280"/>
      <c r="C54" s="280"/>
      <c r="D54" s="280"/>
      <c r="E54" s="280"/>
      <c r="F54" s="280"/>
    </row>
    <row r="55" spans="1:8">
      <c r="A55" s="353"/>
      <c r="B55" s="280"/>
      <c r="C55" s="280"/>
      <c r="D55" s="280"/>
      <c r="E55" s="280"/>
      <c r="F55" s="280"/>
    </row>
    <row r="56" spans="1:8">
      <c r="A56" s="353"/>
      <c r="B56" s="280"/>
      <c r="C56" s="280"/>
      <c r="D56" s="280"/>
      <c r="E56" s="280"/>
      <c r="F56" s="280"/>
    </row>
    <row r="57" spans="1:8">
      <c r="A57" s="353"/>
    </row>
    <row r="58" spans="1:8">
      <c r="A58" s="353"/>
    </row>
    <row r="59" spans="1:8">
      <c r="A59" s="353"/>
    </row>
  </sheetData>
  <mergeCells count="7">
    <mergeCell ref="A50:G50"/>
    <mergeCell ref="A43:G43"/>
    <mergeCell ref="A1:A4"/>
    <mergeCell ref="B1:B4"/>
    <mergeCell ref="C1:F1"/>
    <mergeCell ref="C2:E2"/>
    <mergeCell ref="F2:F3"/>
  </mergeCells>
  <pageMargins left="0.70866141732283472" right="0.47244094488188981" top="1.0236220472440944" bottom="0.62992125984251968" header="0.31496062992125984" footer="0.31496062992125984"/>
  <pageSetup paperSize="9" scale="95" orientation="portrait" r:id="rId1"/>
  <headerFooter>
    <oddHeader>&amp;R&amp;7Informe de la Operación Mensual-Octubre 2019
INFSGI-MES-10-2019
18/10/2019
Versión: 01</oddHeader>
    <oddFooter>&amp;L&amp;7COES, 2019&amp;C20&amp;R&amp;7Dirección Ejecutiva
Sub Dirección de Gestión de Información</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3">
    <tabColor theme="4"/>
  </sheetPr>
  <dimension ref="A1:P192"/>
  <sheetViews>
    <sheetView showGridLines="0" view="pageBreakPreview" topLeftCell="A13" zoomScale="130" zoomScaleNormal="100" zoomScaleSheetLayoutView="130" zoomScalePageLayoutView="160" workbookViewId="0">
      <selection activeCell="M12" sqref="M12"/>
    </sheetView>
  </sheetViews>
  <sheetFormatPr defaultColWidth="9.33203125" defaultRowHeight="9"/>
  <cols>
    <col min="1" max="1" width="24" style="280" customWidth="1"/>
    <col min="2" max="2" width="22.1640625" style="280" customWidth="1"/>
    <col min="3" max="4" width="17.6640625" style="280" customWidth="1"/>
    <col min="5" max="5" width="15.1640625" style="280" customWidth="1"/>
    <col min="6" max="6" width="12.1640625" style="280" customWidth="1"/>
    <col min="7" max="7" width="9.33203125" style="280"/>
    <col min="8" max="8" width="15.6640625" style="280" customWidth="1"/>
    <col min="9" max="9" width="9.33203125" style="280"/>
    <col min="10" max="11" width="9.33203125" style="280" customWidth="1"/>
    <col min="12" max="16384" width="9.33203125" style="280"/>
  </cols>
  <sheetData>
    <row r="1" spans="1:12" ht="11.25" customHeight="1">
      <c r="A1" s="717" t="s">
        <v>410</v>
      </c>
      <c r="B1" s="718"/>
      <c r="C1" s="718"/>
      <c r="D1" s="718"/>
      <c r="E1" s="718"/>
      <c r="F1" s="718"/>
    </row>
    <row r="2" spans="1:12" s="353" customFormat="1" ht="11.25" customHeight="1">
      <c r="A2" s="985" t="s">
        <v>261</v>
      </c>
      <c r="B2" s="988" t="s">
        <v>55</v>
      </c>
      <c r="C2" s="988" t="s">
        <v>411</v>
      </c>
      <c r="D2" s="988"/>
      <c r="E2" s="988"/>
      <c r="F2" s="991"/>
      <c r="G2" s="464"/>
      <c r="H2" s="464"/>
      <c r="I2" s="464"/>
      <c r="J2" s="464"/>
      <c r="K2" s="464"/>
    </row>
    <row r="3" spans="1:12" s="353" customFormat="1" ht="11.25" customHeight="1">
      <c r="A3" s="986"/>
      <c r="B3" s="989"/>
      <c r="C3" s="544" t="str">
        <f>UPPER('1. Resumen'!Q4)&amp;" "&amp;'1. Resumen'!Q5</f>
        <v>OCTUBRE 2019</v>
      </c>
      <c r="D3" s="545" t="str">
        <f>UPPER('1. Resumen'!Q4)&amp;" "&amp;'1. Resumen'!Q5-1</f>
        <v>OCTUBRE 2018</v>
      </c>
      <c r="E3" s="798" t="s">
        <v>624</v>
      </c>
      <c r="F3" s="705" t="s">
        <v>528</v>
      </c>
      <c r="G3" s="465"/>
      <c r="H3" s="465"/>
      <c r="I3" s="465"/>
      <c r="J3" s="465"/>
      <c r="K3" s="465"/>
      <c r="L3" s="464"/>
    </row>
    <row r="4" spans="1:12" s="353" customFormat="1" ht="11.25" customHeight="1">
      <c r="A4" s="986"/>
      <c r="B4" s="989"/>
      <c r="C4" s="547">
        <f>+'8. Max Potencia'!D8</f>
        <v>43767.791666666664</v>
      </c>
      <c r="D4" s="547">
        <f>+'8. Max Potencia'!E8</f>
        <v>43390.791666666664</v>
      </c>
      <c r="E4" s="547">
        <v>43031.864583333336</v>
      </c>
      <c r="F4" s="706" t="s">
        <v>408</v>
      </c>
      <c r="G4" s="466"/>
      <c r="H4" s="466"/>
      <c r="I4" s="467"/>
      <c r="J4" s="467"/>
      <c r="K4" s="467"/>
      <c r="L4" s="464"/>
    </row>
    <row r="5" spans="1:12" s="353" customFormat="1" ht="11.25" customHeight="1">
      <c r="A5" s="987"/>
      <c r="B5" s="990"/>
      <c r="C5" s="709">
        <f>+'8. Max Potencia'!D9</f>
        <v>43767.791666666664</v>
      </c>
      <c r="D5" s="709">
        <f>+'8. Max Potencia'!E9</f>
        <v>43390.791666666664</v>
      </c>
      <c r="E5" s="709">
        <f>+E4</f>
        <v>43031.864583333336</v>
      </c>
      <c r="F5" s="710" t="s">
        <v>409</v>
      </c>
      <c r="G5" s="466"/>
      <c r="H5" s="466"/>
      <c r="I5" s="466"/>
      <c r="J5" s="466"/>
      <c r="K5" s="466"/>
      <c r="L5" s="468"/>
    </row>
    <row r="6" spans="1:12" s="353" customFormat="1" ht="10.5" customHeight="1">
      <c r="A6" s="762" t="s">
        <v>122</v>
      </c>
      <c r="B6" s="461" t="s">
        <v>87</v>
      </c>
      <c r="C6" s="469">
        <v>0</v>
      </c>
      <c r="D6" s="469">
        <v>0</v>
      </c>
      <c r="E6" s="469">
        <v>0</v>
      </c>
      <c r="F6" s="767" t="str">
        <f>+IF(D6=0,"",C6/D6-1)</f>
        <v/>
      </c>
      <c r="G6" s="466"/>
      <c r="H6" s="853"/>
      <c r="I6" s="853"/>
      <c r="J6" s="466"/>
      <c r="K6" s="466"/>
      <c r="L6" s="470"/>
    </row>
    <row r="7" spans="1:12" s="353" customFormat="1" ht="10.5" customHeight="1">
      <c r="A7" s="742" t="s">
        <v>292</v>
      </c>
      <c r="B7" s="560"/>
      <c r="C7" s="562">
        <v>0</v>
      </c>
      <c r="D7" s="562">
        <v>0</v>
      </c>
      <c r="E7" s="562">
        <v>0</v>
      </c>
      <c r="F7" s="743" t="str">
        <f t="shared" ref="F7:F70" si="0">+IF(D7=0,"",C7/D7-1)</f>
        <v/>
      </c>
      <c r="G7" s="466"/>
      <c r="H7" s="853"/>
      <c r="I7" s="853"/>
      <c r="J7" s="466"/>
      <c r="K7" s="466"/>
      <c r="L7" s="471"/>
    </row>
    <row r="8" spans="1:12" s="353" customFormat="1" ht="10.5" customHeight="1">
      <c r="A8" s="762" t="s">
        <v>121</v>
      </c>
      <c r="B8" s="461" t="s">
        <v>64</v>
      </c>
      <c r="C8" s="469">
        <v>19.29279</v>
      </c>
      <c r="D8" s="469">
        <v>4.4659599999999999</v>
      </c>
      <c r="E8" s="469">
        <v>10.135730000000001</v>
      </c>
      <c r="F8" s="768">
        <f t="shared" si="0"/>
        <v>3.3199648004012579</v>
      </c>
      <c r="G8" s="466"/>
      <c r="H8" s="853"/>
      <c r="I8" s="853"/>
      <c r="J8" s="466"/>
      <c r="K8" s="466"/>
      <c r="L8" s="472"/>
    </row>
    <row r="9" spans="1:12" s="353" customFormat="1" ht="10.5" customHeight="1">
      <c r="A9" s="742" t="s">
        <v>293</v>
      </c>
      <c r="B9" s="560"/>
      <c r="C9" s="562">
        <v>19.29279</v>
      </c>
      <c r="D9" s="562">
        <v>4.4659599999999999</v>
      </c>
      <c r="E9" s="562">
        <v>10.135730000000001</v>
      </c>
      <c r="F9" s="743">
        <f t="shared" si="0"/>
        <v>3.3199648004012579</v>
      </c>
      <c r="G9" s="466"/>
      <c r="H9" s="853"/>
      <c r="I9" s="853"/>
      <c r="J9" s="466"/>
      <c r="K9" s="466"/>
      <c r="L9" s="471"/>
    </row>
    <row r="10" spans="1:12" s="353" customFormat="1" ht="10.5" customHeight="1">
      <c r="A10" s="740" t="s">
        <v>107</v>
      </c>
      <c r="B10" s="685" t="s">
        <v>84</v>
      </c>
      <c r="C10" s="688">
        <v>15.04555</v>
      </c>
      <c r="D10" s="688">
        <v>9.3284199999999995</v>
      </c>
      <c r="E10" s="688">
        <v>0</v>
      </c>
      <c r="F10" s="741">
        <f t="shared" si="0"/>
        <v>0.61287227633404173</v>
      </c>
      <c r="G10" s="466"/>
      <c r="H10" s="853"/>
      <c r="I10" s="853"/>
      <c r="J10" s="466"/>
      <c r="K10" s="466"/>
      <c r="L10" s="471"/>
    </row>
    <row r="11" spans="1:12" s="353" customFormat="1" ht="10.5" customHeight="1">
      <c r="A11" s="742" t="s">
        <v>294</v>
      </c>
      <c r="B11" s="560"/>
      <c r="C11" s="562">
        <v>15.04555</v>
      </c>
      <c r="D11" s="562">
        <v>9.3284199999999995</v>
      </c>
      <c r="E11" s="562">
        <v>0</v>
      </c>
      <c r="F11" s="743">
        <f t="shared" si="0"/>
        <v>0.61287227633404173</v>
      </c>
      <c r="G11" s="466"/>
      <c r="H11" s="853"/>
      <c r="I11" s="853"/>
      <c r="J11" s="466"/>
      <c r="K11" s="466"/>
      <c r="L11" s="471"/>
    </row>
    <row r="12" spans="1:12" s="353" customFormat="1" ht="10.5" customHeight="1">
      <c r="A12" s="740" t="s">
        <v>489</v>
      </c>
      <c r="B12" s="685" t="s">
        <v>493</v>
      </c>
      <c r="C12" s="688">
        <v>11.063040000000001</v>
      </c>
      <c r="D12" s="688">
        <v>0</v>
      </c>
      <c r="E12" s="688"/>
      <c r="F12" s="741" t="str">
        <f t="shared" si="0"/>
        <v/>
      </c>
      <c r="G12" s="466"/>
      <c r="H12" s="853"/>
      <c r="I12" s="853"/>
      <c r="J12" s="466"/>
      <c r="K12" s="466"/>
      <c r="L12" s="471"/>
    </row>
    <row r="13" spans="1:12" s="353" customFormat="1" ht="10.5" customHeight="1">
      <c r="A13" s="742" t="s">
        <v>490</v>
      </c>
      <c r="B13" s="560"/>
      <c r="C13" s="562">
        <v>11.063040000000001</v>
      </c>
      <c r="D13" s="562">
        <v>0</v>
      </c>
      <c r="E13" s="562"/>
      <c r="F13" s="743" t="str">
        <f t="shared" si="0"/>
        <v/>
      </c>
      <c r="G13" s="466"/>
      <c r="H13" s="853"/>
      <c r="I13" s="853"/>
      <c r="J13" s="466"/>
      <c r="K13" s="466"/>
      <c r="L13" s="471"/>
    </row>
    <row r="14" spans="1:12" s="353" customFormat="1" ht="10.5" customHeight="1">
      <c r="A14" s="740" t="s">
        <v>756</v>
      </c>
      <c r="B14" s="685" t="s">
        <v>623</v>
      </c>
      <c r="C14" s="688">
        <v>10.9375</v>
      </c>
      <c r="D14" s="688"/>
      <c r="E14" s="688"/>
      <c r="F14" s="741" t="str">
        <f t="shared" si="0"/>
        <v/>
      </c>
      <c r="G14" s="466"/>
      <c r="H14" s="853"/>
      <c r="I14" s="853"/>
      <c r="J14" s="466"/>
      <c r="K14" s="466"/>
      <c r="L14" s="471"/>
    </row>
    <row r="15" spans="1:12" s="353" customFormat="1" ht="10.5" customHeight="1">
      <c r="A15" s="742" t="s">
        <v>622</v>
      </c>
      <c r="B15" s="560"/>
      <c r="C15" s="562">
        <v>10.9375</v>
      </c>
      <c r="D15" s="562"/>
      <c r="E15" s="562"/>
      <c r="F15" s="743" t="str">
        <f t="shared" si="0"/>
        <v/>
      </c>
      <c r="G15" s="466"/>
      <c r="H15" s="853"/>
      <c r="I15" s="853"/>
      <c r="J15" s="466"/>
      <c r="K15" s="466"/>
      <c r="L15" s="471"/>
    </row>
    <row r="16" spans="1:12" s="353" customFormat="1" ht="10.5" customHeight="1">
      <c r="A16" s="740" t="s">
        <v>95</v>
      </c>
      <c r="B16" s="685" t="s">
        <v>295</v>
      </c>
      <c r="C16" s="688">
        <v>194.63587000000001</v>
      </c>
      <c r="D16" s="688">
        <v>152.41277000000002</v>
      </c>
      <c r="E16" s="688">
        <v>215.94517000000002</v>
      </c>
      <c r="F16" s="741">
        <f t="shared" si="0"/>
        <v>0.27703124875953633</v>
      </c>
      <c r="G16" s="466"/>
      <c r="H16" s="853"/>
      <c r="I16" s="853"/>
      <c r="J16" s="466"/>
      <c r="K16" s="466"/>
      <c r="L16" s="471"/>
    </row>
    <row r="17" spans="1:16" s="353" customFormat="1" ht="9.75" customHeight="1">
      <c r="A17" s="742" t="s">
        <v>296</v>
      </c>
      <c r="B17" s="560"/>
      <c r="C17" s="562">
        <v>194.63587000000001</v>
      </c>
      <c r="D17" s="562">
        <v>152.41277000000002</v>
      </c>
      <c r="E17" s="562">
        <v>215.94517000000002</v>
      </c>
      <c r="F17" s="743">
        <f t="shared" si="0"/>
        <v>0.27703124875953633</v>
      </c>
      <c r="G17" s="466"/>
      <c r="H17" s="853"/>
      <c r="I17" s="853"/>
      <c r="J17" s="466"/>
      <c r="K17" s="466"/>
      <c r="L17" s="472"/>
    </row>
    <row r="18" spans="1:16" s="353" customFormat="1" ht="10.5" customHeight="1">
      <c r="A18" s="740" t="s">
        <v>247</v>
      </c>
      <c r="B18" s="685" t="s">
        <v>297</v>
      </c>
      <c r="C18" s="688">
        <v>0</v>
      </c>
      <c r="D18" s="688">
        <v>0</v>
      </c>
      <c r="E18" s="688">
        <v>0</v>
      </c>
      <c r="F18" s="741" t="str">
        <f t="shared" si="0"/>
        <v/>
      </c>
      <c r="G18" s="466"/>
      <c r="H18" s="853"/>
      <c r="I18" s="853"/>
      <c r="J18" s="466"/>
      <c r="K18" s="466"/>
      <c r="L18" s="472"/>
    </row>
    <row r="19" spans="1:16" s="353" customFormat="1" ht="10.5" customHeight="1">
      <c r="A19" s="742" t="s">
        <v>298</v>
      </c>
      <c r="B19" s="560"/>
      <c r="C19" s="562">
        <v>0</v>
      </c>
      <c r="D19" s="562">
        <v>0</v>
      </c>
      <c r="E19" s="562">
        <v>0</v>
      </c>
      <c r="F19" s="743" t="str">
        <f t="shared" si="0"/>
        <v/>
      </c>
      <c r="G19" s="466"/>
      <c r="H19" s="853"/>
      <c r="I19" s="853"/>
      <c r="J19" s="466"/>
      <c r="K19" s="466"/>
      <c r="L19" s="472"/>
    </row>
    <row r="20" spans="1:16" s="353" customFormat="1" ht="10.5" customHeight="1">
      <c r="A20" s="740" t="s">
        <v>94</v>
      </c>
      <c r="B20" s="685" t="s">
        <v>299</v>
      </c>
      <c r="C20" s="688">
        <v>103.22873</v>
      </c>
      <c r="D20" s="688">
        <v>153.99562</v>
      </c>
      <c r="E20" s="688">
        <v>152.50630000000001</v>
      </c>
      <c r="F20" s="741">
        <f t="shared" si="0"/>
        <v>-0.32966450604244457</v>
      </c>
      <c r="G20" s="466"/>
      <c r="H20" s="853"/>
      <c r="I20" s="853"/>
      <c r="J20" s="466"/>
      <c r="K20" s="466"/>
      <c r="L20" s="466"/>
      <c r="M20" s="466"/>
      <c r="N20" s="466"/>
      <c r="O20" s="466"/>
      <c r="P20" s="466"/>
    </row>
    <row r="21" spans="1:16" s="353" customFormat="1" ht="10.5" customHeight="1">
      <c r="A21" s="740"/>
      <c r="B21" s="685" t="s">
        <v>300</v>
      </c>
      <c r="C21" s="688">
        <v>12.58389</v>
      </c>
      <c r="D21" s="688">
        <v>36.621839999999999</v>
      </c>
      <c r="E21" s="688">
        <v>16.59188</v>
      </c>
      <c r="F21" s="741">
        <f t="shared" si="0"/>
        <v>-0.65638291249156233</v>
      </c>
      <c r="G21" s="466"/>
      <c r="H21" s="853"/>
      <c r="I21" s="853"/>
      <c r="J21" s="466"/>
      <c r="K21" s="466"/>
      <c r="L21" s="466"/>
      <c r="M21" s="466"/>
      <c r="N21" s="466"/>
      <c r="O21" s="466"/>
      <c r="P21" s="466"/>
    </row>
    <row r="22" spans="1:16" s="353" customFormat="1" ht="10.5" customHeight="1">
      <c r="A22" s="742" t="s">
        <v>301</v>
      </c>
      <c r="B22" s="560"/>
      <c r="C22" s="562">
        <v>115.81262</v>
      </c>
      <c r="D22" s="562">
        <v>190.61745999999999</v>
      </c>
      <c r="E22" s="562">
        <v>169.09818000000001</v>
      </c>
      <c r="F22" s="743">
        <f t="shared" si="0"/>
        <v>-0.39243435517396985</v>
      </c>
      <c r="G22" s="466"/>
      <c r="H22" s="853"/>
      <c r="I22" s="853"/>
      <c r="J22" s="466"/>
      <c r="K22" s="466"/>
      <c r="L22" s="471"/>
    </row>
    <row r="23" spans="1:16" s="353" customFormat="1" ht="10.5" customHeight="1">
      <c r="A23" s="740" t="s">
        <v>587</v>
      </c>
      <c r="B23" s="685" t="s">
        <v>86</v>
      </c>
      <c r="C23" s="688"/>
      <c r="D23" s="688"/>
      <c r="E23" s="688">
        <v>2.8038999999999996</v>
      </c>
      <c r="F23" s="741" t="str">
        <f t="shared" si="0"/>
        <v/>
      </c>
      <c r="G23" s="466"/>
      <c r="H23" s="853"/>
      <c r="I23" s="853"/>
      <c r="J23" s="466"/>
      <c r="K23" s="466"/>
      <c r="L23" s="471"/>
    </row>
    <row r="24" spans="1:16" s="353" customFormat="1" ht="10.5" customHeight="1">
      <c r="A24" s="742" t="s">
        <v>588</v>
      </c>
      <c r="B24" s="560"/>
      <c r="C24" s="562"/>
      <c r="D24" s="562"/>
      <c r="E24" s="562">
        <v>2.8038999999999996</v>
      </c>
      <c r="F24" s="743" t="str">
        <f t="shared" si="0"/>
        <v/>
      </c>
      <c r="G24" s="466"/>
      <c r="H24" s="853"/>
      <c r="I24" s="853"/>
      <c r="J24" s="466"/>
      <c r="K24" s="466"/>
      <c r="L24" s="471"/>
    </row>
    <row r="25" spans="1:16" s="353" customFormat="1" ht="10.5" customHeight="1">
      <c r="A25" s="740" t="s">
        <v>92</v>
      </c>
      <c r="B25" s="685" t="s">
        <v>302</v>
      </c>
      <c r="C25" s="688">
        <v>1.6665800000000002</v>
      </c>
      <c r="D25" s="688">
        <v>1.6452900000000001</v>
      </c>
      <c r="E25" s="688">
        <v>1.65724</v>
      </c>
      <c r="F25" s="741">
        <f t="shared" si="0"/>
        <v>1.2939968029952231E-2</v>
      </c>
      <c r="G25" s="466"/>
      <c r="H25" s="853"/>
      <c r="I25" s="853"/>
      <c r="J25" s="466"/>
      <c r="K25" s="466"/>
      <c r="L25" s="471"/>
    </row>
    <row r="26" spans="1:16" s="353" customFormat="1" ht="10.5" customHeight="1">
      <c r="A26" s="740"/>
      <c r="B26" s="685" t="s">
        <v>303</v>
      </c>
      <c r="C26" s="688">
        <v>0.57611000000000001</v>
      </c>
      <c r="D26" s="688">
        <v>0.56862999999999997</v>
      </c>
      <c r="E26" s="688">
        <v>0.56774000000000002</v>
      </c>
      <c r="F26" s="741">
        <f t="shared" si="0"/>
        <v>1.3154423790514125E-2</v>
      </c>
      <c r="G26" s="466"/>
      <c r="H26" s="853"/>
      <c r="I26" s="853"/>
      <c r="J26" s="466"/>
      <c r="K26" s="466"/>
      <c r="L26" s="471"/>
    </row>
    <row r="27" spans="1:16" s="353" customFormat="1" ht="10.5" customHeight="1">
      <c r="A27" s="740"/>
      <c r="B27" s="685" t="s">
        <v>304</v>
      </c>
      <c r="C27" s="688">
        <v>4.6443499999999993</v>
      </c>
      <c r="D27" s="688">
        <v>4.54596</v>
      </c>
      <c r="E27" s="688">
        <v>4.5295500000000004</v>
      </c>
      <c r="F27" s="741">
        <f t="shared" si="0"/>
        <v>2.1643393254670018E-2</v>
      </c>
      <c r="G27" s="466"/>
      <c r="H27" s="853"/>
      <c r="I27" s="853"/>
      <c r="J27" s="466"/>
      <c r="K27" s="466"/>
      <c r="L27" s="471"/>
    </row>
    <row r="28" spans="1:16" s="353" customFormat="1" ht="10.5" customHeight="1">
      <c r="A28" s="740"/>
      <c r="B28" s="685" t="s">
        <v>305</v>
      </c>
      <c r="C28" s="688">
        <v>13.970659999999999</v>
      </c>
      <c r="D28" s="688">
        <v>14.2151</v>
      </c>
      <c r="E28" s="688">
        <v>15.052800000000001</v>
      </c>
      <c r="F28" s="741">
        <f t="shared" si="0"/>
        <v>-1.7195798833634757E-2</v>
      </c>
      <c r="G28" s="466"/>
      <c r="H28" s="853"/>
      <c r="I28" s="853"/>
      <c r="J28" s="466"/>
      <c r="K28" s="466"/>
      <c r="L28" s="471"/>
    </row>
    <row r="29" spans="1:16" s="353" customFormat="1" ht="10.5" customHeight="1">
      <c r="A29" s="740"/>
      <c r="B29" s="685" t="s">
        <v>306</v>
      </c>
      <c r="C29" s="688">
        <v>125.61263000000001</v>
      </c>
      <c r="D29" s="688">
        <v>130.47854000000001</v>
      </c>
      <c r="E29" s="688">
        <v>141.08004</v>
      </c>
      <c r="F29" s="741">
        <f t="shared" si="0"/>
        <v>-3.7292799260322806E-2</v>
      </c>
      <c r="G29" s="466"/>
      <c r="H29" s="853"/>
      <c r="I29" s="853"/>
      <c r="J29" s="466"/>
      <c r="K29" s="466"/>
      <c r="L29" s="473"/>
    </row>
    <row r="30" spans="1:16" s="353" customFormat="1" ht="10.5" customHeight="1">
      <c r="A30" s="740"/>
      <c r="B30" s="685" t="s">
        <v>307</v>
      </c>
      <c r="C30" s="688">
        <v>8.5769599999999997</v>
      </c>
      <c r="D30" s="688">
        <v>8.6522699999999997</v>
      </c>
      <c r="E30" s="688">
        <v>8.7347099999999998</v>
      </c>
      <c r="F30" s="741">
        <f t="shared" si="0"/>
        <v>-8.7040741909348851E-3</v>
      </c>
      <c r="G30" s="466"/>
      <c r="H30" s="853"/>
      <c r="I30" s="853"/>
      <c r="J30" s="466"/>
      <c r="K30" s="466"/>
      <c r="L30" s="471"/>
    </row>
    <row r="31" spans="1:16" s="353" customFormat="1" ht="10.5" customHeight="1">
      <c r="A31" s="740"/>
      <c r="B31" s="685" t="s">
        <v>308</v>
      </c>
      <c r="C31" s="688">
        <v>0</v>
      </c>
      <c r="D31" s="688">
        <v>0</v>
      </c>
      <c r="E31" s="688">
        <v>0</v>
      </c>
      <c r="F31" s="741" t="str">
        <f t="shared" si="0"/>
        <v/>
      </c>
      <c r="G31" s="466"/>
      <c r="H31" s="853"/>
      <c r="I31" s="853"/>
      <c r="J31" s="466"/>
      <c r="K31" s="466"/>
      <c r="L31" s="471"/>
    </row>
    <row r="32" spans="1:16" s="353" customFormat="1" ht="10.5" customHeight="1">
      <c r="A32" s="740"/>
      <c r="B32" s="685" t="s">
        <v>309</v>
      </c>
      <c r="C32" s="688">
        <v>0</v>
      </c>
      <c r="D32" s="688">
        <v>0</v>
      </c>
      <c r="E32" s="688">
        <v>0</v>
      </c>
      <c r="F32" s="741" t="str">
        <f t="shared" si="0"/>
        <v/>
      </c>
      <c r="G32" s="466"/>
      <c r="H32" s="853"/>
      <c r="I32" s="853"/>
      <c r="J32" s="466"/>
      <c r="K32" s="466"/>
      <c r="L32" s="471"/>
    </row>
    <row r="33" spans="1:12" s="353" customFormat="1" ht="10.5" customHeight="1">
      <c r="A33" s="740"/>
      <c r="B33" s="685" t="s">
        <v>310</v>
      </c>
      <c r="C33" s="688">
        <v>0</v>
      </c>
      <c r="D33" s="688">
        <v>0</v>
      </c>
      <c r="E33" s="688">
        <v>71.371120000000005</v>
      </c>
      <c r="F33" s="741" t="str">
        <f t="shared" si="0"/>
        <v/>
      </c>
      <c r="G33" s="466"/>
      <c r="H33" s="853"/>
      <c r="I33" s="853"/>
      <c r="J33" s="466"/>
      <c r="K33" s="466"/>
      <c r="L33" s="473"/>
    </row>
    <row r="34" spans="1:12" s="353" customFormat="1" ht="10.5" customHeight="1">
      <c r="A34" s="742" t="s">
        <v>311</v>
      </c>
      <c r="B34" s="560"/>
      <c r="C34" s="562">
        <v>155.04729000000003</v>
      </c>
      <c r="D34" s="562">
        <v>160.10578999999998</v>
      </c>
      <c r="E34" s="562">
        <v>242.9932</v>
      </c>
      <c r="F34" s="743">
        <f t="shared" si="0"/>
        <v>-3.1594734956180814E-2</v>
      </c>
      <c r="G34" s="466"/>
      <c r="H34" s="853"/>
      <c r="I34" s="853"/>
      <c r="J34" s="466"/>
      <c r="K34" s="466"/>
      <c r="L34" s="471"/>
    </row>
    <row r="35" spans="1:12" s="353" customFormat="1" ht="10.5" customHeight="1">
      <c r="A35" s="740" t="s">
        <v>115</v>
      </c>
      <c r="B35" s="685" t="s">
        <v>71</v>
      </c>
      <c r="C35" s="688">
        <v>1.6198300000000001</v>
      </c>
      <c r="D35" s="688">
        <v>1.50709</v>
      </c>
      <c r="E35" s="688">
        <v>2.52</v>
      </c>
      <c r="F35" s="741">
        <f t="shared" si="0"/>
        <v>7.4806415011711369E-2</v>
      </c>
      <c r="G35" s="466"/>
      <c r="H35" s="853"/>
      <c r="I35" s="853"/>
      <c r="J35" s="466"/>
      <c r="K35" s="466"/>
      <c r="L35" s="471"/>
    </row>
    <row r="36" spans="1:12" s="353" customFormat="1" ht="10.5" customHeight="1">
      <c r="A36" s="742" t="s">
        <v>312</v>
      </c>
      <c r="B36" s="560"/>
      <c r="C36" s="562">
        <v>1.6198300000000001</v>
      </c>
      <c r="D36" s="562">
        <v>1.50709</v>
      </c>
      <c r="E36" s="562">
        <v>2.52</v>
      </c>
      <c r="F36" s="743">
        <f t="shared" si="0"/>
        <v>7.4806415011711369E-2</v>
      </c>
      <c r="G36" s="466"/>
      <c r="H36" s="853"/>
      <c r="I36" s="853"/>
      <c r="J36" s="466"/>
      <c r="K36" s="466"/>
      <c r="L36" s="471"/>
    </row>
    <row r="37" spans="1:12" s="353" customFormat="1" ht="10.5" customHeight="1">
      <c r="A37" s="740" t="s">
        <v>93</v>
      </c>
      <c r="B37" s="685" t="s">
        <v>313</v>
      </c>
      <c r="C37" s="688">
        <v>107.57561</v>
      </c>
      <c r="D37" s="688">
        <v>158.59775999999999</v>
      </c>
      <c r="E37" s="688">
        <v>133.73695999999998</v>
      </c>
      <c r="F37" s="741">
        <f t="shared" si="0"/>
        <v>-0.32170788540771322</v>
      </c>
      <c r="G37" s="466"/>
      <c r="H37" s="853"/>
      <c r="I37" s="853"/>
      <c r="J37" s="466"/>
      <c r="K37" s="466"/>
      <c r="L37" s="471"/>
    </row>
    <row r="38" spans="1:12" s="353" customFormat="1" ht="10.5" customHeight="1">
      <c r="A38" s="742" t="s">
        <v>314</v>
      </c>
      <c r="B38" s="560"/>
      <c r="C38" s="562">
        <v>107.57561</v>
      </c>
      <c r="D38" s="562">
        <v>158.59775999999999</v>
      </c>
      <c r="E38" s="562">
        <v>133.73695999999998</v>
      </c>
      <c r="F38" s="743">
        <f t="shared" si="0"/>
        <v>-0.32170788540771322</v>
      </c>
      <c r="G38" s="466"/>
      <c r="H38" s="853"/>
      <c r="I38" s="853"/>
      <c r="J38" s="466"/>
      <c r="K38" s="466"/>
      <c r="L38" s="471"/>
    </row>
    <row r="39" spans="1:12" s="353" customFormat="1" ht="10.5" customHeight="1">
      <c r="A39" s="740" t="s">
        <v>102</v>
      </c>
      <c r="B39" s="685" t="s">
        <v>315</v>
      </c>
      <c r="C39" s="688">
        <v>15.978000000000002</v>
      </c>
      <c r="D39" s="688">
        <v>16.788</v>
      </c>
      <c r="E39" s="688">
        <v>17.579999999999998</v>
      </c>
      <c r="F39" s="741">
        <f t="shared" si="0"/>
        <v>-4.8248749106504563E-2</v>
      </c>
      <c r="G39" s="466"/>
      <c r="H39" s="853"/>
      <c r="I39" s="853"/>
      <c r="J39" s="466"/>
      <c r="K39" s="466"/>
      <c r="L39" s="471"/>
    </row>
    <row r="40" spans="1:12" s="353" customFormat="1" ht="10.5" customHeight="1">
      <c r="A40" s="740"/>
      <c r="B40" s="685" t="s">
        <v>316</v>
      </c>
      <c r="C40" s="688">
        <v>8.8859999999999992</v>
      </c>
      <c r="D40" s="688">
        <v>10.398</v>
      </c>
      <c r="E40" s="688">
        <v>10.56</v>
      </c>
      <c r="F40" s="741">
        <f t="shared" si="0"/>
        <v>-0.14541257934218121</v>
      </c>
      <c r="G40" s="466"/>
      <c r="H40" s="853"/>
      <c r="I40" s="853"/>
      <c r="J40" s="466"/>
      <c r="K40" s="466"/>
      <c r="L40" s="471"/>
    </row>
    <row r="41" spans="1:12" s="353" customFormat="1" ht="10.5" customHeight="1">
      <c r="A41" s="740"/>
      <c r="B41" s="685" t="s">
        <v>317</v>
      </c>
      <c r="C41" s="688">
        <v>0</v>
      </c>
      <c r="D41" s="688">
        <v>20.864460000000001</v>
      </c>
      <c r="E41" s="688">
        <v>21.70636</v>
      </c>
      <c r="F41" s="741">
        <f t="shared" si="0"/>
        <v>-1</v>
      </c>
      <c r="G41" s="466"/>
      <c r="H41" s="853"/>
      <c r="I41" s="853"/>
      <c r="J41" s="466"/>
      <c r="K41" s="466"/>
      <c r="L41" s="471"/>
    </row>
    <row r="42" spans="1:12" s="353" customFormat="1" ht="10.5" customHeight="1">
      <c r="A42" s="742" t="s">
        <v>318</v>
      </c>
      <c r="B42" s="560"/>
      <c r="C42" s="562">
        <v>24.864000000000001</v>
      </c>
      <c r="D42" s="562">
        <v>48.050460000000001</v>
      </c>
      <c r="E42" s="562">
        <v>49.846360000000004</v>
      </c>
      <c r="F42" s="743">
        <f t="shared" si="0"/>
        <v>-0.48254397564560259</v>
      </c>
      <c r="G42" s="466"/>
      <c r="H42" s="853"/>
      <c r="I42" s="853"/>
      <c r="J42" s="466"/>
      <c r="K42" s="466"/>
      <c r="L42" s="471"/>
    </row>
    <row r="43" spans="1:12" s="353" customFormat="1" ht="20.25" customHeight="1">
      <c r="A43" s="755" t="s">
        <v>612</v>
      </c>
      <c r="B43" s="685" t="s">
        <v>76</v>
      </c>
      <c r="C43" s="688">
        <v>0.86545000000000005</v>
      </c>
      <c r="D43" s="688">
        <v>0</v>
      </c>
      <c r="E43" s="688">
        <v>0.20812</v>
      </c>
      <c r="F43" s="741" t="str">
        <f t="shared" si="0"/>
        <v/>
      </c>
      <c r="G43" s="466"/>
      <c r="H43" s="853"/>
      <c r="I43" s="853"/>
      <c r="J43" s="466"/>
      <c r="K43" s="466"/>
      <c r="L43" s="471"/>
    </row>
    <row r="44" spans="1:12" s="353" customFormat="1" ht="20.25" customHeight="1">
      <c r="A44" s="841" t="s">
        <v>593</v>
      </c>
      <c r="B44" s="560"/>
      <c r="C44" s="562">
        <v>0.86545000000000005</v>
      </c>
      <c r="D44" s="562">
        <v>0</v>
      </c>
      <c r="E44" s="562">
        <v>0.20812</v>
      </c>
      <c r="F44" s="743" t="str">
        <f t="shared" si="0"/>
        <v/>
      </c>
      <c r="G44" s="466"/>
      <c r="H44" s="853"/>
      <c r="I44" s="853"/>
      <c r="J44" s="466"/>
      <c r="K44" s="466"/>
      <c r="L44" s="471"/>
    </row>
    <row r="45" spans="1:12" s="353" customFormat="1" ht="10.5" customHeight="1">
      <c r="A45" s="740" t="s">
        <v>116</v>
      </c>
      <c r="B45" s="685" t="s">
        <v>74</v>
      </c>
      <c r="C45" s="688">
        <v>2.3477800000000002</v>
      </c>
      <c r="D45" s="688">
        <v>2.5080900000000002</v>
      </c>
      <c r="E45" s="688">
        <v>3.0453599999999996</v>
      </c>
      <c r="F45" s="741">
        <f t="shared" si="0"/>
        <v>-6.391716405711112E-2</v>
      </c>
      <c r="G45" s="466"/>
      <c r="H45" s="853"/>
      <c r="I45" s="853"/>
      <c r="J45" s="466"/>
      <c r="K45" s="466"/>
      <c r="L45" s="471"/>
    </row>
    <row r="46" spans="1:12" s="353" customFormat="1" ht="10.5" customHeight="1">
      <c r="A46" s="742" t="s">
        <v>319</v>
      </c>
      <c r="B46" s="560"/>
      <c r="C46" s="562">
        <v>2.3477800000000002</v>
      </c>
      <c r="D46" s="562">
        <v>2.5080900000000002</v>
      </c>
      <c r="E46" s="562">
        <v>3.0453599999999996</v>
      </c>
      <c r="F46" s="743">
        <f t="shared" si="0"/>
        <v>-6.391716405711112E-2</v>
      </c>
      <c r="G46" s="466"/>
      <c r="H46" s="853"/>
      <c r="I46" s="853"/>
      <c r="J46" s="466"/>
      <c r="K46" s="466"/>
      <c r="L46" s="474"/>
    </row>
    <row r="47" spans="1:12" s="353" customFormat="1" ht="10.5" customHeight="1">
      <c r="A47" s="740" t="s">
        <v>757</v>
      </c>
      <c r="B47" s="685" t="s">
        <v>765</v>
      </c>
      <c r="C47" s="688">
        <v>8.8300000000000003E-2</v>
      </c>
      <c r="D47" s="688"/>
      <c r="E47" s="688"/>
      <c r="F47" s="741" t="str">
        <f t="shared" si="0"/>
        <v/>
      </c>
      <c r="G47" s="466"/>
      <c r="H47" s="853"/>
      <c r="I47" s="853"/>
      <c r="J47" s="466"/>
      <c r="K47" s="466"/>
      <c r="L47" s="471"/>
    </row>
    <row r="48" spans="1:12" s="353" customFormat="1" ht="10.5" customHeight="1">
      <c r="A48" s="742" t="s">
        <v>495</v>
      </c>
      <c r="B48" s="560"/>
      <c r="C48" s="562">
        <v>8.8300000000000003E-2</v>
      </c>
      <c r="D48" s="562"/>
      <c r="E48" s="562"/>
      <c r="F48" s="743" t="str">
        <f t="shared" si="0"/>
        <v/>
      </c>
      <c r="G48" s="466"/>
      <c r="H48" s="853"/>
      <c r="I48" s="853"/>
      <c r="J48" s="466"/>
      <c r="K48" s="466"/>
      <c r="L48" s="471"/>
    </row>
    <row r="49" spans="1:12" s="353" customFormat="1" ht="10.5" customHeight="1">
      <c r="A49" s="740" t="s">
        <v>90</v>
      </c>
      <c r="B49" s="685" t="s">
        <v>320</v>
      </c>
      <c r="C49" s="688">
        <v>578.82719999999995</v>
      </c>
      <c r="D49" s="688">
        <v>644.23919999999998</v>
      </c>
      <c r="E49" s="688">
        <v>649.31760000000008</v>
      </c>
      <c r="F49" s="741">
        <f t="shared" si="0"/>
        <v>-0.10153371604832495</v>
      </c>
      <c r="G49" s="466"/>
      <c r="H49" s="853"/>
      <c r="I49" s="853"/>
      <c r="J49" s="466"/>
      <c r="K49" s="466"/>
      <c r="L49" s="471"/>
    </row>
    <row r="50" spans="1:12" s="353" customFormat="1" ht="10.5" customHeight="1">
      <c r="A50" s="740"/>
      <c r="B50" s="685" t="s">
        <v>321</v>
      </c>
      <c r="C50" s="688">
        <v>142.76927999999998</v>
      </c>
      <c r="D50" s="688">
        <v>209.0976</v>
      </c>
      <c r="E50" s="688">
        <v>205.74144000000001</v>
      </c>
      <c r="F50" s="741">
        <f t="shared" si="0"/>
        <v>-0.31721224920802549</v>
      </c>
      <c r="G50" s="466"/>
      <c r="H50" s="853"/>
      <c r="I50" s="853"/>
      <c r="J50" s="466"/>
      <c r="K50" s="466"/>
      <c r="L50" s="471"/>
    </row>
    <row r="51" spans="1:12" s="353" customFormat="1" ht="10.5" customHeight="1">
      <c r="A51" s="740"/>
      <c r="B51" s="685" t="s">
        <v>322</v>
      </c>
      <c r="C51" s="688">
        <v>0</v>
      </c>
      <c r="D51" s="688">
        <v>0</v>
      </c>
      <c r="E51" s="688">
        <v>0</v>
      </c>
      <c r="F51" s="741" t="str">
        <f t="shared" si="0"/>
        <v/>
      </c>
      <c r="G51" s="466"/>
      <c r="H51" s="853"/>
      <c r="I51" s="853"/>
      <c r="J51" s="466"/>
      <c r="K51" s="466"/>
      <c r="L51" s="471"/>
    </row>
    <row r="52" spans="1:12" s="353" customFormat="1" ht="10.5" customHeight="1">
      <c r="A52" s="742" t="s">
        <v>323</v>
      </c>
      <c r="B52" s="560"/>
      <c r="C52" s="562">
        <v>721.59647999999993</v>
      </c>
      <c r="D52" s="562">
        <v>853.33680000000004</v>
      </c>
      <c r="E52" s="562">
        <v>855.0590400000001</v>
      </c>
      <c r="F52" s="743">
        <f t="shared" si="0"/>
        <v>-0.15438256032084885</v>
      </c>
      <c r="G52" s="466"/>
      <c r="H52" s="853"/>
      <c r="I52" s="853"/>
      <c r="J52" s="466"/>
      <c r="K52" s="466"/>
      <c r="L52" s="471"/>
    </row>
    <row r="53" spans="1:12" s="353" customFormat="1" ht="10.5" customHeight="1">
      <c r="A53" s="740" t="s">
        <v>248</v>
      </c>
      <c r="B53" s="685" t="s">
        <v>324</v>
      </c>
      <c r="C53" s="688">
        <v>350.50255000000004</v>
      </c>
      <c r="D53" s="688">
        <v>449.53442000000001</v>
      </c>
      <c r="E53" s="688">
        <v>287.13936000000001</v>
      </c>
      <c r="F53" s="741">
        <f t="shared" si="0"/>
        <v>-0.22029874820264039</v>
      </c>
      <c r="G53" s="466"/>
      <c r="H53" s="853"/>
      <c r="I53" s="853"/>
      <c r="J53" s="466"/>
      <c r="K53" s="466"/>
      <c r="L53" s="471"/>
    </row>
    <row r="54" spans="1:12" s="353" customFormat="1" ht="10.5" customHeight="1">
      <c r="A54" s="740"/>
      <c r="B54" s="685" t="s">
        <v>325</v>
      </c>
      <c r="C54" s="688">
        <v>6.2777799999999999</v>
      </c>
      <c r="D54" s="688">
        <v>0</v>
      </c>
      <c r="E54" s="688">
        <v>6.4437499999999996</v>
      </c>
      <c r="F54" s="741" t="str">
        <f t="shared" si="0"/>
        <v/>
      </c>
      <c r="G54" s="466"/>
      <c r="H54" s="853"/>
      <c r="I54" s="853"/>
      <c r="J54" s="466"/>
      <c r="K54" s="466"/>
      <c r="L54" s="471"/>
    </row>
    <row r="55" spans="1:12" s="353" customFormat="1" ht="10.5" customHeight="1">
      <c r="A55" s="742" t="s">
        <v>326</v>
      </c>
      <c r="B55" s="560"/>
      <c r="C55" s="562">
        <v>356.78033000000005</v>
      </c>
      <c r="D55" s="562">
        <v>449.53442000000001</v>
      </c>
      <c r="E55" s="562">
        <v>293.58311000000003</v>
      </c>
      <c r="F55" s="743">
        <f t="shared" si="0"/>
        <v>-0.20633367740783892</v>
      </c>
      <c r="G55" s="466"/>
      <c r="H55" s="853"/>
      <c r="I55" s="853"/>
      <c r="J55" s="466"/>
      <c r="K55" s="466"/>
    </row>
    <row r="56" spans="1:12" s="353" customFormat="1" ht="10.5" customHeight="1">
      <c r="A56" s="740" t="s">
        <v>249</v>
      </c>
      <c r="B56" s="685" t="s">
        <v>327</v>
      </c>
      <c r="C56" s="688">
        <v>47.267439999999993</v>
      </c>
      <c r="D56" s="688">
        <v>82.497349999999997</v>
      </c>
      <c r="E56" s="688">
        <v>94.997990000000001</v>
      </c>
      <c r="F56" s="741">
        <f t="shared" si="0"/>
        <v>-0.42704292925772769</v>
      </c>
      <c r="G56" s="466"/>
      <c r="H56" s="853"/>
      <c r="I56" s="853"/>
      <c r="J56" s="466"/>
      <c r="K56" s="466"/>
    </row>
    <row r="57" spans="1:12" s="353" customFormat="1" ht="10.5" customHeight="1">
      <c r="A57" s="742" t="s">
        <v>328</v>
      </c>
      <c r="B57" s="560"/>
      <c r="C57" s="562">
        <v>47.267439999999993</v>
      </c>
      <c r="D57" s="562">
        <v>82.497349999999997</v>
      </c>
      <c r="E57" s="562">
        <v>94.997990000000001</v>
      </c>
      <c r="F57" s="743">
        <f t="shared" si="0"/>
        <v>-0.42704292925772769</v>
      </c>
      <c r="G57" s="466"/>
      <c r="H57" s="853"/>
      <c r="I57" s="853"/>
      <c r="J57" s="466"/>
      <c r="K57" s="466"/>
    </row>
    <row r="58" spans="1:12" s="353" customFormat="1" ht="10.5" customHeight="1">
      <c r="A58" s="755" t="s">
        <v>611</v>
      </c>
      <c r="B58" s="685" t="s">
        <v>66</v>
      </c>
      <c r="C58" s="688">
        <v>2.7141000000000002</v>
      </c>
      <c r="D58" s="688">
        <v>8.5706500000000005</v>
      </c>
      <c r="E58" s="688">
        <v>4.0742700000000003</v>
      </c>
      <c r="F58" s="741">
        <f t="shared" si="0"/>
        <v>-0.68332623546638827</v>
      </c>
      <c r="G58" s="466"/>
      <c r="H58" s="853"/>
      <c r="I58" s="853"/>
      <c r="J58" s="466"/>
      <c r="K58" s="466"/>
    </row>
    <row r="59" spans="1:12" s="353" customFormat="1" ht="10.5" customHeight="1">
      <c r="A59" s="740"/>
      <c r="B59" s="685" t="s">
        <v>65</v>
      </c>
      <c r="C59" s="688">
        <v>2.76423</v>
      </c>
      <c r="D59" s="688">
        <v>9.6695399999999996</v>
      </c>
      <c r="E59" s="688">
        <v>4.23637</v>
      </c>
      <c r="F59" s="741">
        <f t="shared" si="0"/>
        <v>-0.71413014476386671</v>
      </c>
      <c r="G59" s="466"/>
      <c r="H59" s="853"/>
      <c r="I59" s="853"/>
      <c r="J59" s="466"/>
      <c r="K59" s="466"/>
    </row>
    <row r="60" spans="1:12" s="353" customFormat="1" ht="10.5" customHeight="1">
      <c r="A60" s="740"/>
      <c r="B60" s="685" t="s">
        <v>61</v>
      </c>
      <c r="C60" s="688">
        <v>4.8383900000000004</v>
      </c>
      <c r="D60" s="688">
        <v>17.111529999999998</v>
      </c>
      <c r="E60" s="688">
        <v>11.75076</v>
      </c>
      <c r="F60" s="741">
        <f t="shared" si="0"/>
        <v>-0.71724387006889501</v>
      </c>
      <c r="G60" s="466"/>
      <c r="H60" s="853"/>
      <c r="I60" s="853"/>
      <c r="J60" s="466"/>
      <c r="K60" s="466"/>
    </row>
    <row r="61" spans="1:12" s="353" customFormat="1" ht="10.5" customHeight="1">
      <c r="A61" s="740"/>
      <c r="B61" s="685" t="s">
        <v>58</v>
      </c>
      <c r="C61" s="688">
        <v>7.3035300000000003</v>
      </c>
      <c r="D61" s="688">
        <v>20.13317</v>
      </c>
      <c r="E61" s="688">
        <v>10.06068</v>
      </c>
      <c r="F61" s="741">
        <f t="shared" si="0"/>
        <v>-0.63723894448812579</v>
      </c>
      <c r="G61" s="466"/>
      <c r="H61" s="853"/>
      <c r="I61" s="853"/>
      <c r="J61" s="466"/>
      <c r="K61" s="466"/>
    </row>
    <row r="62" spans="1:12" s="353" customFormat="1" ht="10.5" customHeight="1">
      <c r="A62" s="740"/>
      <c r="B62" s="685" t="s">
        <v>69</v>
      </c>
      <c r="C62" s="688">
        <v>1.5184</v>
      </c>
      <c r="D62" s="688">
        <v>2.24166</v>
      </c>
      <c r="E62" s="688">
        <v>3.1171899999999999</v>
      </c>
      <c r="F62" s="741">
        <f t="shared" si="0"/>
        <v>-0.3226448257095188</v>
      </c>
      <c r="G62" s="466"/>
      <c r="H62" s="853"/>
      <c r="I62" s="853"/>
      <c r="J62" s="466"/>
      <c r="K62" s="466"/>
    </row>
    <row r="63" spans="1:12" s="353" customFormat="1" ht="10.5" customHeight="1">
      <c r="A63" s="740"/>
      <c r="B63" s="685" t="s">
        <v>68</v>
      </c>
      <c r="C63" s="688">
        <v>1.8930800000000001</v>
      </c>
      <c r="D63" s="688">
        <v>2.5017100000000001</v>
      </c>
      <c r="E63" s="688">
        <v>3.5369999999999999</v>
      </c>
      <c r="F63" s="741">
        <f t="shared" si="0"/>
        <v>-0.24328559265462424</v>
      </c>
      <c r="G63" s="466"/>
      <c r="H63" s="853"/>
      <c r="I63" s="853"/>
      <c r="J63" s="466"/>
      <c r="K63" s="466"/>
    </row>
    <row r="64" spans="1:12" s="353" customFormat="1" ht="15.75" customHeight="1">
      <c r="A64" s="841" t="s">
        <v>606</v>
      </c>
      <c r="B64" s="560"/>
      <c r="C64" s="562">
        <v>21.03173</v>
      </c>
      <c r="D64" s="562">
        <v>60.228260000000006</v>
      </c>
      <c r="E64" s="562">
        <v>36.776269999999997</v>
      </c>
      <c r="F64" s="743">
        <f t="shared" si="0"/>
        <v>-0.65079964123154155</v>
      </c>
      <c r="G64" s="466"/>
      <c r="H64" s="853"/>
      <c r="I64" s="853"/>
      <c r="J64" s="466"/>
      <c r="K64" s="466"/>
    </row>
    <row r="65" spans="1:11" s="353" customFormat="1" ht="10.5" customHeight="1">
      <c r="A65" s="740" t="s">
        <v>89</v>
      </c>
      <c r="B65" s="685" t="s">
        <v>759</v>
      </c>
      <c r="C65" s="688">
        <v>67.984939999999995</v>
      </c>
      <c r="D65" s="688"/>
      <c r="E65" s="688"/>
      <c r="F65" s="741" t="str">
        <f t="shared" si="0"/>
        <v/>
      </c>
      <c r="G65" s="466"/>
      <c r="H65" s="853"/>
      <c r="I65" s="853"/>
      <c r="J65" s="466"/>
      <c r="K65" s="466"/>
    </row>
    <row r="66" spans="1:11" s="353" customFormat="1" ht="10.5" customHeight="1">
      <c r="A66" s="740"/>
      <c r="B66" s="685" t="s">
        <v>329</v>
      </c>
      <c r="C66" s="688">
        <v>22.211469999999998</v>
      </c>
      <c r="D66" s="688">
        <v>29.2727</v>
      </c>
      <c r="E66" s="688">
        <v>30.469670000000001</v>
      </c>
      <c r="F66" s="741">
        <f t="shared" si="0"/>
        <v>-0.24122236759847915</v>
      </c>
      <c r="G66" s="466"/>
      <c r="H66" s="854"/>
      <c r="I66" s="853"/>
      <c r="J66" s="466"/>
      <c r="K66" s="466"/>
    </row>
    <row r="67" spans="1:11" s="353" customFormat="1" ht="10.5" customHeight="1">
      <c r="A67" s="740"/>
      <c r="B67" s="685" t="s">
        <v>330</v>
      </c>
      <c r="C67" s="688">
        <v>139.06727999999998</v>
      </c>
      <c r="D67" s="688">
        <v>173.11340000000001</v>
      </c>
      <c r="E67" s="688">
        <v>221.62903</v>
      </c>
      <c r="F67" s="741">
        <f t="shared" si="0"/>
        <v>-0.1966694663729095</v>
      </c>
      <c r="G67" s="466"/>
      <c r="H67" s="854"/>
      <c r="I67" s="853"/>
      <c r="J67" s="466"/>
      <c r="K67" s="466"/>
    </row>
    <row r="68" spans="1:11" s="353" customFormat="1" ht="10.5" customHeight="1">
      <c r="A68" s="740"/>
      <c r="B68" s="685" t="s">
        <v>331</v>
      </c>
      <c r="C68" s="688">
        <v>87.614910000000009</v>
      </c>
      <c r="D68" s="688">
        <v>87.253540000000001</v>
      </c>
      <c r="E68" s="688">
        <v>125.8318</v>
      </c>
      <c r="F68" s="741">
        <f t="shared" si="0"/>
        <v>4.1416084665448771E-3</v>
      </c>
      <c r="G68" s="475"/>
      <c r="H68" s="854"/>
      <c r="I68" s="853"/>
      <c r="J68" s="466"/>
      <c r="K68" s="466"/>
    </row>
    <row r="69" spans="1:11" s="353" customFormat="1" ht="10.5" customHeight="1">
      <c r="A69" s="740"/>
      <c r="B69" s="685" t="s">
        <v>332</v>
      </c>
      <c r="C69" s="688">
        <v>62.895859999999999</v>
      </c>
      <c r="D69" s="688">
        <v>50.944249999999997</v>
      </c>
      <c r="E69" s="688">
        <v>57.997</v>
      </c>
      <c r="F69" s="741">
        <f t="shared" si="0"/>
        <v>0.23460174602629347</v>
      </c>
      <c r="G69" s="475"/>
      <c r="H69" s="854"/>
      <c r="I69" s="853"/>
      <c r="J69" s="466"/>
      <c r="K69" s="466"/>
    </row>
    <row r="70" spans="1:11" s="353" customFormat="1" ht="10.5" customHeight="1">
      <c r="A70" s="740"/>
      <c r="B70" s="685" t="s">
        <v>333</v>
      </c>
      <c r="C70" s="688">
        <v>169.37254999999999</v>
      </c>
      <c r="D70" s="688">
        <v>0</v>
      </c>
      <c r="E70" s="688">
        <v>0</v>
      </c>
      <c r="F70" s="741" t="str">
        <f t="shared" si="0"/>
        <v/>
      </c>
      <c r="G70" s="475"/>
      <c r="H70" s="854"/>
      <c r="I70" s="853"/>
      <c r="J70" s="466"/>
      <c r="K70" s="466"/>
    </row>
    <row r="71" spans="1:11" s="353" customFormat="1" ht="10.5" customHeight="1">
      <c r="A71" s="740"/>
      <c r="B71" s="685" t="s">
        <v>334</v>
      </c>
      <c r="C71" s="688">
        <v>188.79067000000001</v>
      </c>
      <c r="D71" s="688">
        <v>0</v>
      </c>
      <c r="E71" s="688">
        <v>0</v>
      </c>
      <c r="F71" s="741" t="str">
        <f t="shared" ref="F71:F81" si="1">+IF(D71=0,"",C71/D71-1)</f>
        <v/>
      </c>
      <c r="G71" s="475"/>
      <c r="H71" s="853"/>
      <c r="I71" s="853"/>
      <c r="J71" s="466"/>
      <c r="K71" s="466"/>
    </row>
    <row r="72" spans="1:11" s="353" customFormat="1" ht="10.5" customHeight="1">
      <c r="A72" s="740"/>
      <c r="B72" s="685" t="s">
        <v>335</v>
      </c>
      <c r="C72" s="688">
        <v>446.30686000000003</v>
      </c>
      <c r="D72" s="688">
        <v>459.74850000000004</v>
      </c>
      <c r="E72" s="688">
        <v>456.11091999999996</v>
      </c>
      <c r="F72" s="741">
        <f t="shared" si="1"/>
        <v>-2.923694150171241E-2</v>
      </c>
      <c r="G72" s="475"/>
      <c r="H72" s="853"/>
      <c r="I72" s="853"/>
      <c r="J72" s="466"/>
      <c r="K72" s="466"/>
    </row>
    <row r="73" spans="1:11" s="353" customFormat="1" ht="10.5" customHeight="1">
      <c r="A73" s="740"/>
      <c r="B73" s="685" t="s">
        <v>485</v>
      </c>
      <c r="C73" s="688">
        <v>0.34992000000000001</v>
      </c>
      <c r="D73" s="688">
        <v>0.61536000000000002</v>
      </c>
      <c r="E73" s="688"/>
      <c r="F73" s="741">
        <f t="shared" si="1"/>
        <v>-0.43135725429017158</v>
      </c>
      <c r="G73" s="466"/>
      <c r="H73" s="853"/>
      <c r="I73" s="853"/>
      <c r="J73" s="466"/>
      <c r="K73" s="466"/>
    </row>
    <row r="74" spans="1:11" s="353" customFormat="1" ht="10.5" customHeight="1">
      <c r="A74" s="742" t="s">
        <v>336</v>
      </c>
      <c r="B74" s="560"/>
      <c r="C74" s="562">
        <v>1184.59446</v>
      </c>
      <c r="D74" s="562">
        <v>800.94775000000004</v>
      </c>
      <c r="E74" s="562">
        <v>892.03841999999997</v>
      </c>
      <c r="F74" s="743">
        <f t="shared" si="1"/>
        <v>0.47899093292914552</v>
      </c>
      <c r="G74" s="466"/>
      <c r="H74" s="853"/>
      <c r="I74" s="853"/>
      <c r="J74" s="466"/>
      <c r="K74" s="466"/>
    </row>
    <row r="75" spans="1:11" s="353" customFormat="1" ht="10.5" customHeight="1">
      <c r="A75" s="740" t="s">
        <v>97</v>
      </c>
      <c r="B75" s="685" t="s">
        <v>337</v>
      </c>
      <c r="C75" s="688">
        <v>0</v>
      </c>
      <c r="D75" s="688">
        <v>0</v>
      </c>
      <c r="E75" s="688">
        <v>0</v>
      </c>
      <c r="F75" s="741" t="str">
        <f t="shared" si="1"/>
        <v/>
      </c>
      <c r="G75" s="466"/>
      <c r="H75" s="853"/>
      <c r="I75" s="853"/>
      <c r="J75" s="466"/>
      <c r="K75" s="466"/>
    </row>
    <row r="76" spans="1:11" s="353" customFormat="1" ht="10.5" customHeight="1">
      <c r="A76" s="740"/>
      <c r="B76" s="685" t="s">
        <v>338</v>
      </c>
      <c r="C76" s="688">
        <v>90.786299999999997</v>
      </c>
      <c r="D76" s="688">
        <v>90.94068</v>
      </c>
      <c r="E76" s="688">
        <v>90.254440000000002</v>
      </c>
      <c r="F76" s="741">
        <f t="shared" si="1"/>
        <v>-1.6975901213847067E-3</v>
      </c>
      <c r="G76" s="476"/>
      <c r="H76" s="853"/>
      <c r="I76" s="853"/>
      <c r="J76" s="466"/>
      <c r="K76" s="466"/>
    </row>
    <row r="77" spans="1:11" s="353" customFormat="1" ht="10.5" customHeight="1">
      <c r="A77" s="740"/>
      <c r="B77" s="685" t="s">
        <v>339</v>
      </c>
      <c r="C77" s="688">
        <v>0</v>
      </c>
      <c r="D77" s="688">
        <v>0</v>
      </c>
      <c r="E77" s="688">
        <v>0</v>
      </c>
      <c r="F77" s="741" t="str">
        <f t="shared" si="1"/>
        <v/>
      </c>
      <c r="G77" s="476"/>
      <c r="H77" s="280"/>
      <c r="I77" s="853"/>
      <c r="J77" s="466"/>
      <c r="K77" s="466"/>
    </row>
    <row r="78" spans="1:11" s="353" customFormat="1" ht="10.5" customHeight="1">
      <c r="A78" s="742" t="s">
        <v>340</v>
      </c>
      <c r="B78" s="560"/>
      <c r="C78" s="562">
        <v>90.786299999999997</v>
      </c>
      <c r="D78" s="562">
        <v>90.94068</v>
      </c>
      <c r="E78" s="562">
        <v>90.254440000000002</v>
      </c>
      <c r="F78" s="743">
        <f t="shared" si="1"/>
        <v>-1.6975901213847067E-3</v>
      </c>
      <c r="G78" s="476"/>
      <c r="H78" s="280"/>
      <c r="I78" s="853"/>
      <c r="J78" s="466"/>
      <c r="K78" s="466"/>
    </row>
    <row r="79" spans="1:11" s="353" customFormat="1" ht="10.5" customHeight="1">
      <c r="A79" s="749" t="s">
        <v>99</v>
      </c>
      <c r="B79" s="699" t="s">
        <v>516</v>
      </c>
      <c r="C79" s="713">
        <v>0</v>
      </c>
      <c r="D79" s="713">
        <v>0</v>
      </c>
      <c r="E79" s="713"/>
      <c r="F79" s="769" t="str">
        <f t="shared" si="1"/>
        <v/>
      </c>
      <c r="H79" s="280"/>
      <c r="I79" s="853"/>
      <c r="J79" s="466"/>
      <c r="K79" s="466"/>
    </row>
    <row r="80" spans="1:11" s="353" customFormat="1" ht="10.5" customHeight="1">
      <c r="A80" s="740"/>
      <c r="B80" s="685" t="s">
        <v>515</v>
      </c>
      <c r="C80" s="688">
        <v>129.91175999999999</v>
      </c>
      <c r="D80" s="688">
        <v>129.21872999999999</v>
      </c>
      <c r="E80" s="688"/>
      <c r="F80" s="741">
        <f t="shared" si="1"/>
        <v>5.3632317853611333E-3</v>
      </c>
      <c r="H80" s="280"/>
      <c r="I80" s="280"/>
      <c r="J80" s="466"/>
      <c r="K80" s="466"/>
    </row>
    <row r="81" spans="1:11" s="353" customFormat="1" ht="10.5" customHeight="1">
      <c r="A81" s="742" t="s">
        <v>341</v>
      </c>
      <c r="B81" s="560"/>
      <c r="C81" s="562">
        <v>129.91175999999999</v>
      </c>
      <c r="D81" s="562">
        <v>129.21872999999999</v>
      </c>
      <c r="E81" s="562"/>
      <c r="F81" s="743">
        <f t="shared" si="1"/>
        <v>5.3632317853611333E-3</v>
      </c>
      <c r="H81" s="280"/>
      <c r="I81" s="280"/>
      <c r="J81" s="466"/>
      <c r="K81" s="466"/>
    </row>
    <row r="82" spans="1:11" s="353" customFormat="1" ht="10.5" customHeight="1">
      <c r="I82" s="466"/>
      <c r="J82" s="466"/>
      <c r="K82" s="466"/>
    </row>
    <row r="83" spans="1:11" s="353" customFormat="1" ht="10.5" customHeight="1"/>
    <row r="84" spans="1:11" s="353" customFormat="1" ht="10.5" customHeight="1"/>
    <row r="85" spans="1:11" s="353" customFormat="1" ht="10.5" customHeight="1"/>
    <row r="86" spans="1:11" s="353" customFormat="1" ht="10.5" customHeight="1"/>
    <row r="87" spans="1:11" s="353" customFormat="1" ht="10.5" customHeight="1"/>
    <row r="88" spans="1:11" s="353" customFormat="1" ht="10.5" customHeight="1"/>
    <row r="89" spans="1:11" s="353" customFormat="1" ht="10.5" customHeight="1"/>
    <row r="90" spans="1:11" s="353" customFormat="1" ht="10.5" customHeight="1"/>
    <row r="91" spans="1:11" s="353" customFormat="1" ht="10.5" customHeight="1"/>
    <row r="92" spans="1:11" s="353" customFormat="1" ht="10.5" customHeight="1"/>
    <row r="93" spans="1:11" s="353" customFormat="1" ht="10.5" customHeight="1"/>
    <row r="94" spans="1:11" s="353" customFormat="1" ht="10.5" customHeight="1"/>
    <row r="95" spans="1:11" s="353" customFormat="1" ht="10.5" customHeight="1"/>
    <row r="96" spans="1:11" s="353" customFormat="1" ht="10.5" customHeight="1"/>
    <row r="97" s="353" customFormat="1" ht="10.5" customHeight="1"/>
    <row r="98" s="353" customFormat="1" ht="10.5" customHeight="1"/>
    <row r="99" s="353" customFormat="1" ht="10.5" customHeight="1"/>
    <row r="100" s="353" customFormat="1" ht="10.5" customHeight="1"/>
    <row r="101" s="353" customFormat="1" ht="10.5" customHeight="1"/>
    <row r="102" s="353" customFormat="1" ht="10.5" customHeight="1"/>
    <row r="103" s="353" customFormat="1" ht="10.5" customHeight="1"/>
    <row r="104" s="353" customFormat="1" ht="10.5" customHeight="1"/>
    <row r="105" s="353" customFormat="1" ht="10.5" customHeight="1"/>
    <row r="106" s="353" customFormat="1" ht="10.5" customHeight="1"/>
    <row r="107" s="353" customFormat="1" ht="10.5" customHeight="1"/>
    <row r="108" s="353" customFormat="1" ht="10.5" customHeight="1"/>
    <row r="109" s="353" customFormat="1" ht="10.5" customHeight="1"/>
    <row r="110" s="353" customFormat="1" ht="10.5" customHeight="1"/>
    <row r="111" s="353" customFormat="1" ht="10.5" customHeight="1"/>
    <row r="112" s="353" customFormat="1" ht="10.5" customHeight="1"/>
    <row r="113" s="353" customFormat="1" ht="10.5" customHeight="1"/>
    <row r="114" s="353" customFormat="1" ht="10.5" customHeight="1"/>
    <row r="115" s="353" customFormat="1" ht="10.5" customHeight="1"/>
    <row r="116" s="353" customFormat="1" ht="10.5" customHeight="1"/>
    <row r="117" s="353" customFormat="1" ht="10.5" customHeight="1"/>
    <row r="118" s="353" customFormat="1" ht="10.5" customHeight="1"/>
    <row r="119" s="353" customFormat="1" ht="10.5" customHeight="1"/>
    <row r="120" s="353" customFormat="1" ht="10.5" customHeight="1"/>
    <row r="121" s="353" customFormat="1" ht="10.5" customHeight="1"/>
    <row r="122" s="353" customFormat="1" ht="10.5" customHeight="1"/>
    <row r="123" s="353" customFormat="1" ht="10.5" customHeight="1"/>
    <row r="124" s="353" customFormat="1" ht="10.5" customHeight="1"/>
    <row r="125" s="353" customFormat="1" ht="10.5" customHeight="1"/>
    <row r="126" s="353" customFormat="1" ht="10.5" customHeight="1"/>
    <row r="127" s="353" customFormat="1" ht="10.5" customHeight="1"/>
    <row r="128" s="353" customFormat="1" ht="10.5" customHeight="1"/>
    <row r="129" s="353" customFormat="1" ht="10.5" customHeight="1"/>
    <row r="130" s="353" customFormat="1" ht="10.5" customHeight="1"/>
    <row r="131" s="353" customFormat="1" ht="10.5" customHeight="1"/>
    <row r="132" s="353" customFormat="1" ht="10.5" customHeight="1"/>
    <row r="133" s="353" customFormat="1" ht="10.5" customHeight="1"/>
    <row r="134" s="353" customFormat="1" ht="10.5" customHeight="1"/>
    <row r="135" s="353" customFormat="1" ht="10.5" customHeight="1"/>
    <row r="136" s="353" customFormat="1" ht="10.5" customHeight="1"/>
    <row r="137" s="353" customFormat="1" ht="10.5" customHeight="1"/>
    <row r="138" s="353" customFormat="1" ht="10.5" customHeight="1"/>
    <row r="139" s="353" customFormat="1" ht="10.5" customHeight="1"/>
    <row r="140" s="353" customFormat="1" ht="10.5" customHeight="1"/>
    <row r="141" s="353" customFormat="1" ht="10.5" customHeight="1"/>
    <row r="142" s="353" customFormat="1" ht="10.5" customHeight="1"/>
    <row r="143" s="353" customFormat="1" ht="10.5" customHeight="1"/>
    <row r="144" s="353" customFormat="1" ht="10.5" customHeight="1"/>
    <row r="145" s="353" customFormat="1" ht="10.5" customHeight="1"/>
    <row r="146" s="353" customFormat="1" ht="10.5" customHeight="1"/>
    <row r="147" s="353" customFormat="1" ht="10.5" customHeight="1"/>
    <row r="148" s="353" customFormat="1" ht="10.5" customHeight="1"/>
    <row r="149" s="353" customFormat="1" ht="10.5" customHeight="1"/>
    <row r="150" s="353" customFormat="1" ht="10.5" customHeight="1"/>
    <row r="151" s="353" customFormat="1" ht="10.5" customHeight="1"/>
    <row r="152" s="353" customFormat="1" ht="10.5" customHeight="1"/>
    <row r="153" s="353" customFormat="1" ht="10.5" customHeight="1"/>
    <row r="154" s="353" customFormat="1" ht="10.5" customHeight="1"/>
    <row r="155" s="353" customFormat="1" ht="10.5" customHeight="1"/>
    <row r="156" s="353" customFormat="1" ht="10.5" customHeight="1"/>
    <row r="157" s="353" customFormat="1" ht="10.5" customHeight="1"/>
    <row r="158" s="353" customFormat="1" ht="10.5" customHeight="1"/>
    <row r="159" s="353" customFormat="1" ht="10.5" customHeight="1"/>
    <row r="160" s="353" customFormat="1" ht="10.5" customHeight="1"/>
    <row r="161" s="353" customFormat="1" ht="10.5" customHeight="1"/>
    <row r="162" s="353" customFormat="1" ht="10.5" customHeight="1"/>
    <row r="163" s="353" customFormat="1" ht="10.5" customHeight="1"/>
    <row r="164" s="353" customFormat="1" ht="10.5" customHeight="1"/>
    <row r="165" s="353" customFormat="1" ht="10.5" customHeight="1"/>
    <row r="166" s="353" customFormat="1" ht="10.5" customHeight="1"/>
    <row r="167" s="353" customFormat="1" ht="10.5" customHeight="1"/>
    <row r="168" s="353" customFormat="1" ht="10.5" customHeight="1"/>
    <row r="169" s="353" customFormat="1" ht="10.5" customHeight="1"/>
    <row r="170" s="353" customFormat="1" ht="10.5" customHeight="1"/>
    <row r="171" s="353" customFormat="1" ht="10.5" customHeight="1"/>
    <row r="172" s="353" customFormat="1" ht="8.25"/>
    <row r="173" s="353" customFormat="1" ht="8.25"/>
    <row r="174" s="353" customFormat="1" ht="8.25"/>
    <row r="175" s="353" customFormat="1" ht="8.25"/>
    <row r="176" s="353" customFormat="1" ht="8.25"/>
    <row r="177" s="353" customFormat="1" ht="8.25"/>
    <row r="178" s="353" customFormat="1" ht="8.25"/>
    <row r="179" s="353" customFormat="1" ht="8.25"/>
    <row r="180" s="353" customFormat="1" ht="8.25"/>
    <row r="181" s="353" customFormat="1" ht="8.25"/>
    <row r="182" s="353" customFormat="1" ht="8.25"/>
    <row r="183" s="353" customFormat="1" ht="8.25"/>
    <row r="184" s="353" customFormat="1" ht="8.25"/>
    <row r="185" s="353" customFormat="1" ht="8.25"/>
    <row r="186" s="353" customFormat="1" ht="8.25"/>
    <row r="187" s="353" customFormat="1" ht="8.25"/>
    <row r="188" s="353" customFormat="1" ht="8.25"/>
    <row r="189" s="353" customFormat="1" ht="8.25"/>
    <row r="190" s="353" customFormat="1" ht="8.25"/>
    <row r="191" s="353" customFormat="1" ht="8.25"/>
    <row r="192" s="353" customFormat="1" ht="8.25"/>
  </sheetData>
  <mergeCells count="3">
    <mergeCell ref="A2:A5"/>
    <mergeCell ref="B2:B5"/>
    <mergeCell ref="C2:F2"/>
  </mergeCells>
  <pageMargins left="0.70866141732283472" right="0.70866141732283472" top="1.0236220472440944" bottom="0.62992125984251968" header="0.31496062992125984" footer="0.31496062992125984"/>
  <pageSetup paperSize="9" scale="87" orientation="portrait" r:id="rId1"/>
  <headerFooter>
    <oddHeader>&amp;R&amp;7Informe de la Operación Mensual-Octubre 2019
INFSGI-MES-10-2019
18/10/2019
Versión: 01</oddHeader>
    <oddFooter>&amp;L&amp;7COES, 2019&amp;C21&amp;R&amp;7Dirección Ejecutiva
Sub Dirección de Gestión de Información</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4">
    <tabColor theme="4"/>
  </sheetPr>
  <dimension ref="A1:K115"/>
  <sheetViews>
    <sheetView showGridLines="0" view="pageBreakPreview" topLeftCell="A34" zoomScale="120" zoomScaleNormal="100" zoomScaleSheetLayoutView="120" zoomScalePageLayoutView="160" workbookViewId="0">
      <selection activeCell="M12" sqref="M12"/>
    </sheetView>
  </sheetViews>
  <sheetFormatPr defaultColWidth="9.33203125" defaultRowHeight="9"/>
  <cols>
    <col min="1" max="1" width="28.6640625" style="280" customWidth="1"/>
    <col min="2" max="2" width="22.1640625" style="280" customWidth="1"/>
    <col min="3" max="4" width="17.6640625" style="280" customWidth="1"/>
    <col min="5" max="5" width="15.1640625" style="280" customWidth="1"/>
    <col min="6" max="6" width="13.33203125" style="280" customWidth="1"/>
    <col min="7" max="7" width="6.33203125" style="280" customWidth="1"/>
    <col min="8" max="16384" width="9.33203125" style="280"/>
  </cols>
  <sheetData>
    <row r="1" spans="1:11" s="353" customFormat="1" ht="11.25" customHeight="1">
      <c r="A1" s="992" t="s">
        <v>261</v>
      </c>
      <c r="B1" s="994" t="s">
        <v>55</v>
      </c>
      <c r="C1" s="994" t="s">
        <v>411</v>
      </c>
      <c r="D1" s="994"/>
      <c r="E1" s="994"/>
      <c r="F1" s="996"/>
      <c r="G1" s="464"/>
    </row>
    <row r="2" spans="1:11" s="353" customFormat="1" ht="11.25" customHeight="1">
      <c r="A2" s="986"/>
      <c r="B2" s="989"/>
      <c r="C2" s="544" t="str">
        <f>+'21. ANEXOII-1'!C3</f>
        <v>OCTUBRE 2019</v>
      </c>
      <c r="D2" s="545" t="str">
        <f>+'21. ANEXOII-1'!D3</f>
        <v>OCTUBRE 2018</v>
      </c>
      <c r="E2" s="546" t="s">
        <v>572</v>
      </c>
      <c r="F2" s="705" t="s">
        <v>528</v>
      </c>
      <c r="G2" s="465"/>
      <c r="H2" s="464"/>
    </row>
    <row r="3" spans="1:11" s="353" customFormat="1" ht="11.25" customHeight="1">
      <c r="A3" s="986"/>
      <c r="B3" s="989"/>
      <c r="C3" s="547">
        <f>+'8. Max Potencia'!D8</f>
        <v>43767.791666666664</v>
      </c>
      <c r="D3" s="547">
        <f>+'8. Max Potencia'!E8</f>
        <v>43390.791666666664</v>
      </c>
      <c r="E3" s="547">
        <f>+'21. ANEXOII-1'!E4</f>
        <v>43031.864583333336</v>
      </c>
      <c r="F3" s="706" t="s">
        <v>408</v>
      </c>
      <c r="G3" s="466"/>
      <c r="H3" s="464"/>
    </row>
    <row r="4" spans="1:11" s="353" customFormat="1" ht="9" customHeight="1">
      <c r="A4" s="993"/>
      <c r="B4" s="995"/>
      <c r="C4" s="548">
        <f>+'8. Max Potencia'!D9</f>
        <v>43767.791666666664</v>
      </c>
      <c r="D4" s="548">
        <f>+'8. Max Potencia'!E9</f>
        <v>43390.791666666664</v>
      </c>
      <c r="E4" s="548">
        <f>+'21. ANEXOII-1'!E5</f>
        <v>43031.864583333336</v>
      </c>
      <c r="F4" s="707" t="s">
        <v>409</v>
      </c>
      <c r="G4" s="466"/>
      <c r="H4" s="468"/>
    </row>
    <row r="5" spans="1:11" s="353" customFormat="1" ht="10.5" customHeight="1">
      <c r="A5" s="740" t="s">
        <v>98</v>
      </c>
      <c r="B5" s="685" t="s">
        <v>78</v>
      </c>
      <c r="C5" s="688">
        <v>54.588929999999998</v>
      </c>
      <c r="D5" s="688">
        <v>72.491529999999997</v>
      </c>
      <c r="E5" s="688">
        <v>66.282219999999995</v>
      </c>
      <c r="F5" s="741">
        <f t="shared" ref="F5:F68" si="0">+IF(D5=0,"",C5/D5-1)</f>
        <v>-0.24696126568165966</v>
      </c>
      <c r="J5" s="579"/>
      <c r="K5" s="579"/>
    </row>
    <row r="6" spans="1:11" s="353" customFormat="1" ht="10.5" customHeight="1">
      <c r="A6" s="740"/>
      <c r="B6" s="685" t="s">
        <v>80</v>
      </c>
      <c r="C6" s="688">
        <v>28.33165</v>
      </c>
      <c r="D6" s="688">
        <v>15.76591</v>
      </c>
      <c r="E6" s="688">
        <v>19.323090000000001</v>
      </c>
      <c r="F6" s="741">
        <f t="shared" si="0"/>
        <v>0.7970196455516998</v>
      </c>
      <c r="J6" s="579"/>
      <c r="K6" s="579"/>
    </row>
    <row r="7" spans="1:11" s="353" customFormat="1" ht="10.5" customHeight="1">
      <c r="A7" s="742" t="s">
        <v>342</v>
      </c>
      <c r="B7" s="560"/>
      <c r="C7" s="562">
        <v>82.920580000000001</v>
      </c>
      <c r="D7" s="562">
        <v>88.257440000000003</v>
      </c>
      <c r="E7" s="562">
        <v>85.605310000000003</v>
      </c>
      <c r="F7" s="743">
        <f t="shared" si="0"/>
        <v>-6.0469236361263112E-2</v>
      </c>
      <c r="J7" s="579"/>
      <c r="K7" s="579"/>
    </row>
    <row r="8" spans="1:11" s="353" customFormat="1" ht="10.5" customHeight="1">
      <c r="A8" s="740" t="s">
        <v>88</v>
      </c>
      <c r="B8" s="685" t="s">
        <v>343</v>
      </c>
      <c r="C8" s="688">
        <v>30.39395</v>
      </c>
      <c r="D8" s="688">
        <v>86.993290000000002</v>
      </c>
      <c r="E8" s="688">
        <v>66.036529999999999</v>
      </c>
      <c r="F8" s="741">
        <f t="shared" si="0"/>
        <v>-0.65061730623131964</v>
      </c>
      <c r="K8" s="579"/>
    </row>
    <row r="9" spans="1:11" s="353" customFormat="1" ht="10.5" customHeight="1">
      <c r="A9" s="740"/>
      <c r="B9" s="685" t="s">
        <v>344</v>
      </c>
      <c r="C9" s="688">
        <v>87.137550000000005</v>
      </c>
      <c r="D9" s="688">
        <v>130.53992</v>
      </c>
      <c r="E9" s="688">
        <v>102.71903</v>
      </c>
      <c r="F9" s="741">
        <f t="shared" si="0"/>
        <v>-0.33248350389673897</v>
      </c>
      <c r="K9" s="579"/>
    </row>
    <row r="10" spans="1:11" s="353" customFormat="1" ht="10.5" customHeight="1">
      <c r="A10" s="740"/>
      <c r="B10" s="685" t="s">
        <v>345</v>
      </c>
      <c r="C10" s="688">
        <v>715.75391999999999</v>
      </c>
      <c r="D10" s="688">
        <v>476.63380000000001</v>
      </c>
      <c r="E10" s="688">
        <v>499.03152</v>
      </c>
      <c r="F10" s="741">
        <f t="shared" si="0"/>
        <v>0.50168519311891013</v>
      </c>
      <c r="K10" s="579"/>
    </row>
    <row r="11" spans="1:11" s="353" customFormat="1" ht="10.5" customHeight="1">
      <c r="A11" s="740"/>
      <c r="B11" s="685" t="s">
        <v>346</v>
      </c>
      <c r="C11" s="688">
        <v>105.01179999999999</v>
      </c>
      <c r="D11" s="688">
        <v>105.30565999999999</v>
      </c>
      <c r="E11" s="688">
        <v>66.665940000000006</v>
      </c>
      <c r="F11" s="741">
        <f t="shared" si="0"/>
        <v>-2.7905432623469562E-3</v>
      </c>
      <c r="J11" s="579"/>
      <c r="K11" s="579"/>
    </row>
    <row r="12" spans="1:11" s="353" customFormat="1" ht="10.5" customHeight="1">
      <c r="A12" s="740"/>
      <c r="B12" s="685" t="s">
        <v>573</v>
      </c>
      <c r="C12" s="688"/>
      <c r="D12" s="688"/>
      <c r="E12" s="688">
        <v>0</v>
      </c>
      <c r="F12" s="741" t="str">
        <f t="shared" si="0"/>
        <v/>
      </c>
      <c r="J12" s="579"/>
      <c r="K12" s="579"/>
    </row>
    <row r="13" spans="1:11" s="353" customFormat="1" ht="10.5" customHeight="1">
      <c r="A13" s="740"/>
      <c r="B13" s="685" t="s">
        <v>347</v>
      </c>
      <c r="C13" s="688">
        <v>0</v>
      </c>
      <c r="D13" s="688">
        <v>0</v>
      </c>
      <c r="E13" s="688">
        <v>0</v>
      </c>
      <c r="F13" s="741" t="str">
        <f t="shared" si="0"/>
        <v/>
      </c>
      <c r="J13" s="579"/>
      <c r="K13" s="579"/>
    </row>
    <row r="14" spans="1:11" s="353" customFormat="1" ht="10.5" customHeight="1">
      <c r="A14" s="740"/>
      <c r="B14" s="685" t="s">
        <v>348</v>
      </c>
      <c r="C14" s="688">
        <v>0</v>
      </c>
      <c r="D14" s="688">
        <v>0</v>
      </c>
      <c r="E14" s="688">
        <v>0</v>
      </c>
      <c r="F14" s="741" t="str">
        <f t="shared" si="0"/>
        <v/>
      </c>
      <c r="J14" s="579"/>
      <c r="K14" s="579"/>
    </row>
    <row r="15" spans="1:11" s="353" customFormat="1" ht="10.5" customHeight="1">
      <c r="A15" s="740"/>
      <c r="B15" s="685" t="s">
        <v>349</v>
      </c>
      <c r="C15" s="688">
        <v>0</v>
      </c>
      <c r="D15" s="688">
        <v>0</v>
      </c>
      <c r="E15" s="688">
        <v>0</v>
      </c>
      <c r="F15" s="741" t="str">
        <f t="shared" si="0"/>
        <v/>
      </c>
      <c r="J15" s="579"/>
      <c r="K15" s="579"/>
    </row>
    <row r="16" spans="1:11" s="353" customFormat="1" ht="10.5" customHeight="1">
      <c r="A16" s="740"/>
      <c r="B16" s="685" t="s">
        <v>517</v>
      </c>
      <c r="C16" s="688">
        <v>0</v>
      </c>
      <c r="D16" s="688">
        <v>0</v>
      </c>
      <c r="E16" s="688">
        <v>0</v>
      </c>
      <c r="F16" s="741" t="str">
        <f t="shared" si="0"/>
        <v/>
      </c>
      <c r="J16" s="579"/>
      <c r="K16" s="579"/>
    </row>
    <row r="17" spans="1:11" s="353" customFormat="1" ht="10.5" customHeight="1">
      <c r="A17" s="742" t="s">
        <v>350</v>
      </c>
      <c r="B17" s="560"/>
      <c r="C17" s="562">
        <v>938.29722000000004</v>
      </c>
      <c r="D17" s="562">
        <v>799.47266999999999</v>
      </c>
      <c r="E17" s="562">
        <v>734.45302000000004</v>
      </c>
      <c r="F17" s="743">
        <f t="shared" si="0"/>
        <v>0.17364514786978269</v>
      </c>
      <c r="J17" s="579"/>
      <c r="K17" s="579"/>
    </row>
    <row r="18" spans="1:11" s="353" customFormat="1" ht="10.5" customHeight="1">
      <c r="A18" s="740" t="s">
        <v>250</v>
      </c>
      <c r="B18" s="685" t="s">
        <v>351</v>
      </c>
      <c r="C18" s="688">
        <v>270.29468000000003</v>
      </c>
      <c r="D18" s="688">
        <v>547.74076000000002</v>
      </c>
      <c r="E18" s="688">
        <v>555.09962000000007</v>
      </c>
      <c r="F18" s="741">
        <f t="shared" si="0"/>
        <v>-0.50652808821457795</v>
      </c>
      <c r="J18" s="579"/>
      <c r="K18" s="579"/>
    </row>
    <row r="19" spans="1:11" s="353" customFormat="1" ht="10.5" customHeight="1">
      <c r="A19" s="742" t="s">
        <v>352</v>
      </c>
      <c r="B19" s="560"/>
      <c r="C19" s="562">
        <v>270.29468000000003</v>
      </c>
      <c r="D19" s="562">
        <v>547.74076000000002</v>
      </c>
      <c r="E19" s="562">
        <v>555.09962000000007</v>
      </c>
      <c r="F19" s="743">
        <f t="shared" si="0"/>
        <v>-0.50652808821457795</v>
      </c>
      <c r="J19" s="579"/>
      <c r="K19" s="579"/>
    </row>
    <row r="20" spans="1:11" s="353" customFormat="1" ht="10.5" customHeight="1">
      <c r="A20" s="740" t="s">
        <v>109</v>
      </c>
      <c r="B20" s="685" t="s">
        <v>67</v>
      </c>
      <c r="C20" s="688">
        <v>6.74193</v>
      </c>
      <c r="D20" s="688">
        <v>6.4501600000000003</v>
      </c>
      <c r="E20" s="688">
        <v>6.5863999999999994</v>
      </c>
      <c r="F20" s="741">
        <f t="shared" si="0"/>
        <v>4.5234536817691184E-2</v>
      </c>
      <c r="J20" s="579"/>
      <c r="K20" s="579"/>
    </row>
    <row r="21" spans="1:11" s="353" customFormat="1" ht="10.5" customHeight="1">
      <c r="A21" s="740"/>
      <c r="B21" s="685" t="s">
        <v>484</v>
      </c>
      <c r="C21" s="688">
        <v>6.9141300000000001</v>
      </c>
      <c r="D21" s="688">
        <v>0</v>
      </c>
      <c r="E21" s="688"/>
      <c r="F21" s="741" t="str">
        <f t="shared" si="0"/>
        <v/>
      </c>
      <c r="J21" s="579"/>
      <c r="K21" s="579"/>
    </row>
    <row r="22" spans="1:11" s="353" customFormat="1" ht="10.5" customHeight="1">
      <c r="A22" s="740"/>
      <c r="B22" s="685" t="s">
        <v>482</v>
      </c>
      <c r="C22" s="688">
        <v>8.69815</v>
      </c>
      <c r="D22" s="688">
        <v>0</v>
      </c>
      <c r="E22" s="688"/>
      <c r="F22" s="741" t="str">
        <f t="shared" si="0"/>
        <v/>
      </c>
      <c r="J22" s="579"/>
      <c r="K22" s="579"/>
    </row>
    <row r="23" spans="1:11" s="353" customFormat="1" ht="10.5" customHeight="1">
      <c r="A23" s="740"/>
      <c r="B23" s="685" t="s">
        <v>483</v>
      </c>
      <c r="C23" s="688">
        <v>8.7199000000000009</v>
      </c>
      <c r="D23" s="688">
        <v>0</v>
      </c>
      <c r="E23" s="688"/>
      <c r="F23" s="741" t="str">
        <f t="shared" si="0"/>
        <v/>
      </c>
      <c r="J23" s="579"/>
      <c r="K23" s="579"/>
    </row>
    <row r="24" spans="1:11" s="353" customFormat="1" ht="10.5" customHeight="1">
      <c r="A24" s="742" t="s">
        <v>353</v>
      </c>
      <c r="B24" s="560"/>
      <c r="C24" s="562">
        <v>31.074110000000005</v>
      </c>
      <c r="D24" s="562">
        <v>6.4501600000000003</v>
      </c>
      <c r="E24" s="562">
        <v>6.5863999999999994</v>
      </c>
      <c r="F24" s="743">
        <f t="shared" si="0"/>
        <v>3.8175719672070159</v>
      </c>
      <c r="J24" s="579"/>
      <c r="K24" s="579"/>
    </row>
    <row r="25" spans="1:11" s="353" customFormat="1" ht="10.5" customHeight="1">
      <c r="A25" s="740" t="s">
        <v>112</v>
      </c>
      <c r="B25" s="685" t="s">
        <v>244</v>
      </c>
      <c r="C25" s="688">
        <v>0</v>
      </c>
      <c r="D25" s="688">
        <v>0</v>
      </c>
      <c r="E25" s="688">
        <v>0</v>
      </c>
      <c r="F25" s="741" t="str">
        <f t="shared" si="0"/>
        <v/>
      </c>
      <c r="J25" s="579"/>
      <c r="K25" s="579"/>
    </row>
    <row r="26" spans="1:11" s="353" customFormat="1" ht="10.5" customHeight="1">
      <c r="A26" s="742" t="s">
        <v>354</v>
      </c>
      <c r="B26" s="560"/>
      <c r="C26" s="562">
        <v>0</v>
      </c>
      <c r="D26" s="562">
        <v>0</v>
      </c>
      <c r="E26" s="562">
        <v>0</v>
      </c>
      <c r="F26" s="743" t="str">
        <f t="shared" si="0"/>
        <v/>
      </c>
      <c r="J26" s="579"/>
      <c r="K26" s="579"/>
    </row>
    <row r="27" spans="1:11" s="353" customFormat="1" ht="10.5" customHeight="1">
      <c r="A27" s="740" t="s">
        <v>113</v>
      </c>
      <c r="B27" s="685" t="s">
        <v>83</v>
      </c>
      <c r="C27" s="688">
        <v>0</v>
      </c>
      <c r="D27" s="688">
        <v>0</v>
      </c>
      <c r="E27" s="688">
        <v>0</v>
      </c>
      <c r="F27" s="741" t="str">
        <f t="shared" si="0"/>
        <v/>
      </c>
      <c r="J27" s="579"/>
      <c r="K27" s="579"/>
    </row>
    <row r="28" spans="1:11" s="353" customFormat="1" ht="10.5" customHeight="1">
      <c r="A28" s="742" t="s">
        <v>355</v>
      </c>
      <c r="B28" s="560"/>
      <c r="C28" s="562">
        <v>0</v>
      </c>
      <c r="D28" s="562">
        <v>0</v>
      </c>
      <c r="E28" s="562">
        <v>0</v>
      </c>
      <c r="F28" s="743" t="str">
        <f t="shared" si="0"/>
        <v/>
      </c>
      <c r="J28" s="579"/>
      <c r="K28" s="579"/>
    </row>
    <row r="29" spans="1:11" s="353" customFormat="1" ht="10.5" customHeight="1">
      <c r="A29" s="740" t="s">
        <v>117</v>
      </c>
      <c r="B29" s="685" t="s">
        <v>75</v>
      </c>
      <c r="C29" s="688">
        <v>3.6</v>
      </c>
      <c r="D29" s="688">
        <v>3.6</v>
      </c>
      <c r="E29" s="688">
        <v>3.2</v>
      </c>
      <c r="F29" s="741">
        <f t="shared" si="0"/>
        <v>0</v>
      </c>
      <c r="J29" s="579"/>
      <c r="K29" s="579"/>
    </row>
    <row r="30" spans="1:11" s="353" customFormat="1" ht="10.5" customHeight="1">
      <c r="A30" s="742" t="s">
        <v>356</v>
      </c>
      <c r="B30" s="560"/>
      <c r="C30" s="562">
        <v>3.6</v>
      </c>
      <c r="D30" s="562">
        <v>3.6</v>
      </c>
      <c r="E30" s="562">
        <v>3.2</v>
      </c>
      <c r="F30" s="743">
        <f t="shared" si="0"/>
        <v>0</v>
      </c>
      <c r="J30" s="579"/>
      <c r="K30" s="579"/>
    </row>
    <row r="31" spans="1:11" s="353" customFormat="1" ht="10.5" customHeight="1">
      <c r="A31" s="740" t="s">
        <v>104</v>
      </c>
      <c r="B31" s="685" t="s">
        <v>357</v>
      </c>
      <c r="C31" s="688">
        <v>18.948140000000002</v>
      </c>
      <c r="D31" s="688">
        <v>17.431999999999999</v>
      </c>
      <c r="E31" s="688">
        <v>19.152000000000001</v>
      </c>
      <c r="F31" s="741">
        <f t="shared" si="0"/>
        <v>8.6974529600734485E-2</v>
      </c>
      <c r="J31" s="579"/>
      <c r="K31" s="579"/>
    </row>
    <row r="32" spans="1:11" s="353" customFormat="1" ht="10.5" customHeight="1">
      <c r="A32" s="742" t="s">
        <v>358</v>
      </c>
      <c r="B32" s="560"/>
      <c r="C32" s="562">
        <v>18.948140000000002</v>
      </c>
      <c r="D32" s="562">
        <v>17.431999999999999</v>
      </c>
      <c r="E32" s="562">
        <v>19.152000000000001</v>
      </c>
      <c r="F32" s="743">
        <f t="shared" si="0"/>
        <v>8.6974529600734485E-2</v>
      </c>
      <c r="J32" s="579"/>
      <c r="K32" s="579"/>
    </row>
    <row r="33" spans="1:11" s="353" customFormat="1" ht="21" customHeight="1">
      <c r="A33" s="744" t="s">
        <v>501</v>
      </c>
      <c r="B33" s="711" t="s">
        <v>359</v>
      </c>
      <c r="C33" s="712">
        <v>12.681609999999999</v>
      </c>
      <c r="D33" s="712">
        <v>18.926960000000001</v>
      </c>
      <c r="E33" s="712">
        <v>19.390969999999999</v>
      </c>
      <c r="F33" s="745">
        <f t="shared" si="0"/>
        <v>-0.3299711099933641</v>
      </c>
      <c r="J33" s="579"/>
      <c r="K33" s="579"/>
    </row>
    <row r="34" spans="1:11" s="353" customFormat="1" ht="10.5" customHeight="1">
      <c r="A34" s="742" t="s">
        <v>496</v>
      </c>
      <c r="B34" s="560"/>
      <c r="C34" s="562">
        <v>12.681609999999999</v>
      </c>
      <c r="D34" s="562">
        <v>18.926960000000001</v>
      </c>
      <c r="E34" s="562">
        <v>19.390969999999999</v>
      </c>
      <c r="F34" s="743">
        <f t="shared" si="0"/>
        <v>-0.3299711099933641</v>
      </c>
      <c r="J34" s="579"/>
      <c r="K34" s="579"/>
    </row>
    <row r="35" spans="1:11" s="353" customFormat="1" ht="10.5" customHeight="1">
      <c r="A35" s="740" t="s">
        <v>251</v>
      </c>
      <c r="B35" s="685" t="s">
        <v>60</v>
      </c>
      <c r="C35" s="688">
        <v>15.62922</v>
      </c>
      <c r="D35" s="688">
        <v>16.409300000000002</v>
      </c>
      <c r="E35" s="688">
        <v>17.707439999999998</v>
      </c>
      <c r="F35" s="741">
        <f t="shared" si="0"/>
        <v>-4.7538895626260791E-2</v>
      </c>
      <c r="J35" s="579"/>
      <c r="K35" s="579"/>
    </row>
    <row r="36" spans="1:11" s="353" customFormat="1" ht="10.5" customHeight="1">
      <c r="A36" s="742" t="s">
        <v>360</v>
      </c>
      <c r="B36" s="560"/>
      <c r="C36" s="562">
        <v>15.62922</v>
      </c>
      <c r="D36" s="562">
        <v>16.409300000000002</v>
      </c>
      <c r="E36" s="562">
        <v>17.707439999999998</v>
      </c>
      <c r="F36" s="743">
        <f t="shared" si="0"/>
        <v>-4.7538895626260791E-2</v>
      </c>
      <c r="J36" s="579"/>
      <c r="K36" s="579"/>
    </row>
    <row r="37" spans="1:11" s="353" customFormat="1" ht="12.75" customHeight="1">
      <c r="A37" s="740" t="s">
        <v>758</v>
      </c>
      <c r="B37" s="685" t="s">
        <v>766</v>
      </c>
      <c r="C37" s="688">
        <v>0</v>
      </c>
      <c r="D37" s="688">
        <v>0.09</v>
      </c>
      <c r="E37" s="688"/>
      <c r="F37" s="741">
        <f t="shared" si="0"/>
        <v>-1</v>
      </c>
      <c r="J37" s="579"/>
      <c r="K37" s="579"/>
    </row>
    <row r="38" spans="1:11" s="353" customFormat="1" ht="10.5" customHeight="1">
      <c r="A38" s="742" t="s">
        <v>486</v>
      </c>
      <c r="B38" s="560"/>
      <c r="C38" s="562">
        <v>0</v>
      </c>
      <c r="D38" s="562">
        <v>0.09</v>
      </c>
      <c r="E38" s="562"/>
      <c r="F38" s="743">
        <f t="shared" si="0"/>
        <v>-1</v>
      </c>
      <c r="J38" s="579"/>
      <c r="K38" s="579"/>
    </row>
    <row r="39" spans="1:11" s="353" customFormat="1" ht="10.5" customHeight="1">
      <c r="A39" s="740" t="s">
        <v>519</v>
      </c>
      <c r="B39" s="685" t="s">
        <v>524</v>
      </c>
      <c r="C39" s="688">
        <v>56.91836</v>
      </c>
      <c r="D39" s="688">
        <v>85.371499999999997</v>
      </c>
      <c r="E39" s="688">
        <v>70.239540000000005</v>
      </c>
      <c r="F39" s="741">
        <f t="shared" si="0"/>
        <v>-0.33328616692924451</v>
      </c>
      <c r="J39" s="579"/>
      <c r="K39" s="579"/>
    </row>
    <row r="40" spans="1:11" s="353" customFormat="1" ht="10.5" customHeight="1">
      <c r="A40" s="742" t="s">
        <v>525</v>
      </c>
      <c r="B40" s="560"/>
      <c r="C40" s="562">
        <v>56.91836</v>
      </c>
      <c r="D40" s="562">
        <v>85.371499999999997</v>
      </c>
      <c r="E40" s="562">
        <v>70.239540000000005</v>
      </c>
      <c r="F40" s="743">
        <f t="shared" si="0"/>
        <v>-0.33328616692924451</v>
      </c>
      <c r="J40" s="579"/>
      <c r="K40" s="579"/>
    </row>
    <row r="41" spans="1:11" s="353" customFormat="1" ht="10.5" customHeight="1">
      <c r="A41" s="740" t="s">
        <v>119</v>
      </c>
      <c r="B41" s="685" t="s">
        <v>361</v>
      </c>
      <c r="C41" s="688">
        <v>0</v>
      </c>
      <c r="D41" s="688">
        <v>0</v>
      </c>
      <c r="E41" s="688">
        <v>0</v>
      </c>
      <c r="F41" s="741" t="str">
        <f t="shared" si="0"/>
        <v/>
      </c>
      <c r="J41" s="579"/>
      <c r="K41" s="579"/>
    </row>
    <row r="42" spans="1:11" s="353" customFormat="1" ht="10.5" customHeight="1">
      <c r="A42" s="740"/>
      <c r="B42" s="685" t="s">
        <v>362</v>
      </c>
      <c r="C42" s="688">
        <v>0</v>
      </c>
      <c r="D42" s="688">
        <v>0</v>
      </c>
      <c r="E42" s="688">
        <v>0</v>
      </c>
      <c r="F42" s="741" t="str">
        <f t="shared" si="0"/>
        <v/>
      </c>
      <c r="J42" s="579"/>
      <c r="K42" s="579"/>
    </row>
    <row r="43" spans="1:11" s="353" customFormat="1" ht="10.5" customHeight="1">
      <c r="A43" s="742" t="s">
        <v>363</v>
      </c>
      <c r="B43" s="560"/>
      <c r="C43" s="562">
        <v>0</v>
      </c>
      <c r="D43" s="562">
        <v>0</v>
      </c>
      <c r="E43" s="562">
        <v>0</v>
      </c>
      <c r="F43" s="743" t="str">
        <f t="shared" si="0"/>
        <v/>
      </c>
      <c r="J43" s="579"/>
      <c r="K43" s="579"/>
    </row>
    <row r="44" spans="1:11" s="353" customFormat="1" ht="10.5" customHeight="1">
      <c r="A44" s="740" t="s">
        <v>478</v>
      </c>
      <c r="B44" s="685" t="s">
        <v>364</v>
      </c>
      <c r="C44" s="688">
        <v>799.8771200000001</v>
      </c>
      <c r="D44" s="688">
        <v>455.94538</v>
      </c>
      <c r="E44" s="688">
        <v>225.50382999999999</v>
      </c>
      <c r="F44" s="741">
        <f t="shared" si="0"/>
        <v>0.7543266257024035</v>
      </c>
      <c r="J44" s="579"/>
      <c r="K44" s="579"/>
    </row>
    <row r="45" spans="1:11" s="353" customFormat="1" ht="10.5" customHeight="1">
      <c r="A45" s="740"/>
      <c r="B45" s="685" t="s">
        <v>365</v>
      </c>
      <c r="C45" s="688">
        <v>181.87386000000001</v>
      </c>
      <c r="D45" s="688">
        <v>0</v>
      </c>
      <c r="E45" s="688">
        <v>0</v>
      </c>
      <c r="F45" s="741" t="str">
        <f t="shared" si="0"/>
        <v/>
      </c>
      <c r="J45" s="579"/>
      <c r="K45" s="579"/>
    </row>
    <row r="46" spans="1:11" s="353" customFormat="1" ht="10.5" customHeight="1">
      <c r="A46" s="740"/>
      <c r="B46" s="685" t="s">
        <v>522</v>
      </c>
      <c r="C46" s="688">
        <v>343.09769</v>
      </c>
      <c r="D46" s="688">
        <v>516.15024000000005</v>
      </c>
      <c r="E46" s="688">
        <v>498.65953999999999</v>
      </c>
      <c r="F46" s="741">
        <f t="shared" si="0"/>
        <v>-0.33527553915309627</v>
      </c>
      <c r="J46" s="579"/>
      <c r="K46" s="579"/>
    </row>
    <row r="47" spans="1:11" s="353" customFormat="1" ht="10.5" customHeight="1">
      <c r="A47" s="740"/>
      <c r="B47" s="685" t="s">
        <v>366</v>
      </c>
      <c r="C47" s="688">
        <v>3.2120899999999999</v>
      </c>
      <c r="D47" s="688">
        <v>3.0876800000000002</v>
      </c>
      <c r="E47" s="688">
        <v>3.56765</v>
      </c>
      <c r="F47" s="741">
        <f t="shared" si="0"/>
        <v>4.0292387812208341E-2</v>
      </c>
      <c r="J47" s="579"/>
      <c r="K47" s="579"/>
    </row>
    <row r="48" spans="1:11" s="353" customFormat="1" ht="10.5" customHeight="1">
      <c r="A48" s="742" t="s">
        <v>367</v>
      </c>
      <c r="B48" s="560"/>
      <c r="C48" s="562">
        <v>1328.0607600000001</v>
      </c>
      <c r="D48" s="562">
        <v>975.18330000000003</v>
      </c>
      <c r="E48" s="562">
        <v>727.73101999999994</v>
      </c>
      <c r="F48" s="743">
        <f t="shared" si="0"/>
        <v>0.361857570776694</v>
      </c>
      <c r="J48" s="579"/>
      <c r="K48" s="579"/>
    </row>
    <row r="49" spans="1:11" s="353" customFormat="1" ht="10.5" customHeight="1">
      <c r="A49" s="740" t="s">
        <v>118</v>
      </c>
      <c r="B49" s="685" t="s">
        <v>73</v>
      </c>
      <c r="C49" s="688">
        <v>1.3524</v>
      </c>
      <c r="D49" s="688">
        <v>1.7150000000000001</v>
      </c>
      <c r="E49" s="688">
        <v>1.9930000000000001</v>
      </c>
      <c r="F49" s="741">
        <f t="shared" si="0"/>
        <v>-0.21142857142857141</v>
      </c>
      <c r="J49" s="579"/>
      <c r="K49" s="579"/>
    </row>
    <row r="50" spans="1:11" s="353" customFormat="1" ht="10.5" customHeight="1">
      <c r="A50" s="742" t="s">
        <v>368</v>
      </c>
      <c r="B50" s="560"/>
      <c r="C50" s="562">
        <v>1.3524</v>
      </c>
      <c r="D50" s="562">
        <v>1.7150000000000001</v>
      </c>
      <c r="E50" s="562">
        <v>1.9930000000000001</v>
      </c>
      <c r="F50" s="743">
        <f t="shared" si="0"/>
        <v>-0.21142857142857141</v>
      </c>
      <c r="J50" s="579"/>
      <c r="K50" s="579"/>
    </row>
    <row r="51" spans="1:11" s="353" customFormat="1" ht="10.5" customHeight="1">
      <c r="A51" s="740" t="s">
        <v>111</v>
      </c>
      <c r="B51" s="685" t="s">
        <v>82</v>
      </c>
      <c r="C51" s="688">
        <v>0</v>
      </c>
      <c r="D51" s="688">
        <v>0</v>
      </c>
      <c r="E51" s="688">
        <v>0</v>
      </c>
      <c r="F51" s="741" t="str">
        <f t="shared" si="0"/>
        <v/>
      </c>
      <c r="J51" s="579"/>
      <c r="K51" s="579"/>
    </row>
    <row r="52" spans="1:11" s="353" customFormat="1" ht="10.5" customHeight="1">
      <c r="A52" s="742" t="s">
        <v>369</v>
      </c>
      <c r="B52" s="560"/>
      <c r="C52" s="562">
        <v>0</v>
      </c>
      <c r="D52" s="562">
        <v>0</v>
      </c>
      <c r="E52" s="562">
        <v>0</v>
      </c>
      <c r="F52" s="743" t="str">
        <f t="shared" si="0"/>
        <v/>
      </c>
      <c r="J52" s="579"/>
      <c r="K52" s="579"/>
    </row>
    <row r="53" spans="1:11" s="353" customFormat="1" ht="10.5" customHeight="1">
      <c r="A53" s="740" t="s">
        <v>252</v>
      </c>
      <c r="B53" s="685" t="s">
        <v>72</v>
      </c>
      <c r="C53" s="688">
        <v>5.41066</v>
      </c>
      <c r="D53" s="688">
        <v>2.3089</v>
      </c>
      <c r="E53" s="688">
        <v>5.2935699999999999</v>
      </c>
      <c r="F53" s="741">
        <f t="shared" si="0"/>
        <v>1.3433929576854782</v>
      </c>
      <c r="J53" s="579"/>
      <c r="K53" s="579"/>
    </row>
    <row r="54" spans="1:11" s="353" customFormat="1" ht="10.5" customHeight="1">
      <c r="A54" s="740"/>
      <c r="B54" s="685" t="s">
        <v>370</v>
      </c>
      <c r="C54" s="688">
        <v>107.66212</v>
      </c>
      <c r="D54" s="688">
        <v>101.06192999999999</v>
      </c>
      <c r="E54" s="688">
        <v>222.22840000000002</v>
      </c>
      <c r="F54" s="741">
        <f t="shared" si="0"/>
        <v>6.5308370817774852E-2</v>
      </c>
      <c r="J54" s="579"/>
      <c r="K54" s="579"/>
    </row>
    <row r="55" spans="1:11" s="353" customFormat="1" ht="10.5" customHeight="1">
      <c r="A55" s="740"/>
      <c r="B55" s="685" t="s">
        <v>371</v>
      </c>
      <c r="C55" s="688">
        <v>89.867429999999999</v>
      </c>
      <c r="D55" s="688">
        <v>19.965430000000001</v>
      </c>
      <c r="E55" s="688">
        <v>92.70796</v>
      </c>
      <c r="F55" s="741">
        <f t="shared" si="0"/>
        <v>3.5011517407839445</v>
      </c>
      <c r="J55" s="579"/>
      <c r="K55" s="579"/>
    </row>
    <row r="56" spans="1:11" s="353" customFormat="1" ht="10.5" customHeight="1">
      <c r="A56" s="740"/>
      <c r="B56" s="685" t="s">
        <v>63</v>
      </c>
      <c r="C56" s="688">
        <v>9.9230099999999997</v>
      </c>
      <c r="D56" s="688">
        <v>8.4283800000000006</v>
      </c>
      <c r="E56" s="688">
        <v>9.4004600000000007</v>
      </c>
      <c r="F56" s="741">
        <f t="shared" si="0"/>
        <v>0.17733301061413931</v>
      </c>
      <c r="J56" s="579"/>
      <c r="K56" s="579"/>
    </row>
    <row r="57" spans="1:11" s="353" customFormat="1" ht="10.5" customHeight="1">
      <c r="A57" s="742" t="s">
        <v>372</v>
      </c>
      <c r="B57" s="560"/>
      <c r="C57" s="562">
        <v>212.86321999999998</v>
      </c>
      <c r="D57" s="562">
        <v>131.76463999999999</v>
      </c>
      <c r="E57" s="562">
        <v>329.63039000000003</v>
      </c>
      <c r="F57" s="743">
        <f t="shared" si="0"/>
        <v>0.61548060238315849</v>
      </c>
      <c r="J57" s="579"/>
      <c r="K57" s="579"/>
    </row>
    <row r="58" spans="1:11" s="353" customFormat="1" ht="10.5" customHeight="1">
      <c r="A58" s="740" t="s">
        <v>253</v>
      </c>
      <c r="B58" s="685" t="s">
        <v>79</v>
      </c>
      <c r="C58" s="688">
        <v>31.385619999999999</v>
      </c>
      <c r="D58" s="688">
        <v>29.639150000000001</v>
      </c>
      <c r="E58" s="688">
        <v>19.052129999999998</v>
      </c>
      <c r="F58" s="741">
        <f t="shared" si="0"/>
        <v>5.8924429344296314E-2</v>
      </c>
      <c r="J58" s="579"/>
      <c r="K58" s="579"/>
    </row>
    <row r="59" spans="1:11" s="353" customFormat="1" ht="10.5" customHeight="1">
      <c r="A59" s="742" t="s">
        <v>373</v>
      </c>
      <c r="B59" s="560"/>
      <c r="C59" s="562">
        <v>31.385619999999999</v>
      </c>
      <c r="D59" s="562">
        <v>29.639150000000001</v>
      </c>
      <c r="E59" s="562">
        <v>19.052129999999998</v>
      </c>
      <c r="F59" s="743">
        <f t="shared" si="0"/>
        <v>5.8924429344296314E-2</v>
      </c>
      <c r="J59" s="579"/>
      <c r="K59" s="579"/>
    </row>
    <row r="60" spans="1:11" s="353" customFormat="1" ht="10.5" customHeight="1">
      <c r="A60" s="740" t="s">
        <v>100</v>
      </c>
      <c r="B60" s="685" t="s">
        <v>77</v>
      </c>
      <c r="C60" s="688">
        <v>91.066339999999997</v>
      </c>
      <c r="D60" s="688">
        <v>85.351699999999994</v>
      </c>
      <c r="E60" s="688">
        <v>58.274230000000003</v>
      </c>
      <c r="F60" s="741">
        <f t="shared" si="0"/>
        <v>6.6954026691911306E-2</v>
      </c>
      <c r="J60" s="579"/>
      <c r="K60" s="579"/>
    </row>
    <row r="61" spans="1:11" s="353" customFormat="1" ht="10.5" customHeight="1">
      <c r="A61" s="742" t="s">
        <v>374</v>
      </c>
      <c r="B61" s="560"/>
      <c r="C61" s="562">
        <v>91.066339999999997</v>
      </c>
      <c r="D61" s="562">
        <v>85.351699999999994</v>
      </c>
      <c r="E61" s="562">
        <v>58.274230000000003</v>
      </c>
      <c r="F61" s="743">
        <f t="shared" si="0"/>
        <v>6.6954026691911306E-2</v>
      </c>
      <c r="J61" s="579"/>
      <c r="K61" s="579"/>
    </row>
    <row r="62" spans="1:11" s="353" customFormat="1" ht="10.5" customHeight="1">
      <c r="A62" s="740" t="s">
        <v>108</v>
      </c>
      <c r="B62" s="685" t="s">
        <v>243</v>
      </c>
      <c r="C62" s="688">
        <v>0</v>
      </c>
      <c r="D62" s="688">
        <v>0</v>
      </c>
      <c r="E62" s="688">
        <v>0</v>
      </c>
      <c r="F62" s="741" t="str">
        <f t="shared" si="0"/>
        <v/>
      </c>
      <c r="J62" s="579"/>
      <c r="K62" s="579"/>
    </row>
    <row r="63" spans="1:11" s="353" customFormat="1" ht="10.5" customHeight="1">
      <c r="A63" s="742" t="s">
        <v>375</v>
      </c>
      <c r="B63" s="560"/>
      <c r="C63" s="562">
        <v>0</v>
      </c>
      <c r="D63" s="562">
        <v>0</v>
      </c>
      <c r="E63" s="562">
        <v>0</v>
      </c>
      <c r="F63" s="743" t="str">
        <f t="shared" si="0"/>
        <v/>
      </c>
      <c r="J63" s="579"/>
      <c r="K63" s="579"/>
    </row>
    <row r="64" spans="1:11" s="353" customFormat="1" ht="10.5" customHeight="1">
      <c r="A64" s="740" t="s">
        <v>479</v>
      </c>
      <c r="B64" s="685" t="s">
        <v>86</v>
      </c>
      <c r="C64" s="688">
        <v>2.9015</v>
      </c>
      <c r="D64" s="688">
        <v>1.4994099999999999</v>
      </c>
      <c r="E64" s="688"/>
      <c r="F64" s="741">
        <f t="shared" si="0"/>
        <v>0.93509447049172678</v>
      </c>
      <c r="J64" s="579"/>
      <c r="K64" s="579"/>
    </row>
    <row r="65" spans="1:11" s="353" customFormat="1" ht="10.5" customHeight="1">
      <c r="A65" s="740"/>
      <c r="B65" s="685" t="s">
        <v>85</v>
      </c>
      <c r="C65" s="688">
        <v>4.3220000000000001</v>
      </c>
      <c r="D65" s="688">
        <v>2.8565700000000001</v>
      </c>
      <c r="E65" s="688">
        <v>4.4147999999999996</v>
      </c>
      <c r="F65" s="741">
        <f t="shared" si="0"/>
        <v>0.51300335717311318</v>
      </c>
      <c r="J65" s="579"/>
      <c r="K65" s="579"/>
    </row>
    <row r="66" spans="1:11" s="353" customFormat="1" ht="10.5" customHeight="1">
      <c r="A66" s="740"/>
      <c r="B66" s="685" t="s">
        <v>518</v>
      </c>
      <c r="C66" s="688">
        <v>2.3948</v>
      </c>
      <c r="D66" s="688">
        <v>2.40008</v>
      </c>
      <c r="E66" s="688"/>
      <c r="F66" s="741">
        <f t="shared" si="0"/>
        <v>-2.199926669111063E-3</v>
      </c>
      <c r="J66" s="579"/>
      <c r="K66" s="579"/>
    </row>
    <row r="67" spans="1:11" s="353" customFormat="1" ht="10.5" customHeight="1">
      <c r="A67" s="742" t="s">
        <v>376</v>
      </c>
      <c r="B67" s="560"/>
      <c r="C67" s="562">
        <v>9.6182999999999996</v>
      </c>
      <c r="D67" s="562">
        <v>6.7560599999999997</v>
      </c>
      <c r="E67" s="562">
        <v>4.4147999999999996</v>
      </c>
      <c r="F67" s="743">
        <f t="shared" si="0"/>
        <v>0.4236552073249793</v>
      </c>
      <c r="J67" s="579"/>
      <c r="K67" s="579"/>
    </row>
    <row r="68" spans="1:11" s="353" customFormat="1" ht="10.5" customHeight="1">
      <c r="A68" s="740" t="s">
        <v>254</v>
      </c>
      <c r="B68" s="685" t="s">
        <v>377</v>
      </c>
      <c r="C68" s="688">
        <v>0</v>
      </c>
      <c r="D68" s="688">
        <v>0</v>
      </c>
      <c r="E68" s="688">
        <v>0</v>
      </c>
      <c r="F68" s="741" t="str">
        <f t="shared" si="0"/>
        <v/>
      </c>
      <c r="J68" s="579"/>
      <c r="K68" s="579"/>
    </row>
    <row r="69" spans="1:11" s="353" customFormat="1" ht="9" customHeight="1">
      <c r="A69" s="742" t="s">
        <v>378</v>
      </c>
      <c r="B69" s="560"/>
      <c r="C69" s="562">
        <v>0</v>
      </c>
      <c r="D69" s="562">
        <v>0</v>
      </c>
      <c r="E69" s="562">
        <v>0</v>
      </c>
      <c r="F69" s="743" t="str">
        <f t="shared" ref="F69:F73" si="1">+IF(D69=0,"",C69/D69-1)</f>
        <v/>
      </c>
      <c r="J69" s="579"/>
      <c r="K69" s="579"/>
    </row>
    <row r="70" spans="1:11" s="353" customFormat="1" ht="10.5" customHeight="1">
      <c r="A70" s="740" t="s">
        <v>761</v>
      </c>
      <c r="B70" s="685" t="s">
        <v>768</v>
      </c>
      <c r="C70" s="688">
        <v>10.050419999999999</v>
      </c>
      <c r="D70" s="688"/>
      <c r="E70" s="688">
        <v>0</v>
      </c>
      <c r="F70" s="741" t="str">
        <f t="shared" si="1"/>
        <v/>
      </c>
      <c r="J70" s="579"/>
      <c r="K70" s="579"/>
    </row>
    <row r="71" spans="1:11" s="353" customFormat="1" ht="10.5" customHeight="1">
      <c r="A71" s="742" t="s">
        <v>560</v>
      </c>
      <c r="B71" s="560"/>
      <c r="C71" s="562">
        <v>10.050419999999999</v>
      </c>
      <c r="D71" s="562"/>
      <c r="E71" s="562">
        <v>0</v>
      </c>
      <c r="F71" s="743" t="str">
        <f t="shared" si="1"/>
        <v/>
      </c>
      <c r="J71" s="579"/>
      <c r="K71" s="579"/>
    </row>
    <row r="72" spans="1:11" s="353" customFormat="1" ht="10.5" customHeight="1">
      <c r="A72" s="687" t="s">
        <v>105</v>
      </c>
      <c r="B72" s="685" t="s">
        <v>62</v>
      </c>
      <c r="C72" s="688">
        <v>9.44374</v>
      </c>
      <c r="D72" s="688">
        <v>3.1261299999999999</v>
      </c>
      <c r="E72" s="688">
        <v>18.419509999999999</v>
      </c>
      <c r="F72" s="708">
        <f t="shared" si="1"/>
        <v>2.0209044409541512</v>
      </c>
    </row>
    <row r="73" spans="1:11" s="353" customFormat="1" ht="10.5" customHeight="1">
      <c r="A73" s="742" t="s">
        <v>379</v>
      </c>
      <c r="B73" s="560"/>
      <c r="C73" s="562">
        <v>9.44374</v>
      </c>
      <c r="D73" s="562">
        <v>3.1261299999999999</v>
      </c>
      <c r="E73" s="562">
        <v>18.419509999999999</v>
      </c>
      <c r="F73" s="743">
        <f t="shared" si="1"/>
        <v>2.0209044409541512</v>
      </c>
    </row>
    <row r="74" spans="1:11" s="353" customFormat="1" ht="10.5" customHeight="1"/>
    <row r="75" spans="1:11" s="353" customFormat="1" ht="10.5" customHeight="1"/>
    <row r="76" spans="1:11" s="353" customFormat="1" ht="10.5" customHeight="1"/>
    <row r="77" spans="1:11" s="353" customFormat="1" ht="10.5" customHeight="1"/>
    <row r="78" spans="1:11" s="353" customFormat="1" ht="10.5" customHeight="1"/>
    <row r="79" spans="1:11" s="353" customFormat="1" ht="10.5" customHeight="1"/>
    <row r="80" spans="1:11" s="353" customFormat="1" ht="10.5" customHeight="1"/>
    <row r="81" s="353" customFormat="1" ht="10.5" customHeight="1"/>
    <row r="82" s="353" customFormat="1" ht="10.5" customHeight="1"/>
    <row r="83" s="353" customFormat="1" ht="8.25"/>
    <row r="84" s="353" customFormat="1" ht="8.25"/>
    <row r="85" s="353" customFormat="1" ht="8.25"/>
    <row r="86" s="353" customFormat="1" ht="8.25"/>
    <row r="87" s="353" customFormat="1" ht="8.25"/>
    <row r="88" s="353" customFormat="1" ht="8.25"/>
    <row r="89" s="353" customFormat="1" ht="8.25"/>
    <row r="90" s="353" customFormat="1" ht="8.25"/>
    <row r="91" s="353" customFormat="1" ht="8.25"/>
    <row r="92" s="353" customFormat="1" ht="8.25"/>
    <row r="93" s="353" customFormat="1" ht="8.25"/>
    <row r="94" s="353" customFormat="1" ht="8.25"/>
    <row r="95" s="353" customFormat="1" ht="8.25"/>
    <row r="96" s="353" customFormat="1" ht="8.25"/>
    <row r="97" s="353" customFormat="1" ht="8.25"/>
    <row r="98" s="353" customFormat="1" ht="8.25"/>
    <row r="99" s="353" customFormat="1" ht="8.25"/>
    <row r="100" s="353" customFormat="1" ht="8.25"/>
    <row r="101" s="353" customFormat="1" ht="8.25"/>
    <row r="102" s="353" customFormat="1" ht="8.25"/>
    <row r="103" s="353" customFormat="1" ht="8.25"/>
    <row r="104" s="353" customFormat="1" ht="8.25"/>
    <row r="105" s="353" customFormat="1" ht="8.25"/>
    <row r="106" s="353" customFormat="1" ht="8.25"/>
    <row r="107" s="353" customFormat="1" ht="8.25"/>
    <row r="108" s="353" customFormat="1" ht="8.25"/>
    <row r="109" s="353" customFormat="1" ht="8.25"/>
    <row r="110" s="353" customFormat="1" ht="8.25"/>
    <row r="111" s="353" customFormat="1" ht="8.25"/>
    <row r="112" s="353" customFormat="1" ht="8.25"/>
    <row r="113" s="353" customFormat="1" ht="8.25"/>
    <row r="114" s="353" customFormat="1" ht="8.25"/>
    <row r="115" s="353" customFormat="1" ht="8.25"/>
  </sheetData>
  <mergeCells count="3">
    <mergeCell ref="A1:A4"/>
    <mergeCell ref="B1:B4"/>
    <mergeCell ref="C1:F1"/>
  </mergeCells>
  <pageMargins left="0.70866141732283472" right="0.70866141732283472" top="1.0236220472440944" bottom="0.62992125984251968" header="0.31496062992125984" footer="0.31496062992125984"/>
  <pageSetup paperSize="9" scale="94" orientation="portrait" r:id="rId1"/>
  <headerFooter>
    <oddHeader>&amp;R&amp;7Informe de la Operación Mensual-Octubre 2019
INFSGI-MES-10-2019
18/10/2019
Versión: 01</oddHeader>
    <oddFooter>&amp;L&amp;7COES, 2019&amp;C22&amp;R&amp;7Dirección Ejecutiva
Sub Dirección de Gestión de Información</oddFooter>
  </headerFooter>
  <rowBreaks count="1" manualBreakCount="1">
    <brk id="73" max="16383" man="1"/>
  </rowBreak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25">
    <tabColor theme="4"/>
  </sheetPr>
  <dimension ref="A1:F60"/>
  <sheetViews>
    <sheetView showGridLines="0" view="pageBreakPreview" topLeftCell="A31" zoomScale="130" zoomScaleNormal="100" zoomScaleSheetLayoutView="130" zoomScalePageLayoutView="130" workbookViewId="0">
      <selection activeCell="M12" sqref="M12"/>
    </sheetView>
  </sheetViews>
  <sheetFormatPr defaultColWidth="9.33203125" defaultRowHeight="9"/>
  <cols>
    <col min="1" max="1" width="27" style="280" customWidth="1"/>
    <col min="2" max="2" width="19.5" style="280" customWidth="1"/>
    <col min="3" max="3" width="16.5" style="280" customWidth="1"/>
    <col min="4" max="4" width="17.6640625" style="280" customWidth="1"/>
    <col min="5" max="5" width="15.1640625" style="280" customWidth="1"/>
    <col min="6" max="6" width="12.83203125" style="280" customWidth="1"/>
    <col min="7" max="16384" width="9.33203125" style="280"/>
  </cols>
  <sheetData>
    <row r="1" spans="1:6" s="353" customFormat="1" ht="11.25" customHeight="1">
      <c r="A1" s="992" t="s">
        <v>261</v>
      </c>
      <c r="B1" s="994" t="s">
        <v>55</v>
      </c>
      <c r="C1" s="994" t="s">
        <v>411</v>
      </c>
      <c r="D1" s="994"/>
      <c r="E1" s="994"/>
      <c r="F1" s="996"/>
    </row>
    <row r="2" spans="1:6" s="353" customFormat="1" ht="11.25" customHeight="1">
      <c r="A2" s="986"/>
      <c r="B2" s="989"/>
      <c r="C2" s="544" t="str">
        <f>+'22. ANEXOII-2'!C2</f>
        <v>OCTUBRE 2019</v>
      </c>
      <c r="D2" s="545" t="str">
        <f>+'22. ANEXOII-2'!D2</f>
        <v>OCTUBRE 2018</v>
      </c>
      <c r="E2" s="546" t="s">
        <v>572</v>
      </c>
      <c r="F2" s="705" t="s">
        <v>528</v>
      </c>
    </row>
    <row r="3" spans="1:6" s="353" customFormat="1" ht="11.25" customHeight="1">
      <c r="A3" s="986"/>
      <c r="B3" s="989"/>
      <c r="C3" s="547">
        <f>+'8. Max Potencia'!D8</f>
        <v>43767.791666666664</v>
      </c>
      <c r="D3" s="547">
        <f>+'8. Max Potencia'!E8</f>
        <v>43390.791666666664</v>
      </c>
      <c r="E3" s="547">
        <f>+'22. ANEXOII-2'!E3</f>
        <v>43031.864583333336</v>
      </c>
      <c r="F3" s="706" t="s">
        <v>408</v>
      </c>
    </row>
    <row r="4" spans="1:6" s="353" customFormat="1" ht="11.25" customHeight="1">
      <c r="A4" s="993"/>
      <c r="B4" s="995"/>
      <c r="C4" s="548">
        <f>+'8. Max Potencia'!D9</f>
        <v>43767.791666666664</v>
      </c>
      <c r="D4" s="548">
        <f>+'8. Max Potencia'!E9</f>
        <v>43390.791666666664</v>
      </c>
      <c r="E4" s="548">
        <f>+'22. ANEXOII-2'!E4</f>
        <v>43031.864583333336</v>
      </c>
      <c r="F4" s="707" t="s">
        <v>409</v>
      </c>
    </row>
    <row r="5" spans="1:6" s="353" customFormat="1" ht="10.5" customHeight="1">
      <c r="A5" s="740" t="s">
        <v>255</v>
      </c>
      <c r="B5" s="685" t="s">
        <v>380</v>
      </c>
      <c r="C5" s="688">
        <v>0</v>
      </c>
      <c r="D5" s="688">
        <v>0</v>
      </c>
      <c r="E5" s="688">
        <v>0</v>
      </c>
      <c r="F5" s="741" t="str">
        <f t="shared" ref="F5:F39" si="0">+IF(D5=0,"",C5/D5-1)</f>
        <v/>
      </c>
    </row>
    <row r="6" spans="1:6" s="353" customFormat="1" ht="10.5" customHeight="1">
      <c r="A6" s="742" t="s">
        <v>381</v>
      </c>
      <c r="B6" s="560"/>
      <c r="C6" s="562">
        <v>0</v>
      </c>
      <c r="D6" s="562">
        <v>0</v>
      </c>
      <c r="E6" s="562">
        <v>0</v>
      </c>
      <c r="F6" s="743" t="str">
        <f t="shared" si="0"/>
        <v/>
      </c>
    </row>
    <row r="7" spans="1:6" s="353" customFormat="1" ht="10.5" customHeight="1">
      <c r="A7" s="740" t="s">
        <v>96</v>
      </c>
      <c r="B7" s="685" t="s">
        <v>382</v>
      </c>
      <c r="C7" s="688">
        <v>108.10897</v>
      </c>
      <c r="D7" s="688">
        <v>111.07001</v>
      </c>
      <c r="E7" s="688">
        <v>55.882710000000003</v>
      </c>
      <c r="F7" s="741">
        <f t="shared" si="0"/>
        <v>-2.6659221512629672E-2</v>
      </c>
    </row>
    <row r="8" spans="1:6" s="353" customFormat="1" ht="10.5" customHeight="1">
      <c r="A8" s="740"/>
      <c r="B8" s="685" t="s">
        <v>607</v>
      </c>
      <c r="C8" s="688"/>
      <c r="D8" s="688"/>
      <c r="E8" s="688">
        <v>0</v>
      </c>
      <c r="F8" s="741" t="str">
        <f t="shared" si="0"/>
        <v/>
      </c>
    </row>
    <row r="9" spans="1:6" s="353" customFormat="1" ht="10.5" customHeight="1">
      <c r="A9" s="742" t="s">
        <v>383</v>
      </c>
      <c r="B9" s="560"/>
      <c r="C9" s="562">
        <v>108.10897</v>
      </c>
      <c r="D9" s="562">
        <v>111.07001</v>
      </c>
      <c r="E9" s="562">
        <v>55.882710000000003</v>
      </c>
      <c r="F9" s="743">
        <f t="shared" si="0"/>
        <v>-2.6659221512629672E-2</v>
      </c>
    </row>
    <row r="10" spans="1:6" s="353" customFormat="1" ht="10.5" customHeight="1">
      <c r="A10" s="740" t="s">
        <v>760</v>
      </c>
      <c r="B10" s="685" t="s">
        <v>767</v>
      </c>
      <c r="C10" s="688">
        <v>7.8860000000000001</v>
      </c>
      <c r="D10" s="688"/>
      <c r="E10" s="688"/>
      <c r="F10" s="741" t="str">
        <f t="shared" si="0"/>
        <v/>
      </c>
    </row>
    <row r="11" spans="1:6" s="353" customFormat="1" ht="10.5" customHeight="1">
      <c r="A11" s="742" t="s">
        <v>526</v>
      </c>
      <c r="B11" s="560"/>
      <c r="C11" s="562">
        <v>7.8860000000000001</v>
      </c>
      <c r="D11" s="562"/>
      <c r="E11" s="562"/>
      <c r="F11" s="743" t="str">
        <f t="shared" si="0"/>
        <v/>
      </c>
    </row>
    <row r="12" spans="1:6" s="353" customFormat="1" ht="10.5" customHeight="1">
      <c r="A12" s="740" t="s">
        <v>462</v>
      </c>
      <c r="B12" s="685" t="s">
        <v>469</v>
      </c>
      <c r="C12" s="688">
        <v>20.00038</v>
      </c>
      <c r="D12" s="688">
        <v>6.3366600000000002</v>
      </c>
      <c r="E12" s="688"/>
      <c r="F12" s="741">
        <f t="shared" si="0"/>
        <v>2.1562968503912154</v>
      </c>
    </row>
    <row r="13" spans="1:6" s="353" customFormat="1" ht="10.5" customHeight="1">
      <c r="A13" s="742" t="s">
        <v>464</v>
      </c>
      <c r="B13" s="560"/>
      <c r="C13" s="562">
        <v>20.00038</v>
      </c>
      <c r="D13" s="562">
        <v>6.3366600000000002</v>
      </c>
      <c r="E13" s="562"/>
      <c r="F13" s="743">
        <f t="shared" si="0"/>
        <v>2.1562968503912154</v>
      </c>
    </row>
    <row r="14" spans="1:6" s="353" customFormat="1" ht="10.5" customHeight="1">
      <c r="A14" s="740" t="s">
        <v>103</v>
      </c>
      <c r="B14" s="685" t="s">
        <v>384</v>
      </c>
      <c r="C14" s="688">
        <v>28.075600000000001</v>
      </c>
      <c r="D14" s="688">
        <v>0</v>
      </c>
      <c r="E14" s="688">
        <v>28.32246</v>
      </c>
      <c r="F14" s="741" t="str">
        <f t="shared" si="0"/>
        <v/>
      </c>
    </row>
    <row r="15" spans="1:6" s="353" customFormat="1" ht="10.5" customHeight="1">
      <c r="A15" s="742" t="s">
        <v>385</v>
      </c>
      <c r="B15" s="560"/>
      <c r="C15" s="562">
        <v>28.075600000000001</v>
      </c>
      <c r="D15" s="562">
        <v>0</v>
      </c>
      <c r="E15" s="562">
        <v>28.32246</v>
      </c>
      <c r="F15" s="743" t="str">
        <f t="shared" si="0"/>
        <v/>
      </c>
    </row>
    <row r="16" spans="1:6" s="353" customFormat="1" ht="10.5" customHeight="1">
      <c r="A16" s="740" t="s">
        <v>120</v>
      </c>
      <c r="B16" s="685" t="s">
        <v>386</v>
      </c>
      <c r="C16" s="688">
        <v>0</v>
      </c>
      <c r="D16" s="688">
        <v>0</v>
      </c>
      <c r="E16" s="688">
        <v>0</v>
      </c>
      <c r="F16" s="741" t="str">
        <f t="shared" si="0"/>
        <v/>
      </c>
    </row>
    <row r="17" spans="1:6" s="353" customFormat="1" ht="10.5" customHeight="1">
      <c r="A17" s="742" t="s">
        <v>387</v>
      </c>
      <c r="B17" s="560"/>
      <c r="C17" s="562">
        <v>0</v>
      </c>
      <c r="D17" s="562">
        <v>0</v>
      </c>
      <c r="E17" s="562">
        <v>0</v>
      </c>
      <c r="F17" s="743" t="str">
        <f t="shared" si="0"/>
        <v/>
      </c>
    </row>
    <row r="18" spans="1:6" s="353" customFormat="1" ht="10.5" customHeight="1">
      <c r="A18" s="740" t="s">
        <v>114</v>
      </c>
      <c r="B18" s="685" t="s">
        <v>762</v>
      </c>
      <c r="C18" s="688">
        <v>15.115159999999999</v>
      </c>
      <c r="D18" s="688"/>
      <c r="E18" s="688">
        <v>0</v>
      </c>
      <c r="F18" s="741" t="str">
        <f t="shared" si="0"/>
        <v/>
      </c>
    </row>
    <row r="19" spans="1:6" s="353" customFormat="1" ht="10.5" customHeight="1">
      <c r="A19" s="749"/>
      <c r="B19" s="699" t="s">
        <v>70</v>
      </c>
      <c r="C19" s="713">
        <v>5.3213200000000001</v>
      </c>
      <c r="D19" s="713">
        <v>3.43588</v>
      </c>
      <c r="E19" s="713">
        <v>6.8844399999999997</v>
      </c>
      <c r="F19" s="769">
        <f t="shared" si="0"/>
        <v>0.5487502473893151</v>
      </c>
    </row>
    <row r="20" spans="1:6" s="353" customFormat="1" ht="10.5" customHeight="1">
      <c r="A20" s="742" t="s">
        <v>388</v>
      </c>
      <c r="B20" s="560"/>
      <c r="C20" s="562">
        <v>20.43648</v>
      </c>
      <c r="D20" s="562">
        <v>3.43588</v>
      </c>
      <c r="E20" s="562">
        <v>6.8844399999999997</v>
      </c>
      <c r="F20" s="743">
        <f t="shared" si="0"/>
        <v>4.9479609299509875</v>
      </c>
    </row>
    <row r="21" spans="1:6" s="353" customFormat="1" ht="10.5" customHeight="1">
      <c r="A21" s="740" t="s">
        <v>91</v>
      </c>
      <c r="B21" s="685" t="s">
        <v>389</v>
      </c>
      <c r="C21" s="688">
        <v>22.661149999999999</v>
      </c>
      <c r="D21" s="688">
        <v>25.59581</v>
      </c>
      <c r="E21" s="688">
        <v>34.122489999999999</v>
      </c>
      <c r="F21" s="741">
        <f t="shared" si="0"/>
        <v>-0.114653921872369</v>
      </c>
    </row>
    <row r="22" spans="1:6" s="353" customFormat="1" ht="10.5" customHeight="1">
      <c r="A22" s="749"/>
      <c r="B22" s="699" t="s">
        <v>390</v>
      </c>
      <c r="C22" s="713">
        <v>71.315269999999998</v>
      </c>
      <c r="D22" s="713">
        <v>39.74888</v>
      </c>
      <c r="E22" s="713">
        <v>65.117490000000004</v>
      </c>
      <c r="F22" s="769">
        <f t="shared" si="0"/>
        <v>0.79414539478848201</v>
      </c>
    </row>
    <row r="23" spans="1:6" s="353" customFormat="1" ht="10.5" customHeight="1">
      <c r="A23" s="749"/>
      <c r="B23" s="699" t="s">
        <v>391</v>
      </c>
      <c r="C23" s="713">
        <v>11.90523</v>
      </c>
      <c r="D23" s="713">
        <v>12.94281</v>
      </c>
      <c r="E23" s="713">
        <v>31.229520000000001</v>
      </c>
      <c r="F23" s="769">
        <f t="shared" si="0"/>
        <v>-8.0166517162810869E-2</v>
      </c>
    </row>
    <row r="24" spans="1:6" s="353" customFormat="1" ht="10.5" customHeight="1">
      <c r="A24" s="749"/>
      <c r="B24" s="699" t="s">
        <v>392</v>
      </c>
      <c r="C24" s="713">
        <v>0.22</v>
      </c>
      <c r="D24" s="713">
        <v>0.21</v>
      </c>
      <c r="E24" s="713">
        <v>0</v>
      </c>
      <c r="F24" s="769">
        <f t="shared" si="0"/>
        <v>4.7619047619047672E-2</v>
      </c>
    </row>
    <row r="25" spans="1:6" s="353" customFormat="1" ht="10.5" customHeight="1">
      <c r="A25" s="749"/>
      <c r="B25" s="699" t="s">
        <v>393</v>
      </c>
      <c r="C25" s="713">
        <v>28.28087</v>
      </c>
      <c r="D25" s="713">
        <v>43.833030000000001</v>
      </c>
      <c r="E25" s="713">
        <v>35.294880000000006</v>
      </c>
      <c r="F25" s="769">
        <f t="shared" si="0"/>
        <v>-0.35480458457925446</v>
      </c>
    </row>
    <row r="26" spans="1:6" s="353" customFormat="1" ht="10.5" customHeight="1">
      <c r="A26" s="749"/>
      <c r="B26" s="699" t="s">
        <v>394</v>
      </c>
      <c r="C26" s="713">
        <v>2.75265</v>
      </c>
      <c r="D26" s="713">
        <v>3.72966</v>
      </c>
      <c r="E26" s="713">
        <v>0</v>
      </c>
      <c r="F26" s="769">
        <f t="shared" si="0"/>
        <v>-0.26195685397596558</v>
      </c>
    </row>
    <row r="27" spans="1:6" s="353" customFormat="1" ht="10.5" customHeight="1">
      <c r="A27" s="749"/>
      <c r="B27" s="699" t="s">
        <v>395</v>
      </c>
      <c r="C27" s="713">
        <v>8.3095200000000009</v>
      </c>
      <c r="D27" s="713">
        <v>8.02332</v>
      </c>
      <c r="E27" s="713">
        <v>8.2396799999999999</v>
      </c>
      <c r="F27" s="769">
        <f t="shared" si="0"/>
        <v>3.5671018979674285E-2</v>
      </c>
    </row>
    <row r="28" spans="1:6" s="353" customFormat="1" ht="10.5" customHeight="1">
      <c r="A28" s="749"/>
      <c r="B28" s="699" t="s">
        <v>396</v>
      </c>
      <c r="C28" s="713">
        <v>6.5411700000000002</v>
      </c>
      <c r="D28" s="713">
        <v>7.2641600000000004</v>
      </c>
      <c r="E28" s="713">
        <v>8.9763099999999998</v>
      </c>
      <c r="F28" s="769">
        <f t="shared" si="0"/>
        <v>-9.9528369419175866E-2</v>
      </c>
    </row>
    <row r="29" spans="1:6" s="353" customFormat="1" ht="10.5" customHeight="1">
      <c r="A29" s="749"/>
      <c r="B29" s="699" t="s">
        <v>397</v>
      </c>
      <c r="C29" s="713">
        <v>1.8356599999999998</v>
      </c>
      <c r="D29" s="713">
        <v>1.7599399999999998</v>
      </c>
      <c r="E29" s="713">
        <v>4.17103</v>
      </c>
      <c r="F29" s="769">
        <f t="shared" si="0"/>
        <v>4.3024194006613836E-2</v>
      </c>
    </row>
    <row r="30" spans="1:6" s="353" customFormat="1" ht="10.5" customHeight="1">
      <c r="A30" s="749"/>
      <c r="B30" s="699" t="s">
        <v>398</v>
      </c>
      <c r="C30" s="713">
        <v>0.32654</v>
      </c>
      <c r="D30" s="713">
        <v>0.30035000000000001</v>
      </c>
      <c r="E30" s="713">
        <v>0.40878999999999999</v>
      </c>
      <c r="F30" s="769">
        <f t="shared" si="0"/>
        <v>8.7198268686532243E-2</v>
      </c>
    </row>
    <row r="31" spans="1:6" s="353" customFormat="1" ht="10.5" customHeight="1">
      <c r="A31" s="749"/>
      <c r="B31" s="699" t="s">
        <v>399</v>
      </c>
      <c r="C31" s="713">
        <v>0.27784999999999999</v>
      </c>
      <c r="D31" s="713">
        <v>0</v>
      </c>
      <c r="E31" s="713">
        <v>0.28316999999999998</v>
      </c>
      <c r="F31" s="769" t="str">
        <f t="shared" si="0"/>
        <v/>
      </c>
    </row>
    <row r="32" spans="1:6" s="353" customFormat="1" ht="10.5" customHeight="1">
      <c r="A32" s="749"/>
      <c r="B32" s="699" t="s">
        <v>400</v>
      </c>
      <c r="C32" s="713">
        <v>90.424079999999989</v>
      </c>
      <c r="D32" s="713">
        <v>84.73115</v>
      </c>
      <c r="E32" s="713">
        <v>106.35258999999999</v>
      </c>
      <c r="F32" s="769">
        <f t="shared" si="0"/>
        <v>6.7188159254299995E-2</v>
      </c>
    </row>
    <row r="33" spans="1:6" s="353" customFormat="1" ht="10.5" customHeight="1">
      <c r="A33" s="742" t="s">
        <v>401</v>
      </c>
      <c r="B33" s="560"/>
      <c r="C33" s="562">
        <v>244.84998999999993</v>
      </c>
      <c r="D33" s="562">
        <v>228.13911000000002</v>
      </c>
      <c r="E33" s="562">
        <v>294.19595000000004</v>
      </c>
      <c r="F33" s="743">
        <f t="shared" si="0"/>
        <v>7.3248642023719279E-2</v>
      </c>
    </row>
    <row r="34" spans="1:6" s="353" customFormat="1" ht="10.5" customHeight="1">
      <c r="A34" s="740" t="s">
        <v>110</v>
      </c>
      <c r="B34" s="685" t="s">
        <v>242</v>
      </c>
      <c r="C34" s="688">
        <v>0</v>
      </c>
      <c r="D34" s="688">
        <v>0</v>
      </c>
      <c r="E34" s="688">
        <v>0</v>
      </c>
      <c r="F34" s="741" t="str">
        <f t="shared" si="0"/>
        <v/>
      </c>
    </row>
    <row r="35" spans="1:6" s="353" customFormat="1" ht="10.5" customHeight="1">
      <c r="A35" s="742" t="s">
        <v>402</v>
      </c>
      <c r="B35" s="560"/>
      <c r="C35" s="562">
        <v>0</v>
      </c>
      <c r="D35" s="562">
        <v>0</v>
      </c>
      <c r="E35" s="562">
        <v>0</v>
      </c>
      <c r="F35" s="743" t="str">
        <f t="shared" si="0"/>
        <v/>
      </c>
    </row>
    <row r="36" spans="1:6" s="353" customFormat="1" ht="10.5" customHeight="1">
      <c r="A36" s="740" t="s">
        <v>101</v>
      </c>
      <c r="B36" s="685" t="s">
        <v>523</v>
      </c>
      <c r="C36" s="688">
        <v>0.50978000000000001</v>
      </c>
      <c r="D36" s="688">
        <v>297.05750999999998</v>
      </c>
      <c r="E36" s="688">
        <v>191.96331000000001</v>
      </c>
      <c r="F36" s="741">
        <f t="shared" si="0"/>
        <v>-0.99828390132267653</v>
      </c>
    </row>
    <row r="37" spans="1:6" s="353" customFormat="1" ht="10.5" customHeight="1">
      <c r="A37" s="742" t="s">
        <v>403</v>
      </c>
      <c r="B37" s="560"/>
      <c r="C37" s="562">
        <v>0.50978000000000001</v>
      </c>
      <c r="D37" s="562">
        <v>297.05750999999998</v>
      </c>
      <c r="E37" s="562">
        <v>191.96331000000001</v>
      </c>
      <c r="F37" s="743">
        <f t="shared" si="0"/>
        <v>-0.99828390132267653</v>
      </c>
    </row>
    <row r="38" spans="1:6" s="353" customFormat="1" ht="10.5" customHeight="1">
      <c r="A38" s="740" t="s">
        <v>106</v>
      </c>
      <c r="B38" s="685" t="s">
        <v>404</v>
      </c>
      <c r="C38" s="688">
        <v>75.331770000000006</v>
      </c>
      <c r="D38" s="688">
        <v>0</v>
      </c>
      <c r="E38" s="688">
        <v>0</v>
      </c>
      <c r="F38" s="741" t="str">
        <f t="shared" si="0"/>
        <v/>
      </c>
    </row>
    <row r="39" spans="1:6" s="353" customFormat="1" ht="10.5" customHeight="1">
      <c r="A39" s="742" t="s">
        <v>405</v>
      </c>
      <c r="B39" s="560"/>
      <c r="C39" s="562">
        <v>75.331770000000006</v>
      </c>
      <c r="D39" s="562">
        <v>0</v>
      </c>
      <c r="E39" s="562">
        <v>0</v>
      </c>
      <c r="F39" s="743" t="str">
        <f t="shared" si="0"/>
        <v/>
      </c>
    </row>
    <row r="40" spans="1:6" s="353" customFormat="1" ht="10.5" hidden="1" customHeight="1">
      <c r="A40" s="749" t="s">
        <v>405</v>
      </c>
      <c r="B40" s="699"/>
      <c r="C40" s="713">
        <v>156.52760000000001</v>
      </c>
      <c r="D40" s="713">
        <v>171.66131000000001</v>
      </c>
      <c r="E40" s="713">
        <v>86.49879</v>
      </c>
      <c r="F40" s="769">
        <f t="shared" ref="F40:F41" si="1">+IF(D40=0,"",C40/D40-1)</f>
        <v>-8.8160284923842203E-2</v>
      </c>
    </row>
    <row r="41" spans="1:6" ht="6.75" customHeight="1">
      <c r="A41" s="749"/>
      <c r="B41" s="699"/>
      <c r="C41" s="713"/>
      <c r="D41" s="713"/>
      <c r="E41" s="713"/>
      <c r="F41" s="769" t="str">
        <f t="shared" si="1"/>
        <v/>
      </c>
    </row>
    <row r="42" spans="1:6" s="436" customFormat="1" ht="12" customHeight="1">
      <c r="A42" s="541" t="s">
        <v>465</v>
      </c>
      <c r="B42" s="555"/>
      <c r="C42" s="677">
        <v>6840.567820000002</v>
      </c>
      <c r="D42" s="540">
        <v>6657.6237300000012</v>
      </c>
      <c r="E42" s="540">
        <v>6341.2404999999981</v>
      </c>
      <c r="F42" s="714">
        <f>+IF(D42=0,"",C42/D42-1)</f>
        <v>2.7478886975188299E-2</v>
      </c>
    </row>
    <row r="43" spans="1:6" s="436" customFormat="1" ht="12" customHeight="1">
      <c r="A43" s="555" t="s">
        <v>406</v>
      </c>
      <c r="B43" s="541"/>
      <c r="C43" s="540">
        <f>+'8. Max Potencia'!D16</f>
        <v>0</v>
      </c>
      <c r="D43" s="540">
        <f>+'8. Max Potencia'!E16</f>
        <v>0</v>
      </c>
      <c r="E43" s="543">
        <v>0</v>
      </c>
      <c r="F43" s="715">
        <v>0</v>
      </c>
    </row>
    <row r="44" spans="1:6" s="436" customFormat="1" ht="12" customHeight="1">
      <c r="A44" s="716" t="s">
        <v>407</v>
      </c>
      <c r="B44" s="716"/>
      <c r="C44" s="540">
        <v>0</v>
      </c>
      <c r="D44" s="540">
        <v>0</v>
      </c>
      <c r="E44" s="543">
        <v>0</v>
      </c>
      <c r="F44" s="715">
        <v>0</v>
      </c>
    </row>
    <row r="45" spans="1:6" ht="12" customHeight="1">
      <c r="A45" s="855" t="s">
        <v>596</v>
      </c>
      <c r="B45" s="716"/>
      <c r="C45" s="540">
        <f>+C42+C43</f>
        <v>6840.567820000002</v>
      </c>
      <c r="D45" s="540">
        <f t="shared" ref="D45:E45" si="2">+D42+D43</f>
        <v>6657.6237300000012</v>
      </c>
      <c r="E45" s="540">
        <f t="shared" si="2"/>
        <v>6341.2404999999981</v>
      </c>
      <c r="F45" s="714">
        <f>+IF(D45=0,"",C45/D45-1)</f>
        <v>2.7478886975188299E-2</v>
      </c>
    </row>
    <row r="46" spans="1:6" ht="12" customHeight="1">
      <c r="A46" s="685"/>
      <c r="B46" s="689"/>
      <c r="C46" s="689"/>
      <c r="D46" s="689"/>
      <c r="E46" s="689"/>
      <c r="F46" s="689"/>
    </row>
    <row r="47" spans="1:6" ht="27.75" customHeight="1">
      <c r="A47" s="984" t="s">
        <v>539</v>
      </c>
      <c r="B47" s="984"/>
      <c r="C47" s="984"/>
      <c r="D47" s="984"/>
      <c r="E47" s="984"/>
      <c r="F47" s="984"/>
    </row>
    <row r="48" spans="1:6" ht="15" customHeight="1">
      <c r="A48" s="781" t="s">
        <v>563</v>
      </c>
    </row>
    <row r="49" spans="1:6" ht="15" customHeight="1">
      <c r="A49" s="781" t="s">
        <v>564</v>
      </c>
    </row>
    <row r="50" spans="1:6" ht="15" customHeight="1">
      <c r="A50" s="781" t="s">
        <v>565</v>
      </c>
    </row>
    <row r="51" spans="1:6" ht="15" customHeight="1">
      <c r="A51" s="781" t="s">
        <v>566</v>
      </c>
    </row>
    <row r="52" spans="1:6" ht="15" customHeight="1">
      <c r="A52" s="781" t="s">
        <v>583</v>
      </c>
    </row>
    <row r="53" spans="1:6" ht="15" customHeight="1">
      <c r="A53" s="781" t="s">
        <v>582</v>
      </c>
    </row>
    <row r="54" spans="1:6" ht="24" customHeight="1">
      <c r="A54" s="983" t="s">
        <v>592</v>
      </c>
      <c r="B54" s="983"/>
      <c r="C54" s="983"/>
      <c r="D54" s="983"/>
      <c r="E54" s="983"/>
      <c r="F54" s="983"/>
    </row>
    <row r="55" spans="1:6" ht="15.75" customHeight="1">
      <c r="A55" s="781" t="s">
        <v>590</v>
      </c>
    </row>
    <row r="56" spans="1:6" ht="12" customHeight="1">
      <c r="A56" s="353" t="s">
        <v>764</v>
      </c>
    </row>
    <row r="57" spans="1:6" ht="12" customHeight="1">
      <c r="A57" s="353"/>
    </row>
    <row r="58" spans="1:6" ht="12" customHeight="1">
      <c r="A58" s="353"/>
    </row>
    <row r="59" spans="1:6" ht="12" customHeight="1">
      <c r="A59" s="353"/>
    </row>
    <row r="60" spans="1:6" ht="12" customHeight="1">
      <c r="A60" s="353"/>
    </row>
  </sheetData>
  <mergeCells count="5">
    <mergeCell ref="A1:A4"/>
    <mergeCell ref="B1:B4"/>
    <mergeCell ref="C1:F1"/>
    <mergeCell ref="A47:F47"/>
    <mergeCell ref="A54:F54"/>
  </mergeCells>
  <pageMargins left="0.70866141732283472" right="0.70866141732283472" top="1.0236220472440944" bottom="0.62992125984251968" header="0.31496062992125984" footer="0.31496062992125984"/>
  <pageSetup paperSize="9" scale="95" orientation="portrait" r:id="rId1"/>
  <headerFooter>
    <oddHeader>&amp;R&amp;7Informe de la Operación Mensual-Octubre 2019
INFSGI-MES-10-2019
18/10/2019
Versión: 01</oddHeader>
    <oddFooter>&amp;L&amp;7COES, 2019&amp;C23&amp;R&amp;7Dirección Ejecutiva
Sub Dirección de Gestión de Información</oddFooter>
  </headerFooter>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6">
    <tabColor theme="4"/>
  </sheetPr>
  <dimension ref="A1:M65"/>
  <sheetViews>
    <sheetView showGridLines="0" view="pageBreakPreview" topLeftCell="A10" zoomScale="130" zoomScaleNormal="100" zoomScaleSheetLayoutView="130" zoomScalePageLayoutView="145" workbookViewId="0">
      <selection activeCell="M12" sqref="M12"/>
    </sheetView>
  </sheetViews>
  <sheetFormatPr defaultColWidth="9.33203125" defaultRowHeight="11.25"/>
  <cols>
    <col min="1" max="1" width="9.83203125" customWidth="1"/>
    <col min="2" max="2" width="6.6640625" customWidth="1"/>
    <col min="3" max="3" width="10.1640625" customWidth="1"/>
    <col min="4" max="5" width="12.1640625" customWidth="1"/>
    <col min="6" max="6" width="10" customWidth="1"/>
    <col min="7" max="7" width="6.5" customWidth="1"/>
    <col min="8" max="8" width="10.33203125" customWidth="1"/>
    <col min="9" max="10" width="12.1640625" customWidth="1"/>
    <col min="11" max="11" width="12" customWidth="1"/>
  </cols>
  <sheetData>
    <row r="1" spans="1:13" ht="11.25" customHeight="1"/>
    <row r="2" spans="1:13" ht="11.25" customHeight="1"/>
    <row r="3" spans="1:13" ht="16.5" customHeight="1">
      <c r="A3" s="286" t="s">
        <v>419</v>
      </c>
      <c r="B3" s="284"/>
    </row>
    <row r="4" spans="1:13" ht="11.25" customHeight="1">
      <c r="B4" s="284"/>
    </row>
    <row r="5" spans="1:13" ht="11.25" customHeight="1">
      <c r="A5" s="285" t="s">
        <v>477</v>
      </c>
      <c r="C5" s="678">
        <v>6840.5678200000002</v>
      </c>
    </row>
    <row r="6" spans="1:13" ht="11.25" customHeight="1">
      <c r="A6" s="285" t="s">
        <v>420</v>
      </c>
      <c r="C6" s="581">
        <v>43767</v>
      </c>
    </row>
    <row r="7" spans="1:13" ht="11.25" customHeight="1">
      <c r="A7" s="285" t="s">
        <v>421</v>
      </c>
      <c r="C7" s="582">
        <v>0.79166666666666663</v>
      </c>
    </row>
    <row r="8" spans="1:13" ht="11.25" customHeight="1"/>
    <row r="9" spans="1:13" ht="14.25" customHeight="1">
      <c r="A9" s="997" t="s">
        <v>412</v>
      </c>
      <c r="B9" s="998" t="s">
        <v>413</v>
      </c>
      <c r="C9" s="998"/>
      <c r="D9" s="998"/>
      <c r="E9" s="998"/>
      <c r="F9" s="998"/>
      <c r="G9" s="998" t="s">
        <v>414</v>
      </c>
      <c r="H9" s="998"/>
      <c r="I9" s="998"/>
      <c r="J9" s="998"/>
      <c r="K9" s="998"/>
    </row>
    <row r="10" spans="1:13" ht="26.25" customHeight="1">
      <c r="A10" s="997"/>
      <c r="B10" s="549" t="s">
        <v>415</v>
      </c>
      <c r="C10" s="549" t="s">
        <v>201</v>
      </c>
      <c r="D10" s="549" t="s">
        <v>406</v>
      </c>
      <c r="E10" s="549" t="s">
        <v>407</v>
      </c>
      <c r="F10" s="550" t="s">
        <v>418</v>
      </c>
      <c r="G10" s="549" t="s">
        <v>415</v>
      </c>
      <c r="H10" s="549" t="s">
        <v>201</v>
      </c>
      <c r="I10" s="549" t="s">
        <v>406</v>
      </c>
      <c r="J10" s="549" t="s">
        <v>407</v>
      </c>
      <c r="K10" s="550" t="s">
        <v>418</v>
      </c>
      <c r="L10" s="36"/>
      <c r="M10" s="46"/>
    </row>
    <row r="11" spans="1:13" ht="11.25" customHeight="1">
      <c r="A11" s="997"/>
      <c r="B11" s="549" t="s">
        <v>416</v>
      </c>
      <c r="C11" s="549" t="s">
        <v>417</v>
      </c>
      <c r="D11" s="549" t="s">
        <v>417</v>
      </c>
      <c r="E11" s="549" t="s">
        <v>417</v>
      </c>
      <c r="F11" s="549" t="s">
        <v>417</v>
      </c>
      <c r="G11" s="549" t="s">
        <v>416</v>
      </c>
      <c r="H11" s="549" t="s">
        <v>417</v>
      </c>
      <c r="I11" s="549" t="s">
        <v>417</v>
      </c>
      <c r="J11" s="549" t="s">
        <v>417</v>
      </c>
      <c r="K11" s="549" t="s">
        <v>417</v>
      </c>
      <c r="L11" s="36"/>
      <c r="M11" s="46"/>
    </row>
    <row r="12" spans="1:13" ht="11.25" customHeight="1">
      <c r="A12" s="842" t="s">
        <v>625</v>
      </c>
      <c r="B12" s="843" t="s">
        <v>467</v>
      </c>
      <c r="C12" s="843">
        <v>6515.1392500000002</v>
      </c>
      <c r="D12" s="843">
        <v>0</v>
      </c>
      <c r="E12" s="843">
        <v>0</v>
      </c>
      <c r="F12" s="843">
        <v>6515.1392500000002</v>
      </c>
      <c r="G12" s="843" t="s">
        <v>534</v>
      </c>
      <c r="H12" s="843">
        <v>6606.9515000000001</v>
      </c>
      <c r="I12" s="843">
        <v>0</v>
      </c>
      <c r="J12" s="843">
        <v>0</v>
      </c>
      <c r="K12" s="843">
        <v>6606.9515000000001</v>
      </c>
      <c r="L12" s="205"/>
      <c r="M12" s="46"/>
    </row>
    <row r="13" spans="1:13" ht="11.25" customHeight="1">
      <c r="A13" s="842" t="s">
        <v>626</v>
      </c>
      <c r="B13" s="843" t="s">
        <v>467</v>
      </c>
      <c r="C13" s="843">
        <v>6341.0198700000001</v>
      </c>
      <c r="D13" s="843">
        <v>0</v>
      </c>
      <c r="E13" s="843">
        <v>0</v>
      </c>
      <c r="F13" s="843">
        <v>6341.0198700000001</v>
      </c>
      <c r="G13" s="843" t="s">
        <v>513</v>
      </c>
      <c r="H13" s="843">
        <v>6532.0240000000003</v>
      </c>
      <c r="I13" s="843">
        <v>0</v>
      </c>
      <c r="J13" s="843">
        <v>0</v>
      </c>
      <c r="K13" s="843">
        <v>6532.0240000000003</v>
      </c>
      <c r="L13" s="5"/>
    </row>
    <row r="14" spans="1:13" ht="11.25" customHeight="1">
      <c r="A14" s="842" t="s">
        <v>627</v>
      </c>
      <c r="B14" s="843" t="s">
        <v>480</v>
      </c>
      <c r="C14" s="843">
        <v>6376.1535999999996</v>
      </c>
      <c r="D14" s="843">
        <v>0</v>
      </c>
      <c r="E14" s="843">
        <v>0</v>
      </c>
      <c r="F14" s="843">
        <v>6376.1535999999996</v>
      </c>
      <c r="G14" s="843" t="s">
        <v>513</v>
      </c>
      <c r="H14" s="843">
        <v>6519.7008500000002</v>
      </c>
      <c r="I14" s="843">
        <v>0</v>
      </c>
      <c r="J14" s="843">
        <v>0</v>
      </c>
      <c r="K14" s="843">
        <v>6519.7008500000002</v>
      </c>
      <c r="L14" s="15"/>
    </row>
    <row r="15" spans="1:13" ht="11.25" customHeight="1">
      <c r="A15" s="842" t="s">
        <v>628</v>
      </c>
      <c r="B15" s="843" t="s">
        <v>602</v>
      </c>
      <c r="C15" s="843">
        <v>6449.0053399999997</v>
      </c>
      <c r="D15" s="843">
        <v>0</v>
      </c>
      <c r="E15" s="843">
        <v>0</v>
      </c>
      <c r="F15" s="843">
        <v>6449.0053399999997</v>
      </c>
      <c r="G15" s="843" t="s">
        <v>584</v>
      </c>
      <c r="H15" s="843">
        <v>6545.1662500000002</v>
      </c>
      <c r="I15" s="843">
        <v>0</v>
      </c>
      <c r="J15" s="843">
        <v>0</v>
      </c>
      <c r="K15" s="843">
        <v>6545.1662500000002</v>
      </c>
      <c r="L15" s="12"/>
    </row>
    <row r="16" spans="1:13" ht="11.25" customHeight="1">
      <c r="A16" s="842" t="s">
        <v>629</v>
      </c>
      <c r="B16" s="843" t="s">
        <v>467</v>
      </c>
      <c r="C16" s="843">
        <v>6331.3754499999995</v>
      </c>
      <c r="D16" s="843">
        <v>0</v>
      </c>
      <c r="E16" s="843">
        <v>0</v>
      </c>
      <c r="F16" s="843">
        <v>6331.3754499999995</v>
      </c>
      <c r="G16" s="843" t="s">
        <v>534</v>
      </c>
      <c r="H16" s="843">
        <v>6526.8374899999999</v>
      </c>
      <c r="I16" s="843">
        <v>0</v>
      </c>
      <c r="J16" s="843">
        <v>0</v>
      </c>
      <c r="K16" s="843">
        <v>6526.8374899999999</v>
      </c>
      <c r="L16" s="22"/>
    </row>
    <row r="17" spans="1:12" ht="11.25" customHeight="1">
      <c r="A17" s="842" t="s">
        <v>630</v>
      </c>
      <c r="B17" s="843" t="s">
        <v>504</v>
      </c>
      <c r="C17" s="843">
        <v>5582.8102200000003</v>
      </c>
      <c r="D17" s="843">
        <v>0</v>
      </c>
      <c r="E17" s="843">
        <v>0</v>
      </c>
      <c r="F17" s="843">
        <v>5582.8102200000003</v>
      </c>
      <c r="G17" s="843" t="s">
        <v>570</v>
      </c>
      <c r="H17" s="843">
        <v>6256.7808000000005</v>
      </c>
      <c r="I17" s="843">
        <v>0</v>
      </c>
      <c r="J17" s="843">
        <v>0</v>
      </c>
      <c r="K17" s="843">
        <v>6256.7808000000005</v>
      </c>
      <c r="L17" s="22"/>
    </row>
    <row r="18" spans="1:12" ht="11.25" customHeight="1">
      <c r="A18" s="842" t="s">
        <v>631</v>
      </c>
      <c r="B18" s="843" t="s">
        <v>468</v>
      </c>
      <c r="C18" s="843">
        <v>6313.5589300000001</v>
      </c>
      <c r="D18" s="843">
        <v>0</v>
      </c>
      <c r="E18" s="843">
        <v>0</v>
      </c>
      <c r="F18" s="843">
        <v>6313.5589300000001</v>
      </c>
      <c r="G18" s="843" t="s">
        <v>569</v>
      </c>
      <c r="H18" s="843">
        <v>6431.2031900000002</v>
      </c>
      <c r="I18" s="843">
        <v>0</v>
      </c>
      <c r="J18" s="843">
        <v>0</v>
      </c>
      <c r="K18" s="843">
        <v>6431.2031900000002</v>
      </c>
      <c r="L18" s="22"/>
    </row>
    <row r="19" spans="1:12" ht="11.25" customHeight="1">
      <c r="A19" s="842" t="s">
        <v>632</v>
      </c>
      <c r="B19" s="843" t="s">
        <v>633</v>
      </c>
      <c r="C19" s="843">
        <v>5845.9790499999999</v>
      </c>
      <c r="D19" s="843">
        <v>0</v>
      </c>
      <c r="E19" s="843">
        <v>0</v>
      </c>
      <c r="F19" s="843">
        <v>5845.9790499999999</v>
      </c>
      <c r="G19" s="843" t="s">
        <v>594</v>
      </c>
      <c r="H19" s="843">
        <v>6577.4911300000003</v>
      </c>
      <c r="I19" s="843">
        <v>0</v>
      </c>
      <c r="J19" s="843">
        <v>0</v>
      </c>
      <c r="K19" s="843">
        <v>6577.4911300000003</v>
      </c>
      <c r="L19" s="22"/>
    </row>
    <row r="20" spans="1:12" ht="11.25" customHeight="1">
      <c r="A20" s="842" t="s">
        <v>634</v>
      </c>
      <c r="B20" s="843" t="s">
        <v>635</v>
      </c>
      <c r="C20" s="843">
        <v>6577.5635400000001</v>
      </c>
      <c r="D20" s="843">
        <v>0</v>
      </c>
      <c r="E20" s="843">
        <v>0</v>
      </c>
      <c r="F20" s="843">
        <v>6577.5635400000001</v>
      </c>
      <c r="G20" s="843" t="s">
        <v>570</v>
      </c>
      <c r="H20" s="843">
        <v>6715.0259999999998</v>
      </c>
      <c r="I20" s="843">
        <v>0</v>
      </c>
      <c r="J20" s="843">
        <v>0</v>
      </c>
      <c r="K20" s="843">
        <v>6715.0259999999998</v>
      </c>
      <c r="L20" s="24"/>
    </row>
    <row r="21" spans="1:12" ht="11.25" customHeight="1">
      <c r="A21" s="842" t="s">
        <v>636</v>
      </c>
      <c r="B21" s="843" t="s">
        <v>637</v>
      </c>
      <c r="C21" s="843">
        <v>6544.6165600000004</v>
      </c>
      <c r="D21" s="843">
        <v>0</v>
      </c>
      <c r="E21" s="843">
        <v>0</v>
      </c>
      <c r="F21" s="843">
        <v>6544.6165600000004</v>
      </c>
      <c r="G21" s="843" t="s">
        <v>513</v>
      </c>
      <c r="H21" s="843">
        <v>6663.78467</v>
      </c>
      <c r="I21" s="843">
        <v>0</v>
      </c>
      <c r="J21" s="843">
        <v>0</v>
      </c>
      <c r="K21" s="843">
        <v>6663.78467</v>
      </c>
      <c r="L21" s="22"/>
    </row>
    <row r="22" spans="1:12" ht="11.25" customHeight="1">
      <c r="A22" s="842" t="s">
        <v>638</v>
      </c>
      <c r="B22" s="843" t="s">
        <v>480</v>
      </c>
      <c r="C22" s="843">
        <v>6559.78287</v>
      </c>
      <c r="D22" s="843">
        <v>0</v>
      </c>
      <c r="E22" s="843">
        <v>0</v>
      </c>
      <c r="F22" s="843">
        <v>6559.78287</v>
      </c>
      <c r="G22" s="843" t="s">
        <v>569</v>
      </c>
      <c r="H22" s="843">
        <v>6580.7270099999996</v>
      </c>
      <c r="I22" s="843">
        <v>0</v>
      </c>
      <c r="J22" s="843">
        <v>0</v>
      </c>
      <c r="K22" s="843">
        <v>6580.7270099999996</v>
      </c>
      <c r="L22" s="22"/>
    </row>
    <row r="23" spans="1:12" ht="11.25" customHeight="1">
      <c r="A23" s="842" t="s">
        <v>639</v>
      </c>
      <c r="B23" s="843" t="s">
        <v>468</v>
      </c>
      <c r="C23" s="843">
        <v>6516.95</v>
      </c>
      <c r="D23" s="843">
        <v>0</v>
      </c>
      <c r="E23" s="843">
        <v>0</v>
      </c>
      <c r="F23" s="843">
        <v>6516.95</v>
      </c>
      <c r="G23" s="843" t="s">
        <v>513</v>
      </c>
      <c r="H23" s="843">
        <v>6594.4368899999999</v>
      </c>
      <c r="I23" s="843">
        <v>0</v>
      </c>
      <c r="J23" s="843">
        <v>0</v>
      </c>
      <c r="K23" s="843">
        <v>6594.4368899999999</v>
      </c>
      <c r="L23" s="22"/>
    </row>
    <row r="24" spans="1:12" ht="11.25" customHeight="1">
      <c r="A24" s="842" t="s">
        <v>640</v>
      </c>
      <c r="B24" s="843" t="s">
        <v>504</v>
      </c>
      <c r="C24" s="843">
        <v>5862.1463400000002</v>
      </c>
      <c r="D24" s="843">
        <v>0</v>
      </c>
      <c r="E24" s="843">
        <v>0</v>
      </c>
      <c r="F24" s="843">
        <v>5862.1463400000002</v>
      </c>
      <c r="G24" s="843" t="s">
        <v>570</v>
      </c>
      <c r="H24" s="843">
        <v>6618.3694500000001</v>
      </c>
      <c r="I24" s="843">
        <v>0</v>
      </c>
      <c r="J24" s="843">
        <v>0</v>
      </c>
      <c r="K24" s="843">
        <v>6618.3694500000001</v>
      </c>
      <c r="L24" s="22"/>
    </row>
    <row r="25" spans="1:12" ht="11.25" customHeight="1">
      <c r="A25" s="842" t="s">
        <v>641</v>
      </c>
      <c r="B25" s="843" t="s">
        <v>467</v>
      </c>
      <c r="C25" s="843">
        <v>6568.5801600000004</v>
      </c>
      <c r="D25" s="843">
        <v>0</v>
      </c>
      <c r="E25" s="843">
        <v>0</v>
      </c>
      <c r="F25" s="843">
        <v>6568.5801600000004</v>
      </c>
      <c r="G25" s="843" t="s">
        <v>513</v>
      </c>
      <c r="H25" s="843">
        <v>6681.6086500000001</v>
      </c>
      <c r="I25" s="843">
        <v>0</v>
      </c>
      <c r="J25" s="843">
        <v>0</v>
      </c>
      <c r="K25" s="843">
        <v>6681.6086500000001</v>
      </c>
      <c r="L25" s="22"/>
    </row>
    <row r="26" spans="1:12" ht="11.25" customHeight="1">
      <c r="A26" s="842" t="s">
        <v>642</v>
      </c>
      <c r="B26" s="843" t="s">
        <v>468</v>
      </c>
      <c r="C26" s="843">
        <v>6557.3289999999997</v>
      </c>
      <c r="D26" s="843">
        <v>0</v>
      </c>
      <c r="E26" s="843">
        <v>0</v>
      </c>
      <c r="F26" s="843">
        <v>6557.3289999999997</v>
      </c>
      <c r="G26" s="843" t="s">
        <v>513</v>
      </c>
      <c r="H26" s="843">
        <v>6711.4530999999997</v>
      </c>
      <c r="I26" s="843">
        <v>0</v>
      </c>
      <c r="J26" s="843">
        <v>0</v>
      </c>
      <c r="K26" s="843">
        <v>6711.4530999999997</v>
      </c>
      <c r="L26" s="22"/>
    </row>
    <row r="27" spans="1:12" ht="11.25" customHeight="1">
      <c r="A27" s="842" t="s">
        <v>643</v>
      </c>
      <c r="B27" s="843" t="s">
        <v>468</v>
      </c>
      <c r="C27" s="843">
        <v>6684.1372300000003</v>
      </c>
      <c r="D27" s="843">
        <v>0</v>
      </c>
      <c r="E27" s="843">
        <v>0</v>
      </c>
      <c r="F27" s="843">
        <v>6684.1372300000003</v>
      </c>
      <c r="G27" s="843" t="s">
        <v>513</v>
      </c>
      <c r="H27" s="843">
        <v>6789.0731699999997</v>
      </c>
      <c r="I27" s="843">
        <v>0</v>
      </c>
      <c r="J27" s="843">
        <v>0</v>
      </c>
      <c r="K27" s="843">
        <v>6789.0731699999997</v>
      </c>
      <c r="L27" s="22"/>
    </row>
    <row r="28" spans="1:12" ht="11.25" customHeight="1">
      <c r="A28" s="842" t="s">
        <v>644</v>
      </c>
      <c r="B28" s="843" t="s">
        <v>467</v>
      </c>
      <c r="C28" s="843">
        <v>6643.0968800000001</v>
      </c>
      <c r="D28" s="843">
        <v>0</v>
      </c>
      <c r="E28" s="843">
        <v>0</v>
      </c>
      <c r="F28" s="843">
        <v>6643.0968800000001</v>
      </c>
      <c r="G28" s="843" t="s">
        <v>513</v>
      </c>
      <c r="H28" s="843">
        <v>6828.7638500000003</v>
      </c>
      <c r="I28" s="843">
        <v>0</v>
      </c>
      <c r="J28" s="843">
        <v>0</v>
      </c>
      <c r="K28" s="843">
        <v>6828.7638500000003</v>
      </c>
      <c r="L28" s="30"/>
    </row>
    <row r="29" spans="1:12" ht="11.25" customHeight="1">
      <c r="A29" s="842" t="s">
        <v>645</v>
      </c>
      <c r="B29" s="843" t="s">
        <v>468</v>
      </c>
      <c r="C29" s="843">
        <v>6730.7043299999996</v>
      </c>
      <c r="D29" s="843">
        <v>0</v>
      </c>
      <c r="E29" s="843">
        <v>0</v>
      </c>
      <c r="F29" s="843">
        <v>6730.7043299999996</v>
      </c>
      <c r="G29" s="843" t="s">
        <v>584</v>
      </c>
      <c r="H29" s="843">
        <v>6710.40074</v>
      </c>
      <c r="I29" s="843">
        <v>0</v>
      </c>
      <c r="J29" s="843">
        <v>0</v>
      </c>
      <c r="K29" s="843">
        <v>6710.40074</v>
      </c>
      <c r="L29" s="22"/>
    </row>
    <row r="30" spans="1:12" ht="11.25" customHeight="1">
      <c r="A30" s="842" t="s">
        <v>646</v>
      </c>
      <c r="B30" s="843" t="s">
        <v>468</v>
      </c>
      <c r="C30" s="843">
        <v>6552.5618199999999</v>
      </c>
      <c r="D30" s="843">
        <v>0</v>
      </c>
      <c r="E30" s="843">
        <v>0</v>
      </c>
      <c r="F30" s="843">
        <v>6552.5618199999999</v>
      </c>
      <c r="G30" s="843" t="s">
        <v>513</v>
      </c>
      <c r="H30" s="843">
        <v>6720.7701699999998</v>
      </c>
      <c r="I30" s="843">
        <v>0</v>
      </c>
      <c r="J30" s="843">
        <v>0</v>
      </c>
      <c r="K30" s="843">
        <v>6720.7701699999998</v>
      </c>
      <c r="L30" s="22"/>
    </row>
    <row r="31" spans="1:12" ht="11.25" customHeight="1">
      <c r="A31" s="842" t="s">
        <v>647</v>
      </c>
      <c r="B31" s="843" t="s">
        <v>504</v>
      </c>
      <c r="C31" s="843">
        <v>5901.2400900000002</v>
      </c>
      <c r="D31" s="843">
        <v>0</v>
      </c>
      <c r="E31" s="843">
        <v>0</v>
      </c>
      <c r="F31" s="843">
        <v>5901.2400900000002</v>
      </c>
      <c r="G31" s="843" t="s">
        <v>561</v>
      </c>
      <c r="H31" s="843">
        <v>6562.7610100000002</v>
      </c>
      <c r="I31" s="843">
        <v>0</v>
      </c>
      <c r="J31" s="843">
        <v>0</v>
      </c>
      <c r="K31" s="843">
        <v>6562.7610100000002</v>
      </c>
      <c r="L31" s="15"/>
    </row>
    <row r="32" spans="1:12" ht="11.25" customHeight="1">
      <c r="A32" s="842" t="s">
        <v>648</v>
      </c>
      <c r="B32" s="843" t="s">
        <v>467</v>
      </c>
      <c r="C32" s="843">
        <v>6516.9715999999999</v>
      </c>
      <c r="D32" s="843">
        <v>0</v>
      </c>
      <c r="E32" s="843">
        <v>0</v>
      </c>
      <c r="F32" s="843">
        <v>6516.9715999999999</v>
      </c>
      <c r="G32" s="843" t="s">
        <v>513</v>
      </c>
      <c r="H32" s="843">
        <v>6618.65067</v>
      </c>
      <c r="I32" s="843">
        <v>0</v>
      </c>
      <c r="J32" s="843">
        <v>0</v>
      </c>
      <c r="K32" s="843">
        <v>6618.65067</v>
      </c>
      <c r="L32" s="16"/>
    </row>
    <row r="33" spans="1:12" ht="11.25" customHeight="1">
      <c r="A33" s="842" t="s">
        <v>649</v>
      </c>
      <c r="B33" s="843" t="s">
        <v>467</v>
      </c>
      <c r="C33" s="843">
        <v>6671.0068600000004</v>
      </c>
      <c r="D33" s="843">
        <v>0</v>
      </c>
      <c r="E33" s="843">
        <v>0</v>
      </c>
      <c r="F33" s="843">
        <v>6671.0068600000004</v>
      </c>
      <c r="G33" s="843" t="s">
        <v>584</v>
      </c>
      <c r="H33" s="843">
        <v>6719.6460500000003</v>
      </c>
      <c r="I33" s="843">
        <v>0</v>
      </c>
      <c r="J33" s="843">
        <v>0</v>
      </c>
      <c r="K33" s="843">
        <v>6719.6460500000003</v>
      </c>
      <c r="L33" s="15"/>
    </row>
    <row r="34" spans="1:12" ht="11.25" customHeight="1">
      <c r="A34" s="842" t="s">
        <v>650</v>
      </c>
      <c r="B34" s="843" t="s">
        <v>467</v>
      </c>
      <c r="C34" s="843">
        <v>6532.76</v>
      </c>
      <c r="D34" s="843">
        <v>0</v>
      </c>
      <c r="E34" s="843">
        <v>0</v>
      </c>
      <c r="F34" s="843">
        <v>6532.76</v>
      </c>
      <c r="G34" s="843" t="s">
        <v>570</v>
      </c>
      <c r="H34" s="843">
        <v>6695.9639100000004</v>
      </c>
      <c r="I34" s="843">
        <v>0</v>
      </c>
      <c r="J34" s="843">
        <v>0</v>
      </c>
      <c r="K34" s="843">
        <v>6695.9639100000004</v>
      </c>
      <c r="L34" s="15"/>
    </row>
    <row r="35" spans="1:12" ht="11.25" customHeight="1">
      <c r="A35" s="842" t="s">
        <v>651</v>
      </c>
      <c r="B35" s="843" t="s">
        <v>467</v>
      </c>
      <c r="C35" s="843">
        <v>6631.07485</v>
      </c>
      <c r="D35" s="843">
        <v>0</v>
      </c>
      <c r="E35" s="843">
        <v>0</v>
      </c>
      <c r="F35" s="843">
        <v>6631.07485</v>
      </c>
      <c r="G35" s="843" t="s">
        <v>584</v>
      </c>
      <c r="H35" s="843">
        <v>6722.3685299999997</v>
      </c>
      <c r="I35" s="843">
        <v>0</v>
      </c>
      <c r="J35" s="843">
        <v>0</v>
      </c>
      <c r="K35" s="843">
        <v>6722.3685299999997</v>
      </c>
      <c r="L35" s="22"/>
    </row>
    <row r="36" spans="1:12" ht="11.25" customHeight="1">
      <c r="A36" s="842" t="s">
        <v>652</v>
      </c>
      <c r="B36" s="843" t="s">
        <v>468</v>
      </c>
      <c r="C36" s="843">
        <v>6621.7903500000002</v>
      </c>
      <c r="D36" s="843">
        <v>0</v>
      </c>
      <c r="E36" s="843">
        <v>0</v>
      </c>
      <c r="F36" s="843">
        <v>6621.7903500000002</v>
      </c>
      <c r="G36" s="843" t="s">
        <v>534</v>
      </c>
      <c r="H36" s="843">
        <v>6692.0298000000003</v>
      </c>
      <c r="I36" s="843">
        <v>0</v>
      </c>
      <c r="J36" s="843">
        <v>0</v>
      </c>
      <c r="K36" s="843">
        <v>6692.0298000000003</v>
      </c>
      <c r="L36" s="22"/>
    </row>
    <row r="37" spans="1:12" ht="11.25" customHeight="1">
      <c r="A37" s="842" t="s">
        <v>653</v>
      </c>
      <c r="B37" s="843" t="s">
        <v>467</v>
      </c>
      <c r="C37" s="843">
        <v>6576.8387000000002</v>
      </c>
      <c r="D37" s="843">
        <v>0</v>
      </c>
      <c r="E37" s="843">
        <v>0</v>
      </c>
      <c r="F37" s="843">
        <v>6576.8387000000002</v>
      </c>
      <c r="G37" s="843" t="s">
        <v>585</v>
      </c>
      <c r="H37" s="843">
        <v>6630.1225199999999</v>
      </c>
      <c r="I37" s="843">
        <v>0</v>
      </c>
      <c r="J37" s="843">
        <v>0</v>
      </c>
      <c r="K37" s="843">
        <v>6630.1225199999999</v>
      </c>
      <c r="L37" s="22"/>
    </row>
    <row r="38" spans="1:12" ht="11.25" customHeight="1">
      <c r="A38" s="842" t="s">
        <v>654</v>
      </c>
      <c r="B38" s="843" t="s">
        <v>504</v>
      </c>
      <c r="C38" s="843">
        <v>5828.8408300000001</v>
      </c>
      <c r="D38" s="843">
        <v>0</v>
      </c>
      <c r="E38" s="843">
        <v>0</v>
      </c>
      <c r="F38" s="843">
        <v>5828.8408300000001</v>
      </c>
      <c r="G38" s="843" t="s">
        <v>570</v>
      </c>
      <c r="H38" s="843">
        <v>6666.7394999999997</v>
      </c>
      <c r="I38" s="843">
        <v>0</v>
      </c>
      <c r="J38" s="843">
        <v>0</v>
      </c>
      <c r="K38" s="843">
        <v>6666.7394999999997</v>
      </c>
      <c r="L38" s="22"/>
    </row>
    <row r="39" spans="1:12" ht="11.25" customHeight="1">
      <c r="A39" s="842" t="s">
        <v>655</v>
      </c>
      <c r="B39" s="843" t="s">
        <v>480</v>
      </c>
      <c r="C39" s="843">
        <v>6700.8573699999997</v>
      </c>
      <c r="D39" s="843">
        <v>0</v>
      </c>
      <c r="E39" s="843">
        <v>0</v>
      </c>
      <c r="F39" s="843">
        <v>6700.8573699999997</v>
      </c>
      <c r="G39" s="843" t="s">
        <v>569</v>
      </c>
      <c r="H39" s="843">
        <v>6776.4250899999997</v>
      </c>
      <c r="I39" s="843">
        <v>0</v>
      </c>
      <c r="J39" s="843">
        <v>0</v>
      </c>
      <c r="K39" s="843">
        <v>6776.4250899999997</v>
      </c>
      <c r="L39" s="22"/>
    </row>
    <row r="40" spans="1:12" ht="11.25" customHeight="1">
      <c r="A40" s="842" t="s">
        <v>656</v>
      </c>
      <c r="B40" s="843" t="s">
        <v>467</v>
      </c>
      <c r="C40" s="843">
        <v>6737.0096899999999</v>
      </c>
      <c r="D40" s="843">
        <v>0</v>
      </c>
      <c r="E40" s="843">
        <v>0</v>
      </c>
      <c r="F40" s="843">
        <v>6737.0096899999999</v>
      </c>
      <c r="G40" s="844" t="s">
        <v>513</v>
      </c>
      <c r="H40" s="844">
        <v>6840.5678200000002</v>
      </c>
      <c r="I40" s="844">
        <v>0</v>
      </c>
      <c r="J40" s="844">
        <v>0</v>
      </c>
      <c r="K40" s="844">
        <v>6840.5678200000002</v>
      </c>
      <c r="L40" s="22"/>
    </row>
    <row r="41" spans="1:12" s="819" customFormat="1" ht="11.25" customHeight="1">
      <c r="A41" s="842" t="s">
        <v>657</v>
      </c>
      <c r="B41" s="844" t="s">
        <v>467</v>
      </c>
      <c r="C41" s="844">
        <v>6749.6823899999999</v>
      </c>
      <c r="D41" s="844">
        <v>0</v>
      </c>
      <c r="E41" s="844">
        <v>0</v>
      </c>
      <c r="F41" s="844">
        <v>6749.6823899999999</v>
      </c>
      <c r="G41" s="843" t="s">
        <v>569</v>
      </c>
      <c r="H41" s="843">
        <v>6820.0619299999998</v>
      </c>
      <c r="I41" s="843">
        <v>0</v>
      </c>
      <c r="J41" s="843">
        <v>0</v>
      </c>
      <c r="K41" s="843">
        <v>6820.0619299999998</v>
      </c>
      <c r="L41" s="22"/>
    </row>
    <row r="42" spans="1:12" ht="11.25" customHeight="1">
      <c r="A42" s="842" t="s">
        <v>658</v>
      </c>
      <c r="B42" s="843" t="s">
        <v>659</v>
      </c>
      <c r="C42" s="843">
        <v>6663.2181700000001</v>
      </c>
      <c r="D42" s="843">
        <v>0</v>
      </c>
      <c r="E42" s="843">
        <v>0</v>
      </c>
      <c r="F42" s="843">
        <v>6663.2181700000001</v>
      </c>
      <c r="G42" s="843" t="s">
        <v>513</v>
      </c>
      <c r="H42" s="843">
        <v>6715.6999500000002</v>
      </c>
      <c r="I42" s="843">
        <v>0</v>
      </c>
      <c r="J42" s="843">
        <v>0</v>
      </c>
      <c r="K42" s="843">
        <v>6715.6999500000002</v>
      </c>
      <c r="L42" s="22"/>
    </row>
    <row r="43" spans="1:12" ht="11.25" customHeight="1">
      <c r="A43" s="970"/>
      <c r="B43" s="970"/>
      <c r="C43" s="970"/>
      <c r="D43" s="970"/>
      <c r="E43" s="970"/>
      <c r="F43" s="970"/>
      <c r="G43" s="970"/>
      <c r="H43" s="970"/>
      <c r="I43" s="970"/>
      <c r="J43" s="970"/>
      <c r="K43" s="970"/>
      <c r="L43" s="22"/>
    </row>
    <row r="44" spans="1:12" ht="11.25" customHeight="1">
      <c r="A44" s="196"/>
      <c r="B44" s="196"/>
      <c r="C44" s="196"/>
      <c r="D44" s="196"/>
      <c r="E44" s="196"/>
      <c r="F44" s="196"/>
      <c r="G44" s="196"/>
      <c r="H44" s="196"/>
      <c r="I44" s="196"/>
      <c r="J44" s="196"/>
      <c r="K44" s="198"/>
      <c r="L44" s="22"/>
    </row>
    <row r="45" spans="1:12" ht="11.25" customHeight="1">
      <c r="A45" s="196"/>
      <c r="B45" s="196"/>
      <c r="C45" s="196"/>
      <c r="D45" s="196"/>
      <c r="E45" s="196"/>
      <c r="F45" s="196"/>
      <c r="G45" s="196"/>
      <c r="H45" s="196"/>
      <c r="I45" s="196"/>
      <c r="J45" s="196"/>
      <c r="K45" s="199"/>
      <c r="L45" s="11"/>
    </row>
    <row r="46" spans="1:12" ht="11.25" customHeight="1">
      <c r="A46" s="196"/>
      <c r="B46" s="196"/>
      <c r="C46" s="196"/>
      <c r="D46" s="196"/>
      <c r="E46" s="196"/>
      <c r="F46" s="196"/>
      <c r="G46" s="196"/>
      <c r="H46" s="196"/>
      <c r="I46" s="196"/>
      <c r="J46" s="196"/>
      <c r="K46" s="199"/>
      <c r="L46" s="11"/>
    </row>
    <row r="47" spans="1:12" ht="11.25" customHeight="1">
      <c r="A47" s="196"/>
      <c r="B47" s="196"/>
      <c r="C47" s="196"/>
      <c r="D47" s="196"/>
      <c r="E47" s="196"/>
      <c r="F47" s="196"/>
      <c r="G47" s="196"/>
      <c r="H47" s="196"/>
      <c r="I47" s="196"/>
      <c r="J47" s="196"/>
      <c r="K47" s="199"/>
      <c r="L47" s="11"/>
    </row>
    <row r="48" spans="1:12" ht="11.25" customHeight="1">
      <c r="A48" s="196"/>
      <c r="B48" s="196"/>
      <c r="C48" s="196"/>
      <c r="D48" s="196"/>
      <c r="E48" s="196"/>
      <c r="F48" s="196"/>
      <c r="G48" s="196"/>
      <c r="H48" s="196"/>
      <c r="I48" s="196"/>
      <c r="J48" s="196"/>
      <c r="K48" s="198"/>
    </row>
    <row r="49" spans="1:11" ht="11.25" customHeight="1">
      <c r="A49" s="196"/>
      <c r="B49" s="196"/>
      <c r="C49" s="196"/>
      <c r="D49" s="196"/>
      <c r="E49" s="196"/>
      <c r="F49" s="196"/>
      <c r="G49" s="196"/>
      <c r="H49" s="196"/>
      <c r="I49" s="196"/>
      <c r="J49" s="196"/>
      <c r="K49" s="198"/>
    </row>
    <row r="50" spans="1:11" ht="12.75">
      <c r="A50" s="196"/>
      <c r="B50" s="196"/>
      <c r="C50" s="196"/>
      <c r="D50" s="196"/>
      <c r="E50" s="196"/>
      <c r="F50" s="196"/>
      <c r="G50" s="196"/>
      <c r="H50" s="196"/>
      <c r="I50" s="196"/>
      <c r="J50" s="196"/>
      <c r="K50" s="198"/>
    </row>
    <row r="51" spans="1:11" ht="12.75">
      <c r="A51" s="196"/>
      <c r="B51" s="196"/>
      <c r="C51" s="196"/>
      <c r="D51" s="196"/>
      <c r="E51" s="196"/>
      <c r="F51" s="196"/>
      <c r="G51" s="196"/>
      <c r="H51" s="196"/>
      <c r="I51" s="196"/>
      <c r="J51" s="196"/>
      <c r="K51" s="198"/>
    </row>
    <row r="52" spans="1:11" ht="12.75">
      <c r="A52" s="196"/>
      <c r="B52" s="196"/>
      <c r="C52" s="196"/>
      <c r="D52" s="196"/>
      <c r="E52" s="196"/>
      <c r="F52" s="196"/>
      <c r="G52" s="196"/>
      <c r="H52" s="196"/>
      <c r="I52" s="196"/>
      <c r="J52" s="196"/>
      <c r="K52" s="198"/>
    </row>
    <row r="53" spans="1:11" ht="12.75">
      <c r="A53" s="196"/>
      <c r="B53" s="196"/>
      <c r="C53" s="196"/>
      <c r="D53" s="196"/>
      <c r="E53" s="196"/>
      <c r="F53" s="196"/>
      <c r="G53" s="196"/>
      <c r="H53" s="196"/>
      <c r="I53" s="196"/>
      <c r="J53" s="196"/>
      <c r="K53" s="198"/>
    </row>
    <row r="54" spans="1:11" ht="12.75">
      <c r="A54" s="196"/>
      <c r="B54" s="196"/>
      <c r="C54" s="196"/>
      <c r="D54" s="196"/>
      <c r="E54" s="196"/>
      <c r="F54" s="196"/>
      <c r="G54" s="196"/>
      <c r="H54" s="196"/>
      <c r="I54" s="196"/>
      <c r="J54" s="196"/>
      <c r="K54" s="198"/>
    </row>
    <row r="55" spans="1:11" ht="12.75">
      <c r="A55" s="196"/>
      <c r="B55" s="111"/>
      <c r="C55" s="111"/>
      <c r="D55" s="111"/>
      <c r="E55" s="111"/>
      <c r="F55" s="111"/>
      <c r="G55" s="111"/>
      <c r="H55" s="111"/>
      <c r="I55" s="111"/>
      <c r="J55" s="111"/>
      <c r="K55" s="198"/>
    </row>
    <row r="56" spans="1:11" ht="12.75">
      <c r="A56" s="196"/>
      <c r="B56" s="111"/>
      <c r="C56" s="111"/>
      <c r="D56" s="111"/>
      <c r="E56" s="111"/>
      <c r="F56" s="111"/>
      <c r="G56" s="111"/>
      <c r="H56" s="111"/>
      <c r="I56" s="111"/>
      <c r="J56" s="111"/>
      <c r="K56" s="198"/>
    </row>
    <row r="57" spans="1:11" ht="12.75">
      <c r="A57" s="196"/>
      <c r="B57" s="111"/>
      <c r="C57" s="111"/>
      <c r="D57" s="111"/>
      <c r="E57" s="111"/>
      <c r="F57" s="111"/>
      <c r="G57" s="111"/>
      <c r="H57" s="111"/>
      <c r="I57" s="111"/>
      <c r="J57" s="111"/>
      <c r="K57" s="198"/>
    </row>
    <row r="58" spans="1:11" ht="12.75">
      <c r="A58" s="196"/>
      <c r="B58" s="111"/>
      <c r="C58" s="111"/>
      <c r="D58" s="111"/>
      <c r="E58" s="111"/>
      <c r="F58" s="111"/>
      <c r="G58" s="111"/>
      <c r="H58" s="111"/>
      <c r="I58" s="111"/>
      <c r="J58" s="111"/>
      <c r="K58" s="198"/>
    </row>
    <row r="59" spans="1:11" ht="12.75">
      <c r="A59" s="196"/>
      <c r="B59" s="111"/>
      <c r="C59" s="111"/>
      <c r="D59" s="111"/>
      <c r="E59" s="111"/>
      <c r="F59" s="111"/>
      <c r="G59" s="111"/>
      <c r="H59" s="111"/>
      <c r="I59" s="111"/>
      <c r="J59" s="111"/>
      <c r="K59" s="198"/>
    </row>
    <row r="60" spans="1:11" ht="12.75">
      <c r="A60" s="196"/>
      <c r="B60" s="197"/>
      <c r="C60" s="197"/>
      <c r="D60" s="197"/>
      <c r="E60" s="197"/>
      <c r="F60" s="197"/>
      <c r="G60" s="197"/>
      <c r="H60" s="197"/>
      <c r="I60" s="197"/>
      <c r="J60" s="197"/>
      <c r="K60" s="198"/>
    </row>
    <row r="61" spans="1:11" ht="12.75">
      <c r="A61" s="196"/>
      <c r="B61" s="197"/>
      <c r="C61" s="197"/>
      <c r="D61" s="197"/>
      <c r="E61" s="197"/>
      <c r="F61" s="197"/>
      <c r="G61" s="197"/>
      <c r="H61" s="197"/>
      <c r="I61" s="197"/>
      <c r="J61" s="197"/>
      <c r="K61" s="198"/>
    </row>
    <row r="62" spans="1:11" ht="12.75">
      <c r="A62" s="196"/>
      <c r="B62" s="200"/>
      <c r="C62" s="198"/>
      <c r="D62" s="198"/>
      <c r="E62" s="198"/>
      <c r="F62" s="198"/>
      <c r="G62" s="197"/>
      <c r="H62" s="197"/>
      <c r="I62" s="197"/>
      <c r="J62" s="197"/>
      <c r="K62" s="198"/>
    </row>
    <row r="63" spans="1:11" ht="12.75">
      <c r="A63" s="201"/>
      <c r="B63" s="202"/>
      <c r="C63" s="202"/>
      <c r="D63" s="202"/>
      <c r="E63" s="202"/>
      <c r="F63" s="202"/>
      <c r="G63" s="202"/>
      <c r="H63" s="197"/>
      <c r="I63" s="197"/>
      <c r="J63" s="197"/>
      <c r="K63" s="198"/>
    </row>
    <row r="64" spans="1:11" ht="12.75">
      <c r="A64" s="201"/>
      <c r="B64" s="202"/>
      <c r="C64" s="202"/>
      <c r="D64" s="202"/>
      <c r="E64" s="202"/>
      <c r="F64" s="202"/>
      <c r="G64" s="202"/>
      <c r="H64" s="197"/>
      <c r="I64" s="197"/>
      <c r="J64" s="197"/>
      <c r="K64" s="197"/>
    </row>
    <row r="65" spans="1:11" ht="12.75">
      <c r="A65" s="201"/>
      <c r="B65" s="202"/>
      <c r="C65" s="202"/>
      <c r="D65" s="202"/>
      <c r="E65" s="202"/>
      <c r="F65" s="202"/>
      <c r="G65" s="202"/>
      <c r="H65" s="197"/>
      <c r="I65" s="197"/>
      <c r="J65" s="197"/>
      <c r="K65" s="197"/>
    </row>
  </sheetData>
  <mergeCells count="4">
    <mergeCell ref="A9:A11"/>
    <mergeCell ref="B9:F9"/>
    <mergeCell ref="G9:K9"/>
    <mergeCell ref="A43:K43"/>
  </mergeCells>
  <pageMargins left="0.70866141732283472" right="0.70866141732283472" top="1.0236220472440944" bottom="0.62992125984251968" header="0.31496062992125984" footer="0.31496062992125984"/>
  <pageSetup paperSize="9" scale="95" orientation="portrait" r:id="rId1"/>
  <headerFooter>
    <oddHeader>&amp;R&amp;7Informe de la Operación Mensual-Octubre 2019
INFSGI-MES-10-2019
18/10/2019
Versión: 01</oddHeader>
    <oddFooter>&amp;L&amp;7COES, 2019&amp;C24&amp;R&amp;7Dirección Ejecutiva
Sub Dirección de Gestión de Información</oddFooter>
  </headerFooter>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27">
    <tabColor theme="4"/>
  </sheetPr>
  <dimension ref="A1:I157"/>
  <sheetViews>
    <sheetView showGridLines="0" view="pageBreakPreview" zoomScale="130" zoomScaleNormal="100" zoomScaleSheetLayoutView="130" workbookViewId="0">
      <selection activeCell="M12" sqref="M12"/>
    </sheetView>
  </sheetViews>
  <sheetFormatPr defaultColWidth="9.33203125" defaultRowHeight="9"/>
  <cols>
    <col min="1" max="1" width="16.1640625" style="289" customWidth="1"/>
    <col min="2" max="2" width="19.6640625" style="289" customWidth="1"/>
    <col min="3" max="3" width="12.1640625" style="289" bestFit="1" customWidth="1"/>
    <col min="4" max="4" width="47.1640625" style="289" customWidth="1"/>
    <col min="5" max="5" width="11.5" style="289" customWidth="1"/>
    <col min="6" max="6" width="10.5" style="289" customWidth="1"/>
    <col min="7" max="8" width="9.33203125" style="289" customWidth="1"/>
    <col min="9" max="16384" width="9.33203125" style="289"/>
  </cols>
  <sheetData>
    <row r="1" spans="1:9" ht="11.25" customHeight="1">
      <c r="A1" s="287" t="s">
        <v>422</v>
      </c>
      <c r="B1" s="288"/>
      <c r="C1" s="288"/>
      <c r="D1" s="288"/>
      <c r="E1" s="288"/>
      <c r="F1" s="288"/>
    </row>
    <row r="2" spans="1:9" ht="30" customHeight="1">
      <c r="A2" s="551" t="s">
        <v>261</v>
      </c>
      <c r="B2" s="552" t="s">
        <v>423</v>
      </c>
      <c r="C2" s="551" t="s">
        <v>412</v>
      </c>
      <c r="D2" s="553" t="s">
        <v>424</v>
      </c>
      <c r="E2" s="554" t="s">
        <v>425</v>
      </c>
      <c r="F2" s="554" t="s">
        <v>426</v>
      </c>
      <c r="G2" s="283"/>
      <c r="H2" s="290"/>
      <c r="I2" s="281"/>
    </row>
    <row r="3" spans="1:9" ht="63" customHeight="1">
      <c r="A3" s="297" t="s">
        <v>601</v>
      </c>
      <c r="B3" s="297" t="s">
        <v>663</v>
      </c>
      <c r="C3" s="298">
        <v>43739.181944444441</v>
      </c>
      <c r="D3" s="387" t="s">
        <v>672</v>
      </c>
      <c r="E3" s="299" t="s">
        <v>682</v>
      </c>
      <c r="F3" s="299"/>
      <c r="H3" s="283"/>
      <c r="I3" s="281"/>
    </row>
    <row r="4" spans="1:9" ht="83.25" customHeight="1">
      <c r="A4" s="297" t="s">
        <v>660</v>
      </c>
      <c r="B4" s="297" t="s">
        <v>664</v>
      </c>
      <c r="C4" s="298">
        <v>43739.649305555555</v>
      </c>
      <c r="D4" s="387" t="s">
        <v>673</v>
      </c>
      <c r="E4" s="299" t="s">
        <v>683</v>
      </c>
      <c r="F4" s="299"/>
      <c r="G4" s="282"/>
      <c r="H4" s="282"/>
      <c r="I4" s="291"/>
    </row>
    <row r="5" spans="1:9" ht="69.75" customHeight="1">
      <c r="A5" s="297" t="s">
        <v>427</v>
      </c>
      <c r="B5" s="297" t="s">
        <v>665</v>
      </c>
      <c r="C5" s="298">
        <v>43740.113194444442</v>
      </c>
      <c r="D5" s="387" t="s">
        <v>674</v>
      </c>
      <c r="E5" s="299" t="s">
        <v>684</v>
      </c>
      <c r="F5" s="299"/>
      <c r="G5" s="282"/>
      <c r="H5" s="282"/>
      <c r="I5" s="292"/>
    </row>
    <row r="6" spans="1:9" ht="75.75" customHeight="1">
      <c r="A6" s="297" t="s">
        <v>661</v>
      </c>
      <c r="B6" s="297" t="s">
        <v>666</v>
      </c>
      <c r="C6" s="298">
        <v>43740.723611111112</v>
      </c>
      <c r="D6" s="387" t="s">
        <v>675</v>
      </c>
      <c r="E6" s="299">
        <v>12</v>
      </c>
      <c r="F6" s="299"/>
      <c r="G6" s="282"/>
      <c r="H6" s="282"/>
      <c r="I6" s="293"/>
    </row>
    <row r="7" spans="1:9" ht="59.25" customHeight="1">
      <c r="A7" s="297" t="s">
        <v>597</v>
      </c>
      <c r="B7" s="297" t="s">
        <v>667</v>
      </c>
      <c r="C7" s="298">
        <v>43741.813888888886</v>
      </c>
      <c r="D7" s="387" t="s">
        <v>676</v>
      </c>
      <c r="E7" s="299" t="s">
        <v>685</v>
      </c>
      <c r="F7" s="299"/>
      <c r="G7" s="282"/>
      <c r="H7" s="282"/>
      <c r="I7" s="294"/>
    </row>
    <row r="8" spans="1:9" ht="60" customHeight="1">
      <c r="A8" s="297" t="s">
        <v>597</v>
      </c>
      <c r="B8" s="297" t="s">
        <v>668</v>
      </c>
      <c r="C8" s="298">
        <v>43741.81527777778</v>
      </c>
      <c r="D8" s="387" t="s">
        <v>677</v>
      </c>
      <c r="E8" s="299" t="s">
        <v>686</v>
      </c>
      <c r="F8" s="299"/>
      <c r="G8" s="282"/>
      <c r="H8" s="282"/>
      <c r="I8" s="293"/>
    </row>
    <row r="9" spans="1:9" ht="86.25" customHeight="1">
      <c r="A9" s="611" t="s">
        <v>662</v>
      </c>
      <c r="B9" s="611" t="s">
        <v>669</v>
      </c>
      <c r="C9" s="386">
        <v>43742.479861111111</v>
      </c>
      <c r="D9" s="387" t="s">
        <v>678</v>
      </c>
      <c r="E9" s="388" t="s">
        <v>687</v>
      </c>
      <c r="F9" s="388"/>
      <c r="G9" s="282"/>
      <c r="H9" s="282"/>
      <c r="I9" s="293"/>
    </row>
    <row r="10" spans="1:9" ht="62.25" customHeight="1">
      <c r="A10" s="611" t="s">
        <v>427</v>
      </c>
      <c r="B10" s="611" t="s">
        <v>670</v>
      </c>
      <c r="C10" s="386">
        <v>43743.131944444445</v>
      </c>
      <c r="D10" s="387" t="s">
        <v>679</v>
      </c>
      <c r="E10" s="388" t="s">
        <v>684</v>
      </c>
      <c r="F10" s="388"/>
    </row>
    <row r="11" spans="1:9" ht="59.25" customHeight="1">
      <c r="A11" s="297" t="s">
        <v>601</v>
      </c>
      <c r="B11" s="297" t="s">
        <v>663</v>
      </c>
      <c r="C11" s="298">
        <v>43743.163888888892</v>
      </c>
      <c r="D11" s="387" t="s">
        <v>680</v>
      </c>
      <c r="E11" s="299" t="s">
        <v>688</v>
      </c>
      <c r="F11" s="299"/>
    </row>
    <row r="12" spans="1:9" ht="56.25" customHeight="1">
      <c r="A12" s="297" t="s">
        <v>660</v>
      </c>
      <c r="B12" s="297" t="s">
        <v>671</v>
      </c>
      <c r="C12" s="298">
        <v>43746.236111111109</v>
      </c>
      <c r="D12" s="387" t="s">
        <v>681</v>
      </c>
      <c r="E12" s="299" t="s">
        <v>689</v>
      </c>
      <c r="F12" s="299"/>
    </row>
    <row r="13" spans="1:9" ht="15.75" customHeight="1">
      <c r="C13" s="580"/>
      <c r="E13" s="296"/>
      <c r="F13" s="296"/>
    </row>
    <row r="14" spans="1:9">
      <c r="C14" s="580"/>
      <c r="E14" s="296"/>
      <c r="F14" s="296"/>
    </row>
    <row r="15" spans="1:9">
      <c r="C15" s="580"/>
      <c r="E15" s="296"/>
      <c r="F15" s="296"/>
    </row>
    <row r="16" spans="1:9">
      <c r="C16" s="580"/>
      <c r="E16" s="296"/>
      <c r="F16" s="296"/>
    </row>
    <row r="17" spans="3:6">
      <c r="C17" s="580"/>
      <c r="E17" s="296"/>
      <c r="F17" s="296"/>
    </row>
    <row r="18" spans="3:6">
      <c r="C18" s="580"/>
      <c r="E18" s="296"/>
      <c r="F18" s="296"/>
    </row>
    <row r="19" spans="3:6">
      <c r="C19" s="580"/>
      <c r="E19" s="296"/>
      <c r="F19" s="296"/>
    </row>
    <row r="20" spans="3:6">
      <c r="C20" s="580"/>
      <c r="E20" s="296"/>
      <c r="F20" s="296"/>
    </row>
    <row r="21" spans="3:6">
      <c r="C21" s="580"/>
      <c r="E21" s="296"/>
      <c r="F21" s="296"/>
    </row>
    <row r="22" spans="3:6">
      <c r="C22" s="580"/>
      <c r="E22" s="296"/>
      <c r="F22" s="296"/>
    </row>
    <row r="23" spans="3:6">
      <c r="C23" s="580"/>
      <c r="E23" s="296"/>
      <c r="F23" s="296"/>
    </row>
    <row r="24" spans="3:6">
      <c r="C24" s="580"/>
      <c r="E24" s="296"/>
      <c r="F24" s="296"/>
    </row>
    <row r="25" spans="3:6">
      <c r="C25" s="580"/>
      <c r="E25" s="296"/>
      <c r="F25" s="296"/>
    </row>
    <row r="26" spans="3:6">
      <c r="C26" s="580"/>
      <c r="E26" s="296"/>
      <c r="F26" s="296"/>
    </row>
    <row r="27" spans="3:6">
      <c r="C27" s="580"/>
      <c r="E27" s="296"/>
      <c r="F27" s="296"/>
    </row>
    <row r="28" spans="3:6">
      <c r="C28" s="580"/>
      <c r="E28" s="296"/>
      <c r="F28" s="296"/>
    </row>
    <row r="29" spans="3:6">
      <c r="C29" s="580"/>
      <c r="E29" s="296"/>
      <c r="F29" s="296"/>
    </row>
    <row r="30" spans="3:6">
      <c r="C30" s="580"/>
      <c r="E30" s="296"/>
      <c r="F30" s="296"/>
    </row>
    <row r="31" spans="3:6">
      <c r="C31" s="580"/>
      <c r="E31" s="296"/>
      <c r="F31" s="296"/>
    </row>
    <row r="32" spans="3:6">
      <c r="C32" s="580"/>
      <c r="E32" s="296"/>
      <c r="F32" s="296"/>
    </row>
    <row r="33" spans="3:6">
      <c r="C33" s="580"/>
      <c r="E33" s="296"/>
      <c r="F33" s="296"/>
    </row>
    <row r="34" spans="3:6">
      <c r="C34" s="580"/>
      <c r="E34" s="296"/>
      <c r="F34" s="296"/>
    </row>
    <row r="35" spans="3:6">
      <c r="C35" s="580"/>
      <c r="E35" s="296"/>
      <c r="F35" s="296"/>
    </row>
    <row r="36" spans="3:6">
      <c r="C36" s="580"/>
      <c r="E36" s="296"/>
      <c r="F36" s="296"/>
    </row>
    <row r="37" spans="3:6">
      <c r="C37" s="580"/>
      <c r="E37" s="296"/>
      <c r="F37" s="296"/>
    </row>
    <row r="38" spans="3:6">
      <c r="C38" s="580"/>
      <c r="E38" s="296"/>
      <c r="F38" s="296"/>
    </row>
    <row r="39" spans="3:6">
      <c r="C39" s="580"/>
      <c r="E39" s="296"/>
      <c r="F39" s="296"/>
    </row>
    <row r="40" spans="3:6">
      <c r="C40" s="580"/>
      <c r="E40" s="296"/>
      <c r="F40" s="296"/>
    </row>
    <row r="41" spans="3:6">
      <c r="C41" s="580"/>
      <c r="E41" s="296"/>
      <c r="F41" s="296"/>
    </row>
    <row r="42" spans="3:6">
      <c r="C42" s="580"/>
      <c r="E42" s="296"/>
      <c r="F42" s="296"/>
    </row>
    <row r="43" spans="3:6">
      <c r="C43" s="580"/>
      <c r="E43" s="296"/>
      <c r="F43" s="296"/>
    </row>
    <row r="44" spans="3:6">
      <c r="C44" s="580"/>
      <c r="E44" s="296"/>
      <c r="F44" s="296"/>
    </row>
    <row r="45" spans="3:6">
      <c r="C45" s="580"/>
      <c r="E45" s="296"/>
      <c r="F45" s="296"/>
    </row>
    <row r="46" spans="3:6">
      <c r="C46" s="580"/>
      <c r="E46" s="296"/>
      <c r="F46" s="296"/>
    </row>
    <row r="47" spans="3:6">
      <c r="C47" s="580"/>
      <c r="E47" s="296"/>
      <c r="F47" s="296"/>
    </row>
    <row r="48" spans="3:6">
      <c r="C48" s="580"/>
      <c r="E48" s="296"/>
      <c r="F48" s="296"/>
    </row>
    <row r="49" spans="3:6">
      <c r="C49" s="580"/>
      <c r="E49" s="296"/>
      <c r="F49" s="296"/>
    </row>
    <row r="50" spans="3:6">
      <c r="C50" s="580"/>
      <c r="E50" s="296"/>
      <c r="F50" s="296"/>
    </row>
    <row r="51" spans="3:6">
      <c r="C51" s="580"/>
      <c r="E51" s="296"/>
      <c r="F51" s="296"/>
    </row>
    <row r="52" spans="3:6">
      <c r="C52" s="580"/>
      <c r="E52" s="296"/>
      <c r="F52" s="296"/>
    </row>
    <row r="53" spans="3:6">
      <c r="C53" s="580"/>
      <c r="E53" s="296"/>
      <c r="F53" s="296"/>
    </row>
    <row r="54" spans="3:6">
      <c r="C54" s="580"/>
      <c r="E54" s="296"/>
      <c r="F54" s="296"/>
    </row>
    <row r="55" spans="3:6">
      <c r="C55" s="580"/>
      <c r="E55" s="296"/>
      <c r="F55" s="296"/>
    </row>
    <row r="56" spans="3:6">
      <c r="C56" s="580"/>
      <c r="E56" s="296"/>
      <c r="F56" s="296"/>
    </row>
    <row r="57" spans="3:6">
      <c r="C57" s="580"/>
      <c r="E57" s="296"/>
      <c r="F57" s="296"/>
    </row>
    <row r="58" spans="3:6">
      <c r="C58" s="580"/>
      <c r="E58" s="296"/>
      <c r="F58" s="296"/>
    </row>
    <row r="59" spans="3:6">
      <c r="C59" s="580"/>
      <c r="E59" s="296"/>
      <c r="F59" s="296"/>
    </row>
    <row r="60" spans="3:6">
      <c r="C60" s="580"/>
      <c r="E60" s="296"/>
      <c r="F60" s="296"/>
    </row>
    <row r="61" spans="3:6">
      <c r="C61" s="580"/>
      <c r="E61" s="296"/>
      <c r="F61" s="296"/>
    </row>
    <row r="62" spans="3:6">
      <c r="C62" s="580"/>
      <c r="E62" s="296"/>
      <c r="F62" s="296"/>
    </row>
    <row r="63" spans="3:6">
      <c r="C63" s="580"/>
      <c r="E63" s="296"/>
      <c r="F63" s="296"/>
    </row>
    <row r="64" spans="3:6">
      <c r="C64" s="580"/>
      <c r="E64" s="296"/>
      <c r="F64" s="296"/>
    </row>
    <row r="65" spans="5:6">
      <c r="E65" s="296"/>
      <c r="F65" s="296"/>
    </row>
    <row r="66" spans="5:6">
      <c r="E66" s="296"/>
      <c r="F66" s="296"/>
    </row>
    <row r="67" spans="5:6">
      <c r="E67" s="296"/>
      <c r="F67" s="296"/>
    </row>
    <row r="68" spans="5:6">
      <c r="E68" s="296"/>
      <c r="F68" s="296"/>
    </row>
    <row r="69" spans="5:6">
      <c r="E69" s="296"/>
      <c r="F69" s="296"/>
    </row>
    <row r="70" spans="5:6">
      <c r="E70" s="296"/>
      <c r="F70" s="296"/>
    </row>
    <row r="71" spans="5:6">
      <c r="E71" s="296"/>
      <c r="F71" s="296"/>
    </row>
    <row r="72" spans="5:6">
      <c r="E72" s="296"/>
      <c r="F72" s="296"/>
    </row>
    <row r="73" spans="5:6">
      <c r="E73" s="296"/>
      <c r="F73" s="296"/>
    </row>
    <row r="74" spans="5:6">
      <c r="E74" s="296"/>
      <c r="F74" s="296"/>
    </row>
    <row r="75" spans="5:6">
      <c r="E75" s="296"/>
      <c r="F75" s="296"/>
    </row>
    <row r="76" spans="5:6">
      <c r="E76" s="296"/>
      <c r="F76" s="296"/>
    </row>
    <row r="77" spans="5:6">
      <c r="E77" s="296"/>
      <c r="F77" s="296"/>
    </row>
    <row r="78" spans="5:6">
      <c r="E78" s="296"/>
      <c r="F78" s="296"/>
    </row>
    <row r="79" spans="5:6">
      <c r="E79" s="296"/>
      <c r="F79" s="296"/>
    </row>
    <row r="80" spans="5:6">
      <c r="E80" s="296"/>
      <c r="F80" s="296"/>
    </row>
    <row r="81" spans="5:6">
      <c r="E81" s="296"/>
      <c r="F81" s="296"/>
    </row>
    <row r="82" spans="5:6">
      <c r="E82" s="296"/>
      <c r="F82" s="296"/>
    </row>
    <row r="83" spans="5:6">
      <c r="E83" s="296"/>
      <c r="F83" s="296"/>
    </row>
    <row r="84" spans="5:6">
      <c r="E84" s="296"/>
      <c r="F84" s="296"/>
    </row>
    <row r="85" spans="5:6">
      <c r="E85" s="296"/>
      <c r="F85" s="296"/>
    </row>
    <row r="86" spans="5:6">
      <c r="E86" s="296"/>
      <c r="F86" s="296"/>
    </row>
    <row r="87" spans="5:6">
      <c r="E87" s="296"/>
      <c r="F87" s="296"/>
    </row>
    <row r="88" spans="5:6">
      <c r="E88" s="296"/>
      <c r="F88" s="296"/>
    </row>
    <row r="89" spans="5:6">
      <c r="E89" s="296"/>
      <c r="F89" s="296"/>
    </row>
    <row r="90" spans="5:6">
      <c r="E90" s="296"/>
      <c r="F90" s="296"/>
    </row>
    <row r="91" spans="5:6">
      <c r="E91" s="296"/>
      <c r="F91" s="296"/>
    </row>
    <row r="92" spans="5:6">
      <c r="E92" s="296"/>
      <c r="F92" s="296"/>
    </row>
    <row r="93" spans="5:6">
      <c r="E93" s="296"/>
      <c r="F93" s="296"/>
    </row>
    <row r="94" spans="5:6">
      <c r="E94" s="296"/>
      <c r="F94" s="296"/>
    </row>
    <row r="95" spans="5:6">
      <c r="E95" s="296"/>
      <c r="F95" s="296"/>
    </row>
    <row r="96" spans="5:6">
      <c r="E96" s="296"/>
      <c r="F96" s="296"/>
    </row>
    <row r="97" spans="5:6">
      <c r="E97" s="296"/>
      <c r="F97" s="296"/>
    </row>
    <row r="98" spans="5:6">
      <c r="E98" s="296"/>
      <c r="F98" s="296"/>
    </row>
    <row r="99" spans="5:6">
      <c r="E99" s="296"/>
      <c r="F99" s="296"/>
    </row>
    <row r="100" spans="5:6">
      <c r="E100" s="296"/>
      <c r="F100" s="296"/>
    </row>
    <row r="101" spans="5:6">
      <c r="E101" s="296"/>
      <c r="F101" s="296"/>
    </row>
    <row r="102" spans="5:6">
      <c r="E102" s="296"/>
      <c r="F102" s="296"/>
    </row>
    <row r="103" spans="5:6">
      <c r="E103" s="296"/>
      <c r="F103" s="296"/>
    </row>
    <row r="104" spans="5:6">
      <c r="E104" s="296"/>
      <c r="F104" s="296"/>
    </row>
    <row r="105" spans="5:6">
      <c r="E105" s="296"/>
      <c r="F105" s="296"/>
    </row>
    <row r="106" spans="5:6">
      <c r="E106" s="296"/>
      <c r="F106" s="296"/>
    </row>
    <row r="107" spans="5:6">
      <c r="E107" s="296"/>
      <c r="F107" s="296"/>
    </row>
    <row r="108" spans="5:6">
      <c r="E108" s="296"/>
      <c r="F108" s="296"/>
    </row>
    <row r="109" spans="5:6">
      <c r="E109" s="296"/>
      <c r="F109" s="296"/>
    </row>
    <row r="110" spans="5:6">
      <c r="E110" s="296"/>
      <c r="F110" s="296"/>
    </row>
    <row r="111" spans="5:6">
      <c r="E111" s="296"/>
      <c r="F111" s="296"/>
    </row>
    <row r="112" spans="5:6">
      <c r="E112" s="296"/>
      <c r="F112" s="296"/>
    </row>
    <row r="113" spans="5:6">
      <c r="E113" s="296"/>
      <c r="F113" s="296"/>
    </row>
    <row r="114" spans="5:6">
      <c r="E114" s="296"/>
      <c r="F114" s="296"/>
    </row>
    <row r="115" spans="5:6">
      <c r="E115" s="296"/>
      <c r="F115" s="296"/>
    </row>
    <row r="116" spans="5:6">
      <c r="E116" s="296"/>
      <c r="F116" s="296"/>
    </row>
    <row r="117" spans="5:6">
      <c r="E117" s="296"/>
      <c r="F117" s="296"/>
    </row>
    <row r="118" spans="5:6">
      <c r="E118" s="296"/>
      <c r="F118" s="296"/>
    </row>
    <row r="119" spans="5:6">
      <c r="E119" s="296"/>
      <c r="F119" s="296"/>
    </row>
    <row r="120" spans="5:6">
      <c r="E120" s="296"/>
      <c r="F120" s="296"/>
    </row>
    <row r="121" spans="5:6">
      <c r="E121" s="296"/>
      <c r="F121" s="296"/>
    </row>
    <row r="122" spans="5:6">
      <c r="E122" s="296"/>
      <c r="F122" s="296"/>
    </row>
    <row r="123" spans="5:6">
      <c r="E123" s="296"/>
      <c r="F123" s="296"/>
    </row>
    <row r="124" spans="5:6">
      <c r="E124" s="296"/>
      <c r="F124" s="296"/>
    </row>
    <row r="125" spans="5:6">
      <c r="E125" s="296"/>
      <c r="F125" s="296"/>
    </row>
    <row r="126" spans="5:6">
      <c r="E126" s="296"/>
      <c r="F126" s="296"/>
    </row>
    <row r="127" spans="5:6">
      <c r="E127" s="296"/>
      <c r="F127" s="296"/>
    </row>
    <row r="128" spans="5:6">
      <c r="E128" s="296"/>
      <c r="F128" s="296"/>
    </row>
    <row r="129" spans="5:6">
      <c r="E129" s="296"/>
      <c r="F129" s="296"/>
    </row>
    <row r="130" spans="5:6">
      <c r="E130" s="296"/>
      <c r="F130" s="296"/>
    </row>
    <row r="131" spans="5:6">
      <c r="E131" s="296"/>
      <c r="F131" s="296"/>
    </row>
    <row r="132" spans="5:6">
      <c r="E132" s="296"/>
      <c r="F132" s="296"/>
    </row>
    <row r="133" spans="5:6">
      <c r="E133" s="296"/>
      <c r="F133" s="296"/>
    </row>
    <row r="134" spans="5:6">
      <c r="E134" s="296"/>
      <c r="F134" s="296"/>
    </row>
    <row r="135" spans="5:6">
      <c r="E135" s="296"/>
      <c r="F135" s="296"/>
    </row>
    <row r="136" spans="5:6">
      <c r="E136" s="296"/>
      <c r="F136" s="296"/>
    </row>
    <row r="137" spans="5:6">
      <c r="E137" s="296"/>
      <c r="F137" s="296"/>
    </row>
    <row r="138" spans="5:6">
      <c r="E138" s="296"/>
      <c r="F138" s="296"/>
    </row>
    <row r="139" spans="5:6">
      <c r="E139" s="296"/>
      <c r="F139" s="296"/>
    </row>
    <row r="140" spans="5:6">
      <c r="E140" s="296"/>
      <c r="F140" s="296"/>
    </row>
    <row r="141" spans="5:6">
      <c r="E141" s="296"/>
      <c r="F141" s="296"/>
    </row>
    <row r="142" spans="5:6">
      <c r="E142" s="296"/>
      <c r="F142" s="296"/>
    </row>
    <row r="143" spans="5:6">
      <c r="E143" s="296"/>
      <c r="F143" s="296"/>
    </row>
    <row r="144" spans="5:6">
      <c r="E144" s="296"/>
      <c r="F144" s="296"/>
    </row>
    <row r="145" spans="5:6">
      <c r="E145" s="296"/>
      <c r="F145" s="296"/>
    </row>
    <row r="146" spans="5:6">
      <c r="E146" s="296"/>
      <c r="F146" s="296"/>
    </row>
    <row r="147" spans="5:6">
      <c r="E147" s="296"/>
      <c r="F147" s="296"/>
    </row>
    <row r="148" spans="5:6">
      <c r="E148" s="296"/>
      <c r="F148" s="296"/>
    </row>
    <row r="149" spans="5:6">
      <c r="E149" s="296"/>
      <c r="F149" s="296"/>
    </row>
    <row r="150" spans="5:6">
      <c r="E150" s="296"/>
      <c r="F150" s="296"/>
    </row>
    <row r="151" spans="5:6">
      <c r="E151" s="296"/>
      <c r="F151" s="296"/>
    </row>
    <row r="152" spans="5:6">
      <c r="E152" s="296"/>
      <c r="F152" s="296"/>
    </row>
    <row r="153" spans="5:6">
      <c r="E153" s="296"/>
      <c r="F153" s="296"/>
    </row>
    <row r="154" spans="5:6">
      <c r="E154" s="296"/>
      <c r="F154" s="296"/>
    </row>
    <row r="155" spans="5:6">
      <c r="E155" s="296"/>
      <c r="F155" s="296"/>
    </row>
    <row r="156" spans="5:6">
      <c r="E156" s="296"/>
      <c r="F156" s="296"/>
    </row>
    <row r="157" spans="5:6">
      <c r="E157" s="296"/>
      <c r="F157" s="296"/>
    </row>
  </sheetData>
  <pageMargins left="0.70866141732283472" right="0.51181102362204722" top="1.0236220472440944" bottom="0.62992125984251968" header="0.31496062992125984" footer="0.31496062992125984"/>
  <pageSetup paperSize="9" scale="95" orientation="portrait" r:id="rId1"/>
  <headerFooter>
    <oddHeader>&amp;R&amp;7Informe de la Operación Mensual-Octubre 2019
INFSGI-MES-10-2019
18/10/2019
Versión: 01</oddHeader>
    <oddFooter>&amp;L&amp;7COES, 2019&amp;C25&amp;R&amp;7Dirección Ejecutiva
Sub Dirección de Gestión de Información</oddFooter>
  </headerFooter>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8">
    <tabColor theme="4"/>
  </sheetPr>
  <dimension ref="A1:I132"/>
  <sheetViews>
    <sheetView showGridLines="0" view="pageBreakPreview" zoomScale="130" zoomScaleNormal="100" zoomScaleSheetLayoutView="130" zoomScalePageLayoutView="120" workbookViewId="0">
      <selection activeCell="M12" sqref="M12"/>
    </sheetView>
  </sheetViews>
  <sheetFormatPr defaultColWidth="9.33203125" defaultRowHeight="9"/>
  <cols>
    <col min="1" max="1" width="16.1640625" style="289" customWidth="1"/>
    <col min="2" max="2" width="19.6640625" style="289" customWidth="1"/>
    <col min="3" max="3" width="12.5" style="289" bestFit="1" customWidth="1"/>
    <col min="4" max="4" width="47.1640625" style="289" customWidth="1"/>
    <col min="5" max="5" width="11.5" style="289" customWidth="1"/>
    <col min="6" max="6" width="10.5" style="289" customWidth="1"/>
    <col min="7" max="8" width="9.33203125" style="289" customWidth="1"/>
    <col min="9" max="16384" width="9.33203125" style="289"/>
  </cols>
  <sheetData>
    <row r="1" spans="1:9" ht="30" customHeight="1">
      <c r="A1" s="551" t="s">
        <v>261</v>
      </c>
      <c r="B1" s="552" t="s">
        <v>423</v>
      </c>
      <c r="C1" s="551" t="s">
        <v>412</v>
      </c>
      <c r="D1" s="553" t="s">
        <v>424</v>
      </c>
      <c r="E1" s="554" t="s">
        <v>425</v>
      </c>
      <c r="F1" s="554" t="s">
        <v>426</v>
      </c>
      <c r="G1" s="283"/>
      <c r="H1" s="290"/>
      <c r="I1" s="281"/>
    </row>
    <row r="2" spans="1:9" ht="52.5" customHeight="1">
      <c r="A2" s="297" t="s">
        <v>427</v>
      </c>
      <c r="B2" s="297" t="s">
        <v>694</v>
      </c>
      <c r="C2" s="298">
        <v>43747.554166666669</v>
      </c>
      <c r="D2" s="387" t="s">
        <v>704</v>
      </c>
      <c r="E2" s="299" t="s">
        <v>714</v>
      </c>
      <c r="F2" s="299"/>
      <c r="G2" s="282"/>
      <c r="H2" s="282"/>
      <c r="I2" s="293"/>
    </row>
    <row r="3" spans="1:9" ht="59.25" customHeight="1">
      <c r="A3" s="297" t="s">
        <v>102</v>
      </c>
      <c r="B3" s="297" t="s">
        <v>695</v>
      </c>
      <c r="C3" s="298">
        <v>43747.792361111111</v>
      </c>
      <c r="D3" s="387" t="s">
        <v>705</v>
      </c>
      <c r="E3" s="299" t="s">
        <v>715</v>
      </c>
      <c r="F3" s="299"/>
      <c r="G3" s="282"/>
      <c r="H3" s="282"/>
      <c r="I3" s="293"/>
    </row>
    <row r="4" spans="1:9" ht="57.75" customHeight="1">
      <c r="A4" s="297" t="s">
        <v>427</v>
      </c>
      <c r="B4" s="297" t="s">
        <v>696</v>
      </c>
      <c r="C4" s="298">
        <v>43749.511111111111</v>
      </c>
      <c r="D4" s="387" t="s">
        <v>706</v>
      </c>
      <c r="E4" s="299" t="s">
        <v>716</v>
      </c>
      <c r="F4" s="299"/>
      <c r="G4" s="282"/>
      <c r="H4" s="282"/>
      <c r="I4" s="293"/>
    </row>
    <row r="5" spans="1:9" ht="45.75" customHeight="1">
      <c r="A5" s="297" t="s">
        <v>690</v>
      </c>
      <c r="B5" s="297" t="s">
        <v>697</v>
      </c>
      <c r="C5" s="298">
        <v>43753.120833333334</v>
      </c>
      <c r="D5" s="387" t="s">
        <v>707</v>
      </c>
      <c r="E5" s="299" t="s">
        <v>717</v>
      </c>
      <c r="F5" s="299"/>
      <c r="G5" s="282"/>
      <c r="H5" s="282"/>
      <c r="I5" s="294"/>
    </row>
    <row r="6" spans="1:9" ht="46.5" customHeight="1">
      <c r="A6" s="297" t="s">
        <v>691</v>
      </c>
      <c r="B6" s="297" t="s">
        <v>698</v>
      </c>
      <c r="C6" s="298">
        <v>43753.136111111111</v>
      </c>
      <c r="D6" s="387" t="s">
        <v>708</v>
      </c>
      <c r="E6" s="299" t="s">
        <v>718</v>
      </c>
      <c r="F6" s="299"/>
      <c r="G6" s="282"/>
      <c r="H6" s="282"/>
      <c r="I6" s="293"/>
    </row>
    <row r="7" spans="1:9" ht="48" customHeight="1">
      <c r="A7" s="297" t="s">
        <v>660</v>
      </c>
      <c r="B7" s="297" t="s">
        <v>699</v>
      </c>
      <c r="C7" s="298">
        <v>43758.027777777781</v>
      </c>
      <c r="D7" s="387" t="s">
        <v>709</v>
      </c>
      <c r="E7" s="299" t="s">
        <v>719</v>
      </c>
      <c r="F7" s="299"/>
      <c r="G7" s="282"/>
      <c r="H7" s="282"/>
      <c r="I7" s="293"/>
    </row>
    <row r="8" spans="1:9" ht="91.5" customHeight="1">
      <c r="A8" s="297" t="s">
        <v>692</v>
      </c>
      <c r="B8" s="297" t="s">
        <v>700</v>
      </c>
      <c r="C8" s="298">
        <v>43758.661111111112</v>
      </c>
      <c r="D8" s="387" t="s">
        <v>710</v>
      </c>
      <c r="E8" s="299" t="s">
        <v>720</v>
      </c>
      <c r="F8" s="299"/>
      <c r="G8" s="282"/>
      <c r="H8" s="282"/>
      <c r="I8" s="293"/>
    </row>
    <row r="9" spans="1:9" ht="76.5" customHeight="1">
      <c r="A9" s="297" t="s">
        <v>693</v>
      </c>
      <c r="B9" s="297" t="s">
        <v>701</v>
      </c>
      <c r="C9" s="298">
        <v>43758.755555555559</v>
      </c>
      <c r="D9" s="387" t="s">
        <v>711</v>
      </c>
      <c r="E9" s="299">
        <v>7</v>
      </c>
      <c r="F9" s="299"/>
    </row>
    <row r="10" spans="1:9" ht="66.75" customHeight="1">
      <c r="A10" s="297" t="s">
        <v>427</v>
      </c>
      <c r="B10" s="297" t="s">
        <v>702</v>
      </c>
      <c r="C10" s="298">
        <v>43758.831944444442</v>
      </c>
      <c r="D10" s="387" t="s">
        <v>712</v>
      </c>
      <c r="E10" s="299" t="s">
        <v>721</v>
      </c>
      <c r="F10" s="299"/>
    </row>
    <row r="11" spans="1:9" ht="60.75" customHeight="1">
      <c r="A11" s="297" t="s">
        <v>660</v>
      </c>
      <c r="B11" s="297" t="s">
        <v>703</v>
      </c>
      <c r="C11" s="298">
        <v>43760.726388888892</v>
      </c>
      <c r="D11" s="387" t="s">
        <v>713</v>
      </c>
      <c r="E11" s="299" t="s">
        <v>722</v>
      </c>
      <c r="F11" s="299"/>
    </row>
    <row r="12" spans="1:9">
      <c r="E12" s="296"/>
      <c r="F12" s="296"/>
    </row>
    <row r="13" spans="1:9">
      <c r="E13" s="296"/>
      <c r="F13" s="296"/>
    </row>
    <row r="14" spans="1:9">
      <c r="E14" s="296"/>
      <c r="F14" s="296"/>
    </row>
    <row r="15" spans="1:9">
      <c r="E15" s="296"/>
      <c r="F15" s="296"/>
    </row>
    <row r="16" spans="1:9">
      <c r="E16" s="296"/>
      <c r="F16" s="296"/>
    </row>
    <row r="17" spans="5:6">
      <c r="E17" s="296"/>
      <c r="F17" s="296"/>
    </row>
    <row r="18" spans="5:6">
      <c r="E18" s="296"/>
      <c r="F18" s="296"/>
    </row>
    <row r="19" spans="5:6">
      <c r="E19" s="296"/>
      <c r="F19" s="296"/>
    </row>
    <row r="20" spans="5:6">
      <c r="E20" s="296"/>
      <c r="F20" s="296"/>
    </row>
    <row r="21" spans="5:6">
      <c r="E21" s="296"/>
      <c r="F21" s="296"/>
    </row>
    <row r="22" spans="5:6">
      <c r="E22" s="296"/>
      <c r="F22" s="296"/>
    </row>
    <row r="23" spans="5:6">
      <c r="E23" s="296"/>
      <c r="F23" s="296"/>
    </row>
    <row r="24" spans="5:6">
      <c r="E24" s="296"/>
      <c r="F24" s="296"/>
    </row>
    <row r="25" spans="5:6">
      <c r="E25" s="296"/>
      <c r="F25" s="296"/>
    </row>
    <row r="26" spans="5:6">
      <c r="E26" s="296"/>
      <c r="F26" s="296"/>
    </row>
    <row r="27" spans="5:6">
      <c r="E27" s="296"/>
      <c r="F27" s="296"/>
    </row>
    <row r="28" spans="5:6">
      <c r="E28" s="296"/>
      <c r="F28" s="296"/>
    </row>
    <row r="29" spans="5:6">
      <c r="E29" s="296"/>
      <c r="F29" s="296"/>
    </row>
    <row r="30" spans="5:6">
      <c r="E30" s="296"/>
      <c r="F30" s="296"/>
    </row>
    <row r="31" spans="5:6">
      <c r="E31" s="296"/>
      <c r="F31" s="296"/>
    </row>
    <row r="32" spans="5:6">
      <c r="E32" s="296"/>
      <c r="F32" s="296"/>
    </row>
    <row r="33" spans="5:6">
      <c r="E33" s="296"/>
      <c r="F33" s="296"/>
    </row>
    <row r="34" spans="5:6">
      <c r="E34" s="296"/>
      <c r="F34" s="296"/>
    </row>
    <row r="35" spans="5:6">
      <c r="E35" s="296"/>
      <c r="F35" s="296"/>
    </row>
    <row r="36" spans="5:6">
      <c r="E36" s="296"/>
      <c r="F36" s="296"/>
    </row>
    <row r="37" spans="5:6">
      <c r="E37" s="296"/>
      <c r="F37" s="296"/>
    </row>
    <row r="38" spans="5:6">
      <c r="E38" s="296"/>
      <c r="F38" s="296"/>
    </row>
    <row r="39" spans="5:6">
      <c r="E39" s="296"/>
      <c r="F39" s="296"/>
    </row>
    <row r="40" spans="5:6">
      <c r="E40" s="296"/>
      <c r="F40" s="296"/>
    </row>
    <row r="41" spans="5:6">
      <c r="E41" s="296"/>
      <c r="F41" s="296"/>
    </row>
    <row r="42" spans="5:6">
      <c r="E42" s="296"/>
      <c r="F42" s="296"/>
    </row>
    <row r="43" spans="5:6">
      <c r="E43" s="296"/>
      <c r="F43" s="296"/>
    </row>
    <row r="44" spans="5:6">
      <c r="E44" s="296"/>
      <c r="F44" s="296"/>
    </row>
    <row r="45" spans="5:6">
      <c r="E45" s="296"/>
      <c r="F45" s="296"/>
    </row>
    <row r="46" spans="5:6">
      <c r="E46" s="296"/>
      <c r="F46" s="296"/>
    </row>
    <row r="47" spans="5:6">
      <c r="E47" s="296"/>
      <c r="F47" s="296"/>
    </row>
    <row r="48" spans="5:6">
      <c r="E48" s="296"/>
      <c r="F48" s="296"/>
    </row>
    <row r="49" spans="5:6">
      <c r="E49" s="296"/>
      <c r="F49" s="296"/>
    </row>
    <row r="50" spans="5:6">
      <c r="E50" s="296"/>
      <c r="F50" s="296"/>
    </row>
    <row r="51" spans="5:6">
      <c r="E51" s="296"/>
      <c r="F51" s="296"/>
    </row>
    <row r="52" spans="5:6">
      <c r="E52" s="296"/>
      <c r="F52" s="296"/>
    </row>
    <row r="53" spans="5:6">
      <c r="E53" s="296"/>
      <c r="F53" s="296"/>
    </row>
    <row r="54" spans="5:6">
      <c r="E54" s="296"/>
      <c r="F54" s="296"/>
    </row>
    <row r="55" spans="5:6">
      <c r="E55" s="296"/>
      <c r="F55" s="296"/>
    </row>
    <row r="56" spans="5:6">
      <c r="E56" s="296"/>
      <c r="F56" s="296"/>
    </row>
    <row r="57" spans="5:6">
      <c r="E57" s="296"/>
      <c r="F57" s="296"/>
    </row>
    <row r="58" spans="5:6">
      <c r="E58" s="296"/>
      <c r="F58" s="296"/>
    </row>
    <row r="59" spans="5:6">
      <c r="E59" s="296"/>
      <c r="F59" s="296"/>
    </row>
    <row r="60" spans="5:6">
      <c r="E60" s="296"/>
      <c r="F60" s="296"/>
    </row>
    <row r="61" spans="5:6">
      <c r="E61" s="296"/>
      <c r="F61" s="296"/>
    </row>
    <row r="62" spans="5:6">
      <c r="E62" s="296"/>
      <c r="F62" s="296"/>
    </row>
    <row r="63" spans="5:6">
      <c r="E63" s="296"/>
      <c r="F63" s="296"/>
    </row>
    <row r="64" spans="5:6">
      <c r="E64" s="296"/>
      <c r="F64" s="296"/>
    </row>
    <row r="65" spans="5:6">
      <c r="E65" s="296"/>
      <c r="F65" s="296"/>
    </row>
    <row r="66" spans="5:6">
      <c r="E66" s="296"/>
      <c r="F66" s="296"/>
    </row>
    <row r="67" spans="5:6">
      <c r="E67" s="296"/>
      <c r="F67" s="296"/>
    </row>
    <row r="68" spans="5:6">
      <c r="E68" s="296"/>
      <c r="F68" s="296"/>
    </row>
    <row r="69" spans="5:6">
      <c r="E69" s="296"/>
      <c r="F69" s="296"/>
    </row>
    <row r="70" spans="5:6">
      <c r="E70" s="296"/>
      <c r="F70" s="296"/>
    </row>
    <row r="71" spans="5:6">
      <c r="E71" s="296"/>
      <c r="F71" s="296"/>
    </row>
    <row r="72" spans="5:6">
      <c r="E72" s="296"/>
      <c r="F72" s="296"/>
    </row>
    <row r="73" spans="5:6">
      <c r="E73" s="296"/>
      <c r="F73" s="296"/>
    </row>
    <row r="74" spans="5:6">
      <c r="E74" s="296"/>
      <c r="F74" s="296"/>
    </row>
    <row r="75" spans="5:6">
      <c r="E75" s="296"/>
      <c r="F75" s="296"/>
    </row>
    <row r="76" spans="5:6">
      <c r="E76" s="296"/>
      <c r="F76" s="296"/>
    </row>
    <row r="77" spans="5:6">
      <c r="E77" s="296"/>
      <c r="F77" s="296"/>
    </row>
    <row r="78" spans="5:6">
      <c r="E78" s="296"/>
      <c r="F78" s="296"/>
    </row>
    <row r="79" spans="5:6">
      <c r="E79" s="296"/>
      <c r="F79" s="296"/>
    </row>
    <row r="80" spans="5:6">
      <c r="E80" s="296"/>
      <c r="F80" s="296"/>
    </row>
    <row r="81" spans="5:6">
      <c r="E81" s="296"/>
      <c r="F81" s="296"/>
    </row>
    <row r="82" spans="5:6">
      <c r="E82" s="296"/>
      <c r="F82" s="296"/>
    </row>
    <row r="83" spans="5:6">
      <c r="E83" s="296"/>
      <c r="F83" s="296"/>
    </row>
    <row r="84" spans="5:6">
      <c r="E84" s="296"/>
      <c r="F84" s="296"/>
    </row>
    <row r="85" spans="5:6">
      <c r="E85" s="296"/>
      <c r="F85" s="296"/>
    </row>
    <row r="86" spans="5:6">
      <c r="E86" s="296"/>
      <c r="F86" s="296"/>
    </row>
    <row r="87" spans="5:6">
      <c r="E87" s="296"/>
      <c r="F87" s="296"/>
    </row>
    <row r="88" spans="5:6">
      <c r="E88" s="296"/>
      <c r="F88" s="296"/>
    </row>
    <row r="89" spans="5:6">
      <c r="E89" s="296"/>
      <c r="F89" s="296"/>
    </row>
    <row r="90" spans="5:6">
      <c r="E90" s="296"/>
      <c r="F90" s="296"/>
    </row>
    <row r="91" spans="5:6">
      <c r="E91" s="296"/>
      <c r="F91" s="296"/>
    </row>
    <row r="92" spans="5:6">
      <c r="E92" s="296"/>
      <c r="F92" s="296"/>
    </row>
    <row r="93" spans="5:6">
      <c r="E93" s="296"/>
      <c r="F93" s="296"/>
    </row>
    <row r="94" spans="5:6">
      <c r="E94" s="296"/>
      <c r="F94" s="296"/>
    </row>
    <row r="95" spans="5:6">
      <c r="E95" s="296"/>
      <c r="F95" s="296"/>
    </row>
    <row r="96" spans="5:6">
      <c r="E96" s="296"/>
      <c r="F96" s="296"/>
    </row>
    <row r="97" spans="5:6">
      <c r="E97" s="296"/>
      <c r="F97" s="296"/>
    </row>
    <row r="98" spans="5:6">
      <c r="E98" s="296"/>
      <c r="F98" s="296"/>
    </row>
    <row r="99" spans="5:6">
      <c r="E99" s="296"/>
      <c r="F99" s="296"/>
    </row>
    <row r="100" spans="5:6">
      <c r="E100" s="296"/>
      <c r="F100" s="296"/>
    </row>
    <row r="101" spans="5:6">
      <c r="E101" s="296"/>
      <c r="F101" s="296"/>
    </row>
    <row r="102" spans="5:6">
      <c r="E102" s="296"/>
      <c r="F102" s="296"/>
    </row>
    <row r="103" spans="5:6">
      <c r="E103" s="296"/>
      <c r="F103" s="296"/>
    </row>
    <row r="104" spans="5:6">
      <c r="E104" s="296"/>
      <c r="F104" s="296"/>
    </row>
    <row r="105" spans="5:6">
      <c r="E105" s="296"/>
      <c r="F105" s="296"/>
    </row>
    <row r="106" spans="5:6">
      <c r="E106" s="296"/>
      <c r="F106" s="296"/>
    </row>
    <row r="107" spans="5:6">
      <c r="E107" s="296"/>
      <c r="F107" s="296"/>
    </row>
    <row r="108" spans="5:6">
      <c r="E108" s="296"/>
      <c r="F108" s="296"/>
    </row>
    <row r="109" spans="5:6">
      <c r="E109" s="296"/>
      <c r="F109" s="296"/>
    </row>
    <row r="110" spans="5:6">
      <c r="E110" s="296"/>
      <c r="F110" s="296"/>
    </row>
    <row r="111" spans="5:6">
      <c r="E111" s="296"/>
      <c r="F111" s="296"/>
    </row>
    <row r="112" spans="5:6">
      <c r="E112" s="296"/>
      <c r="F112" s="296"/>
    </row>
    <row r="113" spans="5:6">
      <c r="E113" s="296"/>
      <c r="F113" s="296"/>
    </row>
    <row r="114" spans="5:6">
      <c r="E114" s="296"/>
      <c r="F114" s="296"/>
    </row>
    <row r="115" spans="5:6">
      <c r="E115" s="296"/>
      <c r="F115" s="296"/>
    </row>
    <row r="116" spans="5:6">
      <c r="E116" s="296"/>
      <c r="F116" s="296"/>
    </row>
    <row r="117" spans="5:6">
      <c r="E117" s="296"/>
      <c r="F117" s="296"/>
    </row>
    <row r="118" spans="5:6">
      <c r="E118" s="296"/>
      <c r="F118" s="296"/>
    </row>
    <row r="119" spans="5:6">
      <c r="E119" s="296"/>
      <c r="F119" s="296"/>
    </row>
    <row r="120" spans="5:6">
      <c r="E120" s="296"/>
      <c r="F120" s="296"/>
    </row>
    <row r="121" spans="5:6">
      <c r="E121" s="296"/>
      <c r="F121" s="296"/>
    </row>
    <row r="122" spans="5:6">
      <c r="E122" s="296"/>
      <c r="F122" s="296"/>
    </row>
    <row r="123" spans="5:6">
      <c r="E123" s="296"/>
      <c r="F123" s="296"/>
    </row>
    <row r="124" spans="5:6">
      <c r="E124" s="296"/>
      <c r="F124" s="296"/>
    </row>
    <row r="125" spans="5:6">
      <c r="E125" s="296"/>
      <c r="F125" s="296"/>
    </row>
    <row r="126" spans="5:6">
      <c r="E126" s="296"/>
      <c r="F126" s="296"/>
    </row>
    <row r="127" spans="5:6">
      <c r="E127" s="296"/>
      <c r="F127" s="296"/>
    </row>
    <row r="128" spans="5:6">
      <c r="E128" s="296"/>
      <c r="F128" s="296"/>
    </row>
    <row r="129" spans="5:6">
      <c r="E129" s="296"/>
      <c r="F129" s="296"/>
    </row>
    <row r="130" spans="5:6">
      <c r="E130" s="296"/>
      <c r="F130" s="296"/>
    </row>
    <row r="131" spans="5:6">
      <c r="E131" s="296"/>
      <c r="F131" s="296"/>
    </row>
    <row r="132" spans="5:6">
      <c r="E132" s="296"/>
      <c r="F132" s="296"/>
    </row>
  </sheetData>
  <pageMargins left="0.70866141732283472" right="0.51181102362204722" top="1.0236220472440944" bottom="0.62992125984251968" header="0.31496062992125984" footer="0.31496062992125984"/>
  <pageSetup paperSize="9" scale="95" orientation="portrait" r:id="rId1"/>
  <headerFooter>
    <oddHeader>&amp;R&amp;7Informe de la Operación Mensual-Octubre 2019
INFSGI-MES-10-2019
18/10/2019
Versión: 01</oddHeader>
    <oddFooter>&amp;L&amp;7COES, 2019&amp;C26&amp;R&amp;7Dirección Ejecutiva
Sub Dirección de Gestión de Información</oddFooter>
  </headerFooter>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9">
    <tabColor theme="4"/>
  </sheetPr>
  <dimension ref="A1:I113"/>
  <sheetViews>
    <sheetView showGridLines="0" view="pageBreakPreview" zoomScale="145" zoomScaleNormal="100" zoomScaleSheetLayoutView="145" zoomScalePageLayoutView="145" workbookViewId="0">
      <selection activeCell="M12" sqref="M12"/>
    </sheetView>
  </sheetViews>
  <sheetFormatPr defaultColWidth="9.33203125" defaultRowHeight="9"/>
  <cols>
    <col min="1" max="1" width="16.1640625" style="289" customWidth="1"/>
    <col min="2" max="2" width="19.6640625" style="289" customWidth="1"/>
    <col min="3" max="3" width="12.5" style="289" bestFit="1" customWidth="1"/>
    <col min="4" max="4" width="47.1640625" style="289" customWidth="1"/>
    <col min="5" max="5" width="11.5" style="289" customWidth="1"/>
    <col min="6" max="6" width="10.5" style="289" customWidth="1"/>
    <col min="7" max="8" width="9.33203125" style="289" customWidth="1"/>
    <col min="9" max="16384" width="9.33203125" style="289"/>
  </cols>
  <sheetData>
    <row r="1" spans="1:9" ht="30" customHeight="1">
      <c r="A1" s="551" t="s">
        <v>261</v>
      </c>
      <c r="B1" s="552" t="s">
        <v>423</v>
      </c>
      <c r="C1" s="551" t="s">
        <v>412</v>
      </c>
      <c r="D1" s="553" t="s">
        <v>424</v>
      </c>
      <c r="E1" s="554" t="s">
        <v>425</v>
      </c>
      <c r="F1" s="554" t="s">
        <v>426</v>
      </c>
      <c r="G1" s="283"/>
      <c r="H1" s="290"/>
      <c r="I1" s="281"/>
    </row>
    <row r="2" spans="1:9" ht="50.25" customHeight="1">
      <c r="A2" s="297" t="s">
        <v>660</v>
      </c>
      <c r="B2" s="297" t="s">
        <v>703</v>
      </c>
      <c r="C2" s="298">
        <v>43760.730555555558</v>
      </c>
      <c r="D2" s="387" t="s">
        <v>729</v>
      </c>
      <c r="E2" s="299" t="s">
        <v>722</v>
      </c>
      <c r="F2" s="299"/>
      <c r="G2" s="282"/>
      <c r="H2" s="282"/>
      <c r="I2" s="293"/>
    </row>
    <row r="3" spans="1:9" ht="49.5" customHeight="1">
      <c r="A3" s="297" t="s">
        <v>427</v>
      </c>
      <c r="B3" s="297" t="s">
        <v>696</v>
      </c>
      <c r="C3" s="298">
        <v>43762.51666666667</v>
      </c>
      <c r="D3" s="387" t="s">
        <v>730</v>
      </c>
      <c r="E3" s="299">
        <v>3</v>
      </c>
      <c r="F3" s="299"/>
      <c r="G3" s="282"/>
      <c r="H3" s="282"/>
      <c r="I3" s="293"/>
    </row>
    <row r="4" spans="1:9" ht="84" customHeight="1">
      <c r="A4" s="297" t="s">
        <v>600</v>
      </c>
      <c r="B4" s="297" t="s">
        <v>723</v>
      </c>
      <c r="C4" s="298">
        <v>43762.706250000003</v>
      </c>
      <c r="D4" s="387" t="s">
        <v>731</v>
      </c>
      <c r="E4" s="299">
        <v>12</v>
      </c>
      <c r="F4" s="299"/>
      <c r="G4" s="282"/>
      <c r="H4" s="282"/>
      <c r="I4" s="293"/>
    </row>
    <row r="5" spans="1:9" ht="92.25" customHeight="1">
      <c r="A5" s="297" t="s">
        <v>600</v>
      </c>
      <c r="B5" s="297" t="s">
        <v>724</v>
      </c>
      <c r="C5" s="298">
        <v>43764.888194444444</v>
      </c>
      <c r="D5" s="387" t="s">
        <v>732</v>
      </c>
      <c r="E5" s="299">
        <v>17</v>
      </c>
      <c r="F5" s="299"/>
      <c r="G5" s="282"/>
      <c r="H5" s="282"/>
      <c r="I5" s="293"/>
    </row>
    <row r="6" spans="1:9" ht="57" customHeight="1">
      <c r="A6" s="297" t="s">
        <v>693</v>
      </c>
      <c r="B6" s="297" t="s">
        <v>725</v>
      </c>
      <c r="C6" s="298">
        <v>43766.208333333336</v>
      </c>
      <c r="D6" s="387" t="s">
        <v>733</v>
      </c>
      <c r="E6" s="299" t="s">
        <v>737</v>
      </c>
      <c r="F6" s="299"/>
      <c r="G6" s="282"/>
      <c r="H6" s="282"/>
      <c r="I6" s="295"/>
    </row>
    <row r="7" spans="1:9" ht="48.75" customHeight="1">
      <c r="A7" s="297" t="s">
        <v>660</v>
      </c>
      <c r="B7" s="297" t="s">
        <v>726</v>
      </c>
      <c r="C7" s="298">
        <v>43767.652083333334</v>
      </c>
      <c r="D7" s="387" t="s">
        <v>734</v>
      </c>
      <c r="E7" s="299" t="s">
        <v>738</v>
      </c>
      <c r="F7" s="299"/>
    </row>
    <row r="8" spans="1:9" ht="37.5" customHeight="1">
      <c r="A8" s="821" t="s">
        <v>599</v>
      </c>
      <c r="B8" s="821" t="s">
        <v>727</v>
      </c>
      <c r="C8" s="822">
        <v>43768.525000000001</v>
      </c>
      <c r="D8" s="823" t="s">
        <v>735</v>
      </c>
      <c r="E8" s="824" t="s">
        <v>739</v>
      </c>
      <c r="F8" s="824"/>
    </row>
    <row r="9" spans="1:9" ht="54" customHeight="1">
      <c r="A9" s="825" t="s">
        <v>598</v>
      </c>
      <c r="B9" s="825" t="s">
        <v>728</v>
      </c>
      <c r="C9" s="826">
        <v>43769.820138888892</v>
      </c>
      <c r="D9" s="827" t="s">
        <v>736</v>
      </c>
      <c r="E9" s="828" t="s">
        <v>740</v>
      </c>
      <c r="F9" s="828"/>
    </row>
    <row r="10" spans="1:9" ht="87" hidden="1" customHeight="1">
      <c r="A10" s="825"/>
      <c r="B10" s="825"/>
      <c r="C10" s="826"/>
      <c r="D10" s="827"/>
      <c r="E10" s="828"/>
      <c r="F10" s="828"/>
    </row>
    <row r="11" spans="1:9" ht="96" hidden="1" customHeight="1">
      <c r="A11" s="866"/>
      <c r="B11" s="866"/>
      <c r="C11" s="867"/>
      <c r="D11" s="868"/>
      <c r="E11" s="869"/>
      <c r="F11" s="869"/>
    </row>
    <row r="12" spans="1:9" ht="60" customHeight="1">
      <c r="A12" s="711"/>
      <c r="B12" s="711"/>
      <c r="C12" s="782"/>
      <c r="D12" s="783"/>
      <c r="E12" s="784"/>
      <c r="F12" s="784"/>
    </row>
    <row r="13" spans="1:9">
      <c r="A13" s="711"/>
      <c r="B13" s="711"/>
      <c r="C13" s="782"/>
      <c r="D13" s="783"/>
      <c r="E13" s="784"/>
      <c r="F13" s="784"/>
    </row>
    <row r="14" spans="1:9">
      <c r="A14" s="870"/>
      <c r="B14" s="870"/>
      <c r="C14" s="870"/>
      <c r="D14" s="870"/>
      <c r="E14" s="871"/>
      <c r="F14" s="871"/>
    </row>
    <row r="15" spans="1:9">
      <c r="E15" s="296"/>
      <c r="F15" s="296"/>
    </row>
    <row r="16" spans="1:9">
      <c r="E16" s="296"/>
      <c r="F16" s="296"/>
    </row>
    <row r="17" spans="5:6">
      <c r="E17" s="296"/>
      <c r="F17" s="296"/>
    </row>
    <row r="18" spans="5:6">
      <c r="E18" s="296"/>
      <c r="F18" s="296"/>
    </row>
    <row r="19" spans="5:6">
      <c r="E19" s="296"/>
      <c r="F19" s="296"/>
    </row>
    <row r="20" spans="5:6">
      <c r="E20" s="296"/>
      <c r="F20" s="296"/>
    </row>
    <row r="21" spans="5:6">
      <c r="E21" s="296"/>
      <c r="F21" s="296"/>
    </row>
    <row r="22" spans="5:6">
      <c r="E22" s="296"/>
      <c r="F22" s="296"/>
    </row>
    <row r="23" spans="5:6">
      <c r="E23" s="296"/>
      <c r="F23" s="296"/>
    </row>
    <row r="24" spans="5:6">
      <c r="E24" s="296"/>
      <c r="F24" s="296"/>
    </row>
    <row r="25" spans="5:6">
      <c r="E25" s="296"/>
      <c r="F25" s="296"/>
    </row>
    <row r="26" spans="5:6">
      <c r="E26" s="296"/>
      <c r="F26" s="296"/>
    </row>
    <row r="27" spans="5:6">
      <c r="E27" s="296"/>
      <c r="F27" s="296"/>
    </row>
    <row r="28" spans="5:6">
      <c r="E28" s="296"/>
      <c r="F28" s="296"/>
    </row>
    <row r="29" spans="5:6">
      <c r="E29" s="296"/>
      <c r="F29" s="296"/>
    </row>
    <row r="30" spans="5:6">
      <c r="E30" s="296"/>
      <c r="F30" s="296"/>
    </row>
    <row r="31" spans="5:6">
      <c r="E31" s="296"/>
      <c r="F31" s="296"/>
    </row>
    <row r="32" spans="5:6">
      <c r="E32" s="296"/>
      <c r="F32" s="296"/>
    </row>
    <row r="33" spans="5:6">
      <c r="E33" s="296"/>
      <c r="F33" s="296"/>
    </row>
    <row r="34" spans="5:6">
      <c r="E34" s="296"/>
      <c r="F34" s="296"/>
    </row>
    <row r="35" spans="5:6">
      <c r="E35" s="296"/>
      <c r="F35" s="296"/>
    </row>
    <row r="36" spans="5:6">
      <c r="E36" s="296"/>
      <c r="F36" s="296"/>
    </row>
    <row r="37" spans="5:6">
      <c r="E37" s="296"/>
      <c r="F37" s="296"/>
    </row>
    <row r="38" spans="5:6">
      <c r="E38" s="296"/>
      <c r="F38" s="296"/>
    </row>
    <row r="39" spans="5:6">
      <c r="E39" s="296"/>
      <c r="F39" s="296"/>
    </row>
    <row r="40" spans="5:6">
      <c r="E40" s="296"/>
      <c r="F40" s="296"/>
    </row>
    <row r="41" spans="5:6">
      <c r="E41" s="296"/>
      <c r="F41" s="296"/>
    </row>
    <row r="42" spans="5:6">
      <c r="E42" s="296"/>
      <c r="F42" s="296"/>
    </row>
    <row r="43" spans="5:6">
      <c r="E43" s="296"/>
      <c r="F43" s="296"/>
    </row>
    <row r="44" spans="5:6">
      <c r="E44" s="296"/>
      <c r="F44" s="296"/>
    </row>
    <row r="45" spans="5:6">
      <c r="E45" s="296"/>
      <c r="F45" s="296"/>
    </row>
    <row r="46" spans="5:6">
      <c r="E46" s="296"/>
      <c r="F46" s="296"/>
    </row>
    <row r="47" spans="5:6">
      <c r="E47" s="296"/>
      <c r="F47" s="296"/>
    </row>
    <row r="48" spans="5:6">
      <c r="E48" s="296"/>
      <c r="F48" s="296"/>
    </row>
    <row r="49" spans="5:6">
      <c r="E49" s="296"/>
      <c r="F49" s="296"/>
    </row>
    <row r="50" spans="5:6">
      <c r="E50" s="296"/>
      <c r="F50" s="296"/>
    </row>
    <row r="51" spans="5:6">
      <c r="E51" s="296"/>
      <c r="F51" s="296"/>
    </row>
    <row r="52" spans="5:6">
      <c r="E52" s="296"/>
      <c r="F52" s="296"/>
    </row>
    <row r="53" spans="5:6">
      <c r="E53" s="296"/>
      <c r="F53" s="296"/>
    </row>
    <row r="54" spans="5:6">
      <c r="E54" s="296"/>
      <c r="F54" s="296"/>
    </row>
    <row r="55" spans="5:6">
      <c r="E55" s="296"/>
      <c r="F55" s="296"/>
    </row>
    <row r="56" spans="5:6">
      <c r="E56" s="296"/>
      <c r="F56" s="296"/>
    </row>
    <row r="57" spans="5:6">
      <c r="E57" s="296"/>
      <c r="F57" s="296"/>
    </row>
    <row r="58" spans="5:6">
      <c r="E58" s="296"/>
      <c r="F58" s="296"/>
    </row>
    <row r="59" spans="5:6">
      <c r="E59" s="296"/>
      <c r="F59" s="296"/>
    </row>
    <row r="60" spans="5:6">
      <c r="E60" s="296"/>
      <c r="F60" s="296"/>
    </row>
    <row r="61" spans="5:6">
      <c r="E61" s="296"/>
      <c r="F61" s="296"/>
    </row>
    <row r="62" spans="5:6">
      <c r="E62" s="296"/>
      <c r="F62" s="296"/>
    </row>
    <row r="63" spans="5:6">
      <c r="E63" s="296"/>
      <c r="F63" s="296"/>
    </row>
    <row r="64" spans="5:6">
      <c r="E64" s="296"/>
      <c r="F64" s="296"/>
    </row>
    <row r="65" spans="5:6">
      <c r="E65" s="296"/>
      <c r="F65" s="296"/>
    </row>
    <row r="66" spans="5:6">
      <c r="E66" s="296"/>
      <c r="F66" s="296"/>
    </row>
    <row r="67" spans="5:6">
      <c r="E67" s="296"/>
      <c r="F67" s="296"/>
    </row>
    <row r="68" spans="5:6">
      <c r="E68" s="296"/>
      <c r="F68" s="296"/>
    </row>
    <row r="69" spans="5:6">
      <c r="E69" s="296"/>
      <c r="F69" s="296"/>
    </row>
    <row r="70" spans="5:6">
      <c r="E70" s="296"/>
      <c r="F70" s="296"/>
    </row>
    <row r="71" spans="5:6">
      <c r="E71" s="296"/>
      <c r="F71" s="296"/>
    </row>
    <row r="72" spans="5:6">
      <c r="E72" s="296"/>
      <c r="F72" s="296"/>
    </row>
    <row r="73" spans="5:6">
      <c r="E73" s="296"/>
      <c r="F73" s="296"/>
    </row>
    <row r="74" spans="5:6">
      <c r="E74" s="296"/>
      <c r="F74" s="296"/>
    </row>
    <row r="75" spans="5:6">
      <c r="E75" s="296"/>
      <c r="F75" s="296"/>
    </row>
    <row r="76" spans="5:6">
      <c r="E76" s="296"/>
      <c r="F76" s="296"/>
    </row>
    <row r="77" spans="5:6">
      <c r="E77" s="296"/>
      <c r="F77" s="296"/>
    </row>
    <row r="78" spans="5:6">
      <c r="E78" s="296"/>
      <c r="F78" s="296"/>
    </row>
    <row r="79" spans="5:6">
      <c r="E79" s="296"/>
      <c r="F79" s="296"/>
    </row>
    <row r="80" spans="5:6">
      <c r="E80" s="296"/>
      <c r="F80" s="296"/>
    </row>
    <row r="81" spans="5:6">
      <c r="E81" s="296"/>
      <c r="F81" s="296"/>
    </row>
    <row r="82" spans="5:6">
      <c r="E82" s="296"/>
      <c r="F82" s="296"/>
    </row>
    <row r="83" spans="5:6">
      <c r="E83" s="296"/>
      <c r="F83" s="296"/>
    </row>
    <row r="84" spans="5:6">
      <c r="E84" s="296"/>
      <c r="F84" s="296"/>
    </row>
    <row r="85" spans="5:6">
      <c r="E85" s="296"/>
      <c r="F85" s="296"/>
    </row>
    <row r="86" spans="5:6">
      <c r="E86" s="296"/>
      <c r="F86" s="296"/>
    </row>
    <row r="87" spans="5:6">
      <c r="E87" s="296"/>
      <c r="F87" s="296"/>
    </row>
    <row r="88" spans="5:6">
      <c r="E88" s="296"/>
      <c r="F88" s="296"/>
    </row>
    <row r="89" spans="5:6">
      <c r="E89" s="296"/>
      <c r="F89" s="296"/>
    </row>
    <row r="90" spans="5:6">
      <c r="E90" s="296"/>
      <c r="F90" s="296"/>
    </row>
    <row r="91" spans="5:6">
      <c r="E91" s="296"/>
      <c r="F91" s="296"/>
    </row>
    <row r="92" spans="5:6">
      <c r="E92" s="296"/>
      <c r="F92" s="296"/>
    </row>
    <row r="93" spans="5:6">
      <c r="E93" s="296"/>
      <c r="F93" s="296"/>
    </row>
    <row r="94" spans="5:6">
      <c r="E94" s="296"/>
      <c r="F94" s="296"/>
    </row>
    <row r="95" spans="5:6">
      <c r="E95" s="296"/>
      <c r="F95" s="296"/>
    </row>
    <row r="96" spans="5:6">
      <c r="E96" s="296"/>
      <c r="F96" s="296"/>
    </row>
    <row r="97" spans="5:6">
      <c r="E97" s="296"/>
      <c r="F97" s="296"/>
    </row>
    <row r="98" spans="5:6">
      <c r="E98" s="296"/>
      <c r="F98" s="296"/>
    </row>
    <row r="99" spans="5:6">
      <c r="E99" s="296"/>
      <c r="F99" s="296"/>
    </row>
    <row r="100" spans="5:6">
      <c r="E100" s="296"/>
      <c r="F100" s="296"/>
    </row>
    <row r="101" spans="5:6">
      <c r="E101" s="296"/>
      <c r="F101" s="296"/>
    </row>
    <row r="102" spans="5:6">
      <c r="E102" s="296"/>
      <c r="F102" s="296"/>
    </row>
    <row r="103" spans="5:6">
      <c r="E103" s="296"/>
      <c r="F103" s="296"/>
    </row>
    <row r="104" spans="5:6">
      <c r="E104" s="296"/>
      <c r="F104" s="296"/>
    </row>
    <row r="105" spans="5:6">
      <c r="E105" s="296"/>
      <c r="F105" s="296"/>
    </row>
    <row r="106" spans="5:6">
      <c r="E106" s="296"/>
      <c r="F106" s="296"/>
    </row>
    <row r="107" spans="5:6">
      <c r="E107" s="296"/>
      <c r="F107" s="296"/>
    </row>
    <row r="108" spans="5:6">
      <c r="E108" s="296"/>
      <c r="F108" s="296"/>
    </row>
    <row r="109" spans="5:6">
      <c r="E109" s="296"/>
      <c r="F109" s="296"/>
    </row>
    <row r="110" spans="5:6">
      <c r="E110" s="296"/>
      <c r="F110" s="296"/>
    </row>
    <row r="111" spans="5:6">
      <c r="E111" s="296"/>
      <c r="F111" s="296"/>
    </row>
    <row r="112" spans="5:6">
      <c r="E112" s="296"/>
      <c r="F112" s="296"/>
    </row>
    <row r="113" spans="5:6">
      <c r="E113" s="296"/>
      <c r="F113" s="296"/>
    </row>
  </sheetData>
  <pageMargins left="0.70866141732283472" right="0.51181102362204722" top="1.0236220472440944" bottom="0.62992125984251968" header="0.31496062992125984" footer="0.31496062992125984"/>
  <pageSetup paperSize="9" scale="95" orientation="portrait" r:id="rId1"/>
  <headerFooter>
    <oddHeader>&amp;R&amp;7Informe de la Operación Mensual-Octubre 2019
INFSGI-MES-10-2019
18/10/2019
Versión: 01</oddHeader>
    <oddFooter>&amp;L&amp;7COES, 2019&amp;C27&amp;R&amp;7Dirección Ejecutiva
Sub Dirección de Gestión de Información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4"/>
    <pageSetUpPr fitToPage="1"/>
  </sheetPr>
  <dimension ref="A1:W67"/>
  <sheetViews>
    <sheetView showGridLines="0" view="pageBreakPreview" topLeftCell="A38" zoomScaleNormal="100" zoomScaleSheetLayoutView="100" zoomScalePageLayoutView="115" workbookViewId="0">
      <selection activeCell="M12" sqref="M12"/>
    </sheetView>
  </sheetViews>
  <sheetFormatPr defaultColWidth="9.33203125" defaultRowHeight="11.25"/>
  <cols>
    <col min="1" max="1" width="7.5" style="46" customWidth="1"/>
    <col min="2" max="9" width="9.33203125" style="46"/>
    <col min="10" max="11" width="9.33203125" style="46" customWidth="1"/>
    <col min="12" max="12" width="10.33203125" style="46" customWidth="1"/>
    <col min="13" max="13" width="9.33203125" style="46"/>
    <col min="14" max="14" width="9.33203125" style="302"/>
    <col min="15" max="16" width="10.1640625" style="328" bestFit="1" customWidth="1"/>
    <col min="17" max="17" width="11.5" style="328" customWidth="1"/>
    <col min="18" max="23" width="9.33203125" style="328"/>
    <col min="24" max="16384" width="9.33203125" style="46"/>
  </cols>
  <sheetData>
    <row r="1" spans="1:17" ht="27.75" customHeight="1">
      <c r="A1" s="873" t="s">
        <v>22</v>
      </c>
      <c r="B1" s="873"/>
      <c r="C1" s="873"/>
      <c r="D1" s="873"/>
      <c r="E1" s="873"/>
      <c r="F1" s="873"/>
      <c r="G1" s="873"/>
      <c r="H1" s="873"/>
      <c r="I1" s="873"/>
      <c r="J1" s="873"/>
      <c r="K1" s="873"/>
      <c r="L1" s="873"/>
      <c r="M1" s="873"/>
      <c r="N1" s="301"/>
      <c r="O1" s="327"/>
      <c r="P1" s="327"/>
      <c r="Q1" s="327"/>
    </row>
    <row r="2" spans="1:17" ht="11.25" customHeight="1">
      <c r="A2" s="41"/>
      <c r="B2" s="40"/>
      <c r="C2" s="65"/>
      <c r="D2" s="65"/>
      <c r="E2" s="65"/>
      <c r="F2" s="65"/>
      <c r="G2" s="65"/>
      <c r="H2" s="65"/>
      <c r="I2" s="65"/>
      <c r="J2" s="65"/>
      <c r="K2" s="40"/>
      <c r="L2" s="40"/>
      <c r="M2" s="40"/>
      <c r="N2" s="301"/>
      <c r="O2" s="327"/>
      <c r="P2" s="327"/>
      <c r="Q2" s="327"/>
    </row>
    <row r="3" spans="1:17" ht="21.75" customHeight="1">
      <c r="A3" s="40"/>
      <c r="B3" s="42"/>
      <c r="C3" s="880" t="str">
        <f>+UPPER(Q4)&amp;" "&amp;Q5</f>
        <v>OCTUBRE 2019</v>
      </c>
      <c r="D3" s="873"/>
      <c r="E3" s="873"/>
      <c r="F3" s="873"/>
      <c r="G3" s="873"/>
      <c r="H3" s="873"/>
      <c r="I3" s="873"/>
      <c r="J3" s="873"/>
      <c r="K3" s="40"/>
      <c r="L3" s="40"/>
      <c r="M3" s="40"/>
      <c r="N3" s="301"/>
      <c r="O3" s="327"/>
      <c r="P3" s="327"/>
      <c r="Q3" s="327"/>
    </row>
    <row r="4" spans="1:17" ht="11.25" customHeight="1">
      <c r="A4" s="40"/>
      <c r="B4" s="42"/>
      <c r="C4" s="40"/>
      <c r="D4" s="40"/>
      <c r="E4" s="40"/>
      <c r="F4" s="40"/>
      <c r="G4" s="40"/>
      <c r="H4" s="40"/>
      <c r="I4" s="40"/>
      <c r="J4" s="40"/>
      <c r="K4" s="40"/>
      <c r="L4" s="40"/>
      <c r="M4" s="40"/>
      <c r="N4" s="303"/>
      <c r="O4" s="329"/>
      <c r="P4" s="327" t="s">
        <v>214</v>
      </c>
      <c r="Q4" s="330" t="s">
        <v>613</v>
      </c>
    </row>
    <row r="5" spans="1:17" ht="11.25" customHeight="1">
      <c r="A5" s="47"/>
      <c r="B5" s="48"/>
      <c r="C5" s="49"/>
      <c r="D5" s="49"/>
      <c r="E5" s="49"/>
      <c r="F5" s="49"/>
      <c r="G5" s="49"/>
      <c r="H5" s="49"/>
      <c r="I5" s="49"/>
      <c r="J5" s="49"/>
      <c r="K5" s="49"/>
      <c r="L5" s="49"/>
      <c r="M5" s="40"/>
      <c r="N5" s="303"/>
      <c r="O5" s="329"/>
      <c r="P5" s="327" t="s">
        <v>215</v>
      </c>
      <c r="Q5" s="329">
        <v>2019</v>
      </c>
    </row>
    <row r="6" spans="1:17" ht="17.25" customHeight="1">
      <c r="A6" s="60" t="s">
        <v>460</v>
      </c>
      <c r="B6" s="40"/>
      <c r="C6" s="40"/>
      <c r="D6" s="40"/>
      <c r="E6" s="40"/>
      <c r="F6" s="40"/>
      <c r="G6" s="40"/>
      <c r="H6" s="40"/>
      <c r="I6" s="40"/>
      <c r="J6" s="40"/>
      <c r="K6" s="40"/>
      <c r="L6" s="40"/>
      <c r="M6" s="40"/>
      <c r="N6" s="301"/>
      <c r="O6" s="327"/>
      <c r="P6" s="327"/>
      <c r="Q6" s="336">
        <v>43739</v>
      </c>
    </row>
    <row r="7" spans="1:17" ht="11.25" customHeight="1">
      <c r="A7" s="40"/>
      <c r="B7" s="40"/>
      <c r="C7" s="40"/>
      <c r="D7" s="40"/>
      <c r="E7" s="40"/>
      <c r="F7" s="40"/>
      <c r="G7" s="40"/>
      <c r="H7" s="40"/>
      <c r="I7" s="40"/>
      <c r="J7" s="40"/>
      <c r="K7" s="40"/>
      <c r="L7" s="40"/>
      <c r="M7" s="40"/>
      <c r="N7" s="301"/>
      <c r="O7" s="327"/>
      <c r="P7" s="327"/>
      <c r="Q7" s="327">
        <v>31</v>
      </c>
    </row>
    <row r="8" spans="1:17" ht="11.25" customHeight="1">
      <c r="A8" s="43"/>
      <c r="B8" s="43"/>
      <c r="C8" s="43"/>
      <c r="D8" s="43"/>
      <c r="E8" s="43"/>
      <c r="F8" s="43"/>
      <c r="G8" s="43"/>
      <c r="H8" s="43"/>
      <c r="I8" s="43"/>
      <c r="J8" s="43"/>
      <c r="K8" s="43"/>
      <c r="L8" s="43"/>
      <c r="M8" s="43"/>
      <c r="N8" s="304"/>
      <c r="O8" s="331"/>
      <c r="P8" s="331"/>
      <c r="Q8" s="331"/>
    </row>
    <row r="9" spans="1:17" ht="14.25" customHeight="1">
      <c r="A9" s="40" t="str">
        <f>"1.1. Producción de energía eléctrica en "&amp;LOWER(Q4)&amp;" "&amp;Q5&amp;" en comparación al mismo mes del año anterior"</f>
        <v>1.1. Producción de energía eléctrica en octubre 2019 en comparación al mismo mes del año anterior</v>
      </c>
      <c r="B9" s="40"/>
      <c r="C9" s="40"/>
      <c r="D9" s="40"/>
      <c r="E9" s="40"/>
      <c r="F9" s="40"/>
      <c r="G9" s="40"/>
      <c r="H9" s="40"/>
      <c r="I9" s="40"/>
      <c r="J9" s="40"/>
      <c r="K9" s="40"/>
      <c r="L9" s="40"/>
      <c r="M9" s="40"/>
      <c r="N9" s="301"/>
      <c r="O9" s="327"/>
      <c r="P9" s="327"/>
      <c r="Q9" s="327"/>
    </row>
    <row r="10" spans="1:17" ht="11.25" customHeight="1">
      <c r="A10" s="47"/>
      <c r="B10" s="44"/>
      <c r="C10" s="44"/>
      <c r="D10" s="44"/>
      <c r="E10" s="44"/>
      <c r="F10" s="44"/>
      <c r="G10" s="44"/>
      <c r="H10" s="44"/>
      <c r="I10" s="44"/>
      <c r="J10" s="44"/>
      <c r="K10" s="44"/>
      <c r="L10" s="44"/>
      <c r="M10" s="44"/>
      <c r="N10" s="303"/>
      <c r="O10" s="329"/>
      <c r="P10" s="329"/>
      <c r="Q10" s="329"/>
    </row>
    <row r="11" spans="1:17" ht="11.25" customHeight="1">
      <c r="A11" s="50"/>
      <c r="B11" s="50"/>
      <c r="C11" s="50"/>
      <c r="D11" s="50"/>
      <c r="E11" s="50"/>
      <c r="F11" s="50"/>
      <c r="G11" s="50"/>
      <c r="H11" s="50"/>
      <c r="I11" s="50"/>
      <c r="J11" s="50"/>
      <c r="K11" s="50"/>
      <c r="L11" s="50"/>
      <c r="M11" s="50"/>
      <c r="N11" s="305"/>
      <c r="O11" s="332"/>
      <c r="P11" s="332"/>
      <c r="Q11" s="332"/>
    </row>
    <row r="12" spans="1:17" ht="26.25" customHeight="1">
      <c r="A12" s="62" t="s">
        <v>23</v>
      </c>
      <c r="B12" s="879" t="s">
        <v>614</v>
      </c>
      <c r="C12" s="879"/>
      <c r="D12" s="879"/>
      <c r="E12" s="879"/>
      <c r="F12" s="879"/>
      <c r="G12" s="879"/>
      <c r="H12" s="879"/>
      <c r="I12" s="879"/>
      <c r="J12" s="879"/>
      <c r="K12" s="879"/>
      <c r="L12" s="879"/>
      <c r="M12" s="879"/>
      <c r="N12" s="303"/>
      <c r="O12" s="329"/>
      <c r="P12" s="329"/>
      <c r="Q12" s="329"/>
    </row>
    <row r="13" spans="1:17" ht="12.75" customHeight="1">
      <c r="A13" s="40"/>
      <c r="B13" s="64"/>
      <c r="C13" s="64"/>
      <c r="D13" s="64"/>
      <c r="E13" s="64"/>
      <c r="F13" s="64"/>
      <c r="G13" s="64"/>
      <c r="H13" s="64"/>
      <c r="I13" s="64"/>
      <c r="J13" s="64"/>
      <c r="K13" s="64"/>
      <c r="L13" s="64"/>
      <c r="M13" s="44"/>
      <c r="N13" s="303"/>
      <c r="O13" s="329"/>
      <c r="P13" s="329"/>
      <c r="Q13" s="329"/>
    </row>
    <row r="14" spans="1:17" ht="28.5" customHeight="1">
      <c r="A14" s="62" t="s">
        <v>23</v>
      </c>
      <c r="B14" s="879" t="s">
        <v>615</v>
      </c>
      <c r="C14" s="879"/>
      <c r="D14" s="879"/>
      <c r="E14" s="879"/>
      <c r="F14" s="879"/>
      <c r="G14" s="879"/>
      <c r="H14" s="879"/>
      <c r="I14" s="879"/>
      <c r="J14" s="879"/>
      <c r="K14" s="879"/>
      <c r="L14" s="879"/>
      <c r="M14" s="879"/>
      <c r="N14" s="303"/>
      <c r="O14" s="329"/>
      <c r="P14" s="329"/>
      <c r="Q14" s="329"/>
    </row>
    <row r="15" spans="1:17" ht="15" customHeight="1">
      <c r="A15" s="63"/>
      <c r="B15" s="64"/>
      <c r="C15" s="64"/>
      <c r="D15" s="64"/>
      <c r="E15" s="64"/>
      <c r="F15" s="64"/>
      <c r="G15" s="64"/>
      <c r="H15" s="64"/>
      <c r="I15" s="64"/>
      <c r="J15" s="64"/>
      <c r="K15" s="64"/>
      <c r="L15" s="64"/>
      <c r="M15" s="44"/>
      <c r="N15" s="303"/>
      <c r="O15" s="329"/>
      <c r="P15" s="329"/>
      <c r="Q15" s="329"/>
    </row>
    <row r="16" spans="1:17" ht="59.25" customHeight="1">
      <c r="A16" s="62" t="s">
        <v>23</v>
      </c>
      <c r="B16" s="879" t="s">
        <v>616</v>
      </c>
      <c r="C16" s="879"/>
      <c r="D16" s="879"/>
      <c r="E16" s="879"/>
      <c r="F16" s="879"/>
      <c r="G16" s="879"/>
      <c r="H16" s="879"/>
      <c r="I16" s="879"/>
      <c r="J16" s="879"/>
      <c r="K16" s="879"/>
      <c r="L16" s="879"/>
      <c r="M16" s="879"/>
      <c r="N16" s="303"/>
      <c r="O16" s="329"/>
      <c r="P16" s="329"/>
      <c r="Q16" s="329"/>
    </row>
    <row r="17" spans="1:18" ht="17.25" customHeight="1">
      <c r="A17" s="44"/>
      <c r="B17" s="44"/>
      <c r="C17" s="44"/>
      <c r="D17" s="44"/>
      <c r="E17" s="44"/>
      <c r="F17" s="44"/>
      <c r="G17" s="44"/>
      <c r="H17" s="44"/>
      <c r="I17" s="44"/>
      <c r="J17" s="44"/>
      <c r="K17" s="44"/>
      <c r="L17" s="44"/>
      <c r="M17" s="44"/>
      <c r="N17" s="303"/>
      <c r="O17" s="329"/>
      <c r="P17" s="329"/>
      <c r="Q17" s="329"/>
    </row>
    <row r="18" spans="1:18" ht="25.5" customHeight="1">
      <c r="A18" s="61" t="s">
        <v>23</v>
      </c>
      <c r="B18" s="878" t="s">
        <v>617</v>
      </c>
      <c r="C18" s="878"/>
      <c r="D18" s="878"/>
      <c r="E18" s="878"/>
      <c r="F18" s="878"/>
      <c r="G18" s="878"/>
      <c r="H18" s="878"/>
      <c r="I18" s="878"/>
      <c r="J18" s="878"/>
      <c r="K18" s="878"/>
      <c r="L18" s="878"/>
      <c r="M18" s="878"/>
      <c r="N18" s="303"/>
      <c r="O18" s="329"/>
      <c r="P18" s="329"/>
      <c r="Q18" s="329"/>
    </row>
    <row r="19" spans="1:18" ht="11.25" customHeight="1">
      <c r="A19" s="44"/>
      <c r="B19" s="44"/>
      <c r="C19" s="44"/>
      <c r="D19" s="44"/>
      <c r="E19" s="44"/>
      <c r="F19" s="44"/>
      <c r="G19" s="44"/>
      <c r="H19" s="44"/>
      <c r="I19" s="44"/>
      <c r="J19" s="44"/>
      <c r="K19" s="44"/>
      <c r="L19" s="44"/>
      <c r="M19" s="44"/>
      <c r="N19" s="303"/>
      <c r="O19" s="329"/>
      <c r="P19" s="329"/>
      <c r="Q19" s="329"/>
    </row>
    <row r="20" spans="1:18" ht="15.75" customHeight="1">
      <c r="A20" s="44"/>
      <c r="B20" s="44"/>
      <c r="C20" s="877" t="str">
        <f>+UPPER(Q4)&amp;" "&amp;Q5</f>
        <v>OCTUBRE 2019</v>
      </c>
      <c r="D20" s="877"/>
      <c r="E20" s="877"/>
      <c r="F20" s="40"/>
      <c r="G20" s="40"/>
      <c r="H20" s="40"/>
      <c r="I20" s="877" t="str">
        <f>+UPPER(Q4)&amp;" "&amp;Q5-1</f>
        <v>OCTUBRE 2018</v>
      </c>
      <c r="J20" s="877"/>
      <c r="K20" s="877"/>
      <c r="L20" s="44"/>
      <c r="M20" s="44"/>
      <c r="Q20" s="329"/>
    </row>
    <row r="21" spans="1:18" ht="11.25" customHeight="1">
      <c r="A21" s="44"/>
      <c r="B21" s="44"/>
      <c r="C21" s="44"/>
      <c r="D21" s="44"/>
      <c r="E21" s="44"/>
      <c r="F21" s="44"/>
      <c r="G21" s="44"/>
      <c r="H21" s="44"/>
      <c r="I21" s="44"/>
      <c r="J21" s="44"/>
      <c r="K21" s="44"/>
      <c r="L21" s="44"/>
      <c r="M21" s="44"/>
      <c r="Q21" s="329"/>
    </row>
    <row r="22" spans="1:18" ht="11.25" customHeight="1">
      <c r="A22" s="51"/>
      <c r="B22" s="52"/>
      <c r="C22" s="52"/>
      <c r="D22" s="52"/>
      <c r="E22" s="52"/>
      <c r="F22" s="52"/>
      <c r="G22" s="52"/>
      <c r="H22" s="52"/>
      <c r="I22" s="52"/>
      <c r="J22" s="52"/>
      <c r="K22" s="52"/>
      <c r="L22" s="52"/>
      <c r="M22" s="52"/>
      <c r="N22" s="362" t="s">
        <v>31</v>
      </c>
      <c r="O22" s="832"/>
      <c r="P22" s="832"/>
    </row>
    <row r="23" spans="1:18" ht="11.25" customHeight="1">
      <c r="A23" s="51"/>
      <c r="B23" s="52"/>
      <c r="C23" s="52"/>
      <c r="D23" s="52"/>
      <c r="E23" s="52"/>
      <c r="F23" s="52"/>
      <c r="G23" s="52"/>
      <c r="H23" s="52"/>
      <c r="I23" s="52"/>
      <c r="J23" s="52"/>
      <c r="K23" s="52"/>
      <c r="L23" s="52"/>
      <c r="M23" s="52"/>
      <c r="N23" s="362" t="s">
        <v>24</v>
      </c>
      <c r="O23" s="833">
        <v>2126.1102036450002</v>
      </c>
      <c r="P23" s="833">
        <v>2372.0296140100004</v>
      </c>
      <c r="Q23" s="334"/>
    </row>
    <row r="24" spans="1:18" ht="11.25" customHeight="1">
      <c r="A24" s="44"/>
      <c r="B24" s="44"/>
      <c r="C24" s="44"/>
      <c r="D24" s="44"/>
      <c r="E24" s="43"/>
      <c r="F24" s="44"/>
      <c r="G24" s="44"/>
      <c r="H24" s="44"/>
      <c r="I24" s="44"/>
      <c r="J24" s="44"/>
      <c r="K24" s="44"/>
      <c r="L24" s="44"/>
      <c r="M24" s="43"/>
      <c r="N24" s="363" t="s">
        <v>25</v>
      </c>
      <c r="O24" s="834">
        <v>2074.23717308</v>
      </c>
      <c r="P24" s="834">
        <v>1742.6842013925002</v>
      </c>
      <c r="Q24" s="333"/>
      <c r="R24" s="333"/>
    </row>
    <row r="25" spans="1:18" ht="11.25" customHeight="1">
      <c r="A25" s="44"/>
      <c r="B25" s="44"/>
      <c r="C25" s="44"/>
      <c r="D25" s="44"/>
      <c r="E25" s="44"/>
      <c r="F25" s="44"/>
      <c r="G25" s="44"/>
      <c r="H25" s="44"/>
      <c r="I25" s="44"/>
      <c r="J25" s="53"/>
      <c r="K25" s="53"/>
      <c r="L25" s="44"/>
      <c r="M25" s="44"/>
      <c r="N25" s="363" t="s">
        <v>26</v>
      </c>
      <c r="O25" s="834">
        <v>8.6008893574999998</v>
      </c>
      <c r="P25" s="834">
        <v>0</v>
      </c>
      <c r="Q25" s="335"/>
    </row>
    <row r="26" spans="1:18" ht="11.25" customHeight="1">
      <c r="A26" s="44"/>
      <c r="B26" s="44"/>
      <c r="C26" s="44"/>
      <c r="D26" s="44"/>
      <c r="E26" s="44"/>
      <c r="F26" s="44"/>
      <c r="G26" s="44"/>
      <c r="H26" s="44"/>
      <c r="I26" s="44"/>
      <c r="J26" s="53"/>
      <c r="K26" s="53"/>
      <c r="L26" s="44"/>
      <c r="M26" s="44"/>
      <c r="N26" s="362" t="s">
        <v>27</v>
      </c>
      <c r="O26" s="833">
        <v>8.3248968874999996</v>
      </c>
      <c r="P26" s="833">
        <v>1.4536476700000001</v>
      </c>
      <c r="Q26" s="335"/>
    </row>
    <row r="27" spans="1:18" ht="11.25" customHeight="1">
      <c r="A27" s="44"/>
      <c r="B27" s="44"/>
      <c r="C27" s="44"/>
      <c r="D27" s="44"/>
      <c r="E27" s="44"/>
      <c r="F27" s="44"/>
      <c r="G27" s="44"/>
      <c r="H27" s="44"/>
      <c r="I27" s="44"/>
      <c r="J27" s="53"/>
      <c r="K27" s="44"/>
      <c r="L27" s="44"/>
      <c r="M27" s="44"/>
      <c r="N27" s="362" t="s">
        <v>28</v>
      </c>
      <c r="O27" s="833">
        <v>26.186359665000001</v>
      </c>
      <c r="P27" s="833">
        <v>13.903071712500001</v>
      </c>
      <c r="Q27" s="335"/>
    </row>
    <row r="28" spans="1:18" ht="11.25" customHeight="1">
      <c r="A28" s="44"/>
      <c r="B28" s="44"/>
      <c r="C28" s="53"/>
      <c r="D28" s="53"/>
      <c r="E28" s="53"/>
      <c r="F28" s="53"/>
      <c r="G28" s="53"/>
      <c r="H28" s="53"/>
      <c r="I28" s="53"/>
      <c r="J28" s="53"/>
      <c r="K28" s="53"/>
      <c r="L28" s="44"/>
      <c r="M28" s="44"/>
      <c r="N28" s="362" t="s">
        <v>29</v>
      </c>
      <c r="O28" s="833">
        <v>162.04094952</v>
      </c>
      <c r="P28" s="833">
        <v>149.6194183675</v>
      </c>
      <c r="Q28" s="335"/>
    </row>
    <row r="29" spans="1:18" ht="11.25" customHeight="1">
      <c r="A29" s="44"/>
      <c r="B29" s="44"/>
      <c r="C29" s="53"/>
      <c r="D29" s="53"/>
      <c r="E29" s="53"/>
      <c r="F29" s="53"/>
      <c r="G29" s="53"/>
      <c r="H29" s="53"/>
      <c r="I29" s="53"/>
      <c r="J29" s="53"/>
      <c r="K29" s="53"/>
      <c r="L29" s="44"/>
      <c r="M29" s="44"/>
      <c r="N29" s="362" t="s">
        <v>30</v>
      </c>
      <c r="O29" s="833">
        <v>77.070130602500001</v>
      </c>
      <c r="P29" s="833">
        <v>74.899055544999996</v>
      </c>
      <c r="Q29" s="335"/>
    </row>
    <row r="30" spans="1:18" ht="11.25" customHeight="1">
      <c r="A30" s="44"/>
      <c r="B30" s="44"/>
      <c r="C30" s="53"/>
      <c r="D30" s="53"/>
      <c r="E30" s="53"/>
      <c r="F30" s="53"/>
      <c r="G30" s="53"/>
      <c r="H30" s="53"/>
      <c r="I30" s="53"/>
      <c r="J30" s="53"/>
      <c r="K30" s="53"/>
      <c r="L30" s="44"/>
      <c r="M30" s="44"/>
      <c r="N30" s="362"/>
      <c r="O30" s="335"/>
      <c r="P30" s="335"/>
      <c r="Q30" s="335"/>
    </row>
    <row r="31" spans="1:18" ht="11.25" customHeight="1">
      <c r="A31" s="44"/>
      <c r="B31" s="44"/>
      <c r="C31" s="53"/>
      <c r="D31" s="53"/>
      <c r="E31" s="53"/>
      <c r="F31" s="53"/>
      <c r="G31" s="53"/>
      <c r="H31" s="53"/>
      <c r="I31" s="53"/>
      <c r="J31" s="53"/>
      <c r="K31" s="53"/>
      <c r="L31" s="44"/>
      <c r="M31" s="44"/>
      <c r="O31" s="384"/>
      <c r="P31" s="384"/>
      <c r="Q31" s="385"/>
    </row>
    <row r="32" spans="1:18" ht="11.25" customHeight="1">
      <c r="A32" s="44"/>
      <c r="B32" s="44"/>
      <c r="C32" s="53"/>
      <c r="D32" s="53"/>
      <c r="E32" s="53"/>
      <c r="F32" s="53"/>
      <c r="G32" s="53"/>
      <c r="H32" s="53"/>
      <c r="I32" s="53"/>
      <c r="J32" s="53"/>
      <c r="K32" s="53"/>
      <c r="L32" s="44"/>
      <c r="M32" s="44"/>
      <c r="Q32" s="329"/>
    </row>
    <row r="33" spans="1:17" ht="11.25" customHeight="1">
      <c r="A33" s="44"/>
      <c r="B33" s="44"/>
      <c r="C33" s="53"/>
      <c r="D33" s="53"/>
      <c r="E33" s="53"/>
      <c r="F33" s="53"/>
      <c r="G33" s="53"/>
      <c r="H33" s="53"/>
      <c r="I33" s="53"/>
      <c r="J33" s="53"/>
      <c r="K33" s="53"/>
      <c r="L33" s="44"/>
      <c r="M33" s="44"/>
      <c r="Q33" s="329"/>
    </row>
    <row r="34" spans="1:17" ht="11.25" customHeight="1">
      <c r="A34" s="44"/>
      <c r="B34" s="44"/>
      <c r="C34" s="53"/>
      <c r="D34" s="53"/>
      <c r="E34" s="53"/>
      <c r="F34" s="53"/>
      <c r="G34" s="53"/>
      <c r="H34" s="53"/>
      <c r="I34" s="53"/>
      <c r="J34" s="53"/>
      <c r="K34" s="53"/>
      <c r="L34" s="44"/>
      <c r="M34" s="44"/>
      <c r="Q34" s="329"/>
    </row>
    <row r="35" spans="1:17" ht="11.25" customHeight="1">
      <c r="A35" s="54"/>
      <c r="B35" s="54"/>
      <c r="C35" s="55"/>
      <c r="D35" s="55"/>
      <c r="E35" s="55"/>
      <c r="F35" s="55"/>
      <c r="G35" s="55"/>
      <c r="H35" s="55"/>
      <c r="I35" s="55"/>
      <c r="J35" s="54"/>
      <c r="K35" s="54"/>
      <c r="L35" s="54"/>
      <c r="M35" s="54"/>
      <c r="Q35" s="329"/>
    </row>
    <row r="36" spans="1:17" ht="11.25" customHeight="1">
      <c r="A36" s="54"/>
      <c r="B36" s="54"/>
      <c r="C36" s="55"/>
      <c r="D36" s="55"/>
      <c r="E36" s="55"/>
      <c r="F36" s="55"/>
      <c r="G36" s="55"/>
      <c r="H36" s="55"/>
      <c r="I36" s="55"/>
      <c r="J36" s="54"/>
      <c r="K36" s="54"/>
      <c r="L36" s="54"/>
      <c r="M36" s="54"/>
      <c r="Q36" s="329"/>
    </row>
    <row r="37" spans="1:17" ht="11.25" customHeight="1">
      <c r="A37" s="54"/>
      <c r="B37" s="54"/>
      <c r="C37" s="55"/>
      <c r="D37" s="55"/>
      <c r="E37" s="55"/>
      <c r="F37" s="55"/>
      <c r="G37" s="55"/>
      <c r="H37" s="55"/>
      <c r="I37" s="55"/>
      <c r="J37" s="54"/>
      <c r="K37" s="54"/>
      <c r="L37" s="54"/>
      <c r="M37" s="54"/>
      <c r="N37" s="303"/>
      <c r="O37" s="329"/>
      <c r="P37" s="329"/>
      <c r="Q37" s="329"/>
    </row>
    <row r="38" spans="1:17" ht="11.25" customHeight="1">
      <c r="A38" s="54"/>
      <c r="B38" s="54"/>
      <c r="C38" s="55"/>
      <c r="D38" s="55"/>
      <c r="E38" s="55"/>
      <c r="F38" s="55"/>
      <c r="G38" s="55"/>
      <c r="H38" s="55"/>
      <c r="I38" s="55"/>
      <c r="J38" s="54"/>
      <c r="K38" s="54"/>
      <c r="L38" s="54"/>
      <c r="M38" s="54"/>
      <c r="N38" s="303"/>
      <c r="O38" s="329"/>
      <c r="P38" s="329"/>
      <c r="Q38" s="329"/>
    </row>
    <row r="39" spans="1:17" ht="11.25" customHeight="1">
      <c r="A39" s="54"/>
      <c r="B39" s="54"/>
      <c r="C39" s="55"/>
      <c r="D39" s="55"/>
      <c r="E39" s="55"/>
      <c r="F39" s="55"/>
      <c r="G39" s="55"/>
      <c r="H39" s="55"/>
      <c r="I39" s="55"/>
      <c r="J39" s="54"/>
      <c r="K39" s="54"/>
      <c r="L39" s="54"/>
      <c r="M39" s="54"/>
      <c r="N39" s="303"/>
      <c r="O39" s="329"/>
      <c r="P39" s="329"/>
      <c r="Q39" s="329"/>
    </row>
    <row r="40" spans="1:17" ht="11.25" customHeight="1">
      <c r="A40" s="54"/>
      <c r="B40" s="54"/>
      <c r="C40" s="55"/>
      <c r="D40" s="55"/>
      <c r="E40" s="55"/>
      <c r="F40" s="55"/>
      <c r="G40" s="55"/>
      <c r="H40" s="55"/>
      <c r="I40" s="55"/>
      <c r="J40" s="54"/>
      <c r="K40" s="54"/>
      <c r="L40" s="54"/>
      <c r="M40" s="54"/>
      <c r="N40" s="303"/>
      <c r="O40" s="329"/>
      <c r="P40" s="329"/>
      <c r="Q40" s="329"/>
    </row>
    <row r="41" spans="1:17" ht="11.25" customHeight="1">
      <c r="A41" s="54"/>
      <c r="B41" s="54"/>
      <c r="C41" s="54"/>
      <c r="D41" s="55"/>
      <c r="E41" s="55"/>
      <c r="F41" s="55"/>
      <c r="G41" s="55"/>
      <c r="H41" s="54"/>
      <c r="I41" s="54"/>
      <c r="J41" s="54"/>
      <c r="K41" s="54"/>
      <c r="L41" s="54"/>
      <c r="M41" s="54"/>
      <c r="N41" s="303"/>
      <c r="O41" s="329"/>
      <c r="P41" s="329"/>
      <c r="Q41" s="329"/>
    </row>
    <row r="42" spans="1:17" ht="11.25" customHeight="1">
      <c r="A42" s="54"/>
      <c r="B42" s="54"/>
      <c r="C42" s="55"/>
      <c r="D42" s="55"/>
      <c r="E42" s="55"/>
      <c r="F42" s="55"/>
      <c r="G42" s="55"/>
      <c r="H42" s="55"/>
      <c r="I42" s="55"/>
      <c r="J42" s="54"/>
      <c r="K42" s="54"/>
      <c r="L42" s="54"/>
      <c r="M42" s="54"/>
      <c r="N42" s="303"/>
      <c r="O42" s="329"/>
      <c r="P42" s="329"/>
      <c r="Q42" s="329"/>
    </row>
    <row r="43" spans="1:17" ht="11.25" customHeight="1">
      <c r="A43" s="54"/>
      <c r="B43" s="54"/>
      <c r="C43" s="55"/>
      <c r="D43" s="55"/>
      <c r="E43" s="55"/>
      <c r="F43" s="55"/>
      <c r="G43" s="55"/>
      <c r="H43" s="55"/>
      <c r="I43" s="55"/>
      <c r="J43" s="54"/>
      <c r="K43" s="54"/>
      <c r="L43" s="54"/>
      <c r="M43" s="54"/>
      <c r="N43" s="303"/>
      <c r="O43" s="329"/>
      <c r="P43" s="329"/>
      <c r="Q43" s="329"/>
    </row>
    <row r="44" spans="1:17" ht="11.25" customHeight="1">
      <c r="A44" s="54"/>
      <c r="B44" s="54"/>
      <c r="C44" s="55"/>
      <c r="D44" s="55"/>
      <c r="E44" s="55"/>
      <c r="F44" s="55"/>
      <c r="G44" s="55"/>
      <c r="H44" s="55"/>
      <c r="I44" s="55"/>
      <c r="J44" s="54"/>
      <c r="K44" s="54"/>
      <c r="L44" s="54"/>
      <c r="M44" s="54"/>
      <c r="N44" s="303"/>
      <c r="O44" s="329"/>
      <c r="P44" s="329"/>
      <c r="Q44" s="329"/>
    </row>
    <row r="45" spans="1:17" ht="11.25" customHeight="1">
      <c r="A45" s="54"/>
      <c r="B45" s="54"/>
      <c r="C45" s="55"/>
      <c r="D45" s="55"/>
      <c r="E45" s="55"/>
      <c r="F45" s="55"/>
      <c r="G45" s="55"/>
      <c r="H45" s="55"/>
      <c r="I45" s="55"/>
      <c r="J45" s="54"/>
      <c r="K45" s="54"/>
      <c r="L45" s="54"/>
      <c r="M45" s="54"/>
      <c r="N45" s="303"/>
      <c r="O45" s="329"/>
      <c r="P45" s="329"/>
      <c r="Q45" s="329"/>
    </row>
    <row r="46" spans="1:17" ht="11.25" customHeight="1">
      <c r="A46" s="54"/>
      <c r="B46" s="54"/>
      <c r="C46" s="54"/>
      <c r="D46" s="54"/>
      <c r="E46" s="54"/>
      <c r="F46" s="54"/>
      <c r="G46" s="54"/>
      <c r="H46" s="54"/>
      <c r="I46" s="54"/>
      <c r="J46" s="54"/>
      <c r="K46" s="54"/>
      <c r="L46" s="54"/>
      <c r="M46" s="54"/>
      <c r="N46" s="303"/>
      <c r="O46" s="329"/>
      <c r="P46" s="329"/>
      <c r="Q46" s="329"/>
    </row>
    <row r="47" spans="1:17" ht="16.5" customHeight="1">
      <c r="A47" s="54"/>
      <c r="B47" s="876" t="str">
        <f>"Total = "&amp;TEXT(ROUND(SUM(O23:O29),2),"0 000,00")&amp;" GWh"</f>
        <v>Total = 4 482,57 GWh</v>
      </c>
      <c r="C47" s="876"/>
      <c r="D47" s="876"/>
      <c r="E47" s="876"/>
      <c r="F47" s="54"/>
      <c r="G47" s="54"/>
      <c r="H47" s="875" t="str">
        <f>"Total = "&amp;TEXT(ROUND(SUM(P23:P29),2),"0 000,00")&amp;" GWh"</f>
        <v>Total = 4 354,59 GWh</v>
      </c>
      <c r="I47" s="875"/>
      <c r="J47" s="875"/>
      <c r="K47" s="875"/>
      <c r="L47" s="54"/>
      <c r="M47" s="54"/>
      <c r="N47" s="303"/>
      <c r="O47" s="329"/>
      <c r="P47" s="329"/>
      <c r="Q47" s="329"/>
    </row>
    <row r="48" spans="1:17" ht="11.25" customHeight="1">
      <c r="H48" s="54"/>
      <c r="I48" s="54"/>
      <c r="J48" s="54"/>
      <c r="K48" s="54"/>
      <c r="L48" s="54"/>
      <c r="M48" s="54"/>
      <c r="N48" s="303"/>
      <c r="O48" s="329"/>
      <c r="P48" s="329"/>
      <c r="Q48" s="329"/>
    </row>
    <row r="49" spans="1:17" ht="11.25" customHeight="1">
      <c r="B49" s="874" t="str">
        <f>"Gráfico 1: Comparación de producción mensual de electricidad en "&amp;Q4&amp;" por tipo de recurso energético."</f>
        <v>Gráfico 1: Comparación de producción mensual de electricidad en octubre por tipo de recurso energético.</v>
      </c>
      <c r="C49" s="874"/>
      <c r="D49" s="874"/>
      <c r="E49" s="874"/>
      <c r="F49" s="874"/>
      <c r="G49" s="874"/>
      <c r="H49" s="874"/>
      <c r="I49" s="874"/>
      <c r="J49" s="874"/>
      <c r="K49" s="874"/>
      <c r="L49" s="874"/>
      <c r="M49" s="237"/>
      <c r="N49" s="306"/>
      <c r="O49" s="329"/>
      <c r="P49" s="329"/>
      <c r="Q49" s="329"/>
    </row>
    <row r="50" spans="1:17" ht="11.25" customHeight="1">
      <c r="A50" s="54"/>
      <c r="B50" s="54"/>
      <c r="C50" s="45"/>
      <c r="D50" s="45"/>
      <c r="E50" s="54"/>
      <c r="F50" s="54"/>
      <c r="G50" s="54"/>
      <c r="H50" s="54"/>
      <c r="I50" s="54"/>
      <c r="J50" s="54"/>
      <c r="K50" s="54"/>
      <c r="L50" s="54"/>
      <c r="M50" s="54"/>
      <c r="N50" s="303"/>
      <c r="O50" s="329"/>
      <c r="P50" s="329"/>
      <c r="Q50" s="329"/>
    </row>
    <row r="51" spans="1:17" ht="11.25" customHeight="1">
      <c r="A51" s="54"/>
      <c r="B51" s="54"/>
      <c r="C51" s="54"/>
      <c r="D51" s="54"/>
      <c r="E51" s="54"/>
      <c r="F51" s="54"/>
      <c r="G51" s="54"/>
      <c r="H51" s="54"/>
      <c r="I51" s="54"/>
      <c r="J51" s="54"/>
      <c r="K51" s="54"/>
      <c r="L51" s="54"/>
      <c r="M51" s="54"/>
      <c r="N51" s="303"/>
      <c r="O51" s="329"/>
      <c r="P51" s="329"/>
      <c r="Q51" s="329"/>
    </row>
    <row r="52" spans="1:17" ht="11.25" customHeight="1">
      <c r="A52" s="54"/>
      <c r="B52" s="54"/>
      <c r="C52" s="54"/>
      <c r="D52" s="54"/>
      <c r="E52" s="54"/>
      <c r="F52" s="54"/>
      <c r="G52" s="54"/>
      <c r="H52" s="54"/>
      <c r="I52" s="54"/>
      <c r="J52" s="54"/>
      <c r="K52" s="54"/>
      <c r="L52" s="54"/>
      <c r="M52" s="54"/>
      <c r="N52" s="303"/>
      <c r="O52" s="329"/>
      <c r="P52" s="329"/>
      <c r="Q52" s="329"/>
    </row>
    <row r="53" spans="1:17" ht="11.25" customHeight="1">
      <c r="A53" s="54"/>
      <c r="B53" s="54"/>
      <c r="C53" s="54"/>
      <c r="D53" s="54"/>
      <c r="E53" s="54"/>
      <c r="F53" s="54"/>
      <c r="G53" s="54"/>
      <c r="H53" s="54"/>
      <c r="I53" s="54"/>
      <c r="J53" s="54"/>
      <c r="K53" s="54"/>
      <c r="L53" s="54"/>
      <c r="M53" s="54"/>
      <c r="N53" s="303"/>
      <c r="O53" s="329"/>
      <c r="P53" s="329"/>
      <c r="Q53" s="329"/>
    </row>
    <row r="54" spans="1:17" ht="11.25" customHeight="1">
      <c r="A54" s="9"/>
      <c r="B54" s="56"/>
      <c r="C54" s="56"/>
      <c r="D54" s="56"/>
      <c r="E54" s="56"/>
      <c r="F54" s="56"/>
      <c r="G54" s="56"/>
      <c r="H54" s="56"/>
      <c r="I54" s="56"/>
      <c r="J54" s="56"/>
      <c r="K54" s="57"/>
      <c r="L54" s="58"/>
    </row>
    <row r="55" spans="1:17" ht="11.25" customHeight="1">
      <c r="A55" s="9"/>
      <c r="B55" s="56"/>
      <c r="C55" s="56"/>
      <c r="D55" s="56"/>
      <c r="E55" s="56"/>
      <c r="F55" s="56"/>
      <c r="G55" s="56"/>
      <c r="H55" s="56"/>
      <c r="I55" s="56"/>
      <c r="J55" s="56"/>
      <c r="K55" s="57"/>
      <c r="L55" s="58"/>
    </row>
    <row r="56" spans="1:17" ht="11.25" customHeight="1">
      <c r="A56" s="59"/>
      <c r="B56" s="59"/>
      <c r="C56" s="59"/>
      <c r="D56" s="59"/>
      <c r="E56" s="59"/>
      <c r="F56" s="59"/>
      <c r="G56" s="59"/>
      <c r="H56" s="59"/>
      <c r="I56" s="59"/>
      <c r="J56" s="59"/>
      <c r="K56" s="59"/>
      <c r="L56" s="59"/>
    </row>
    <row r="57" spans="1:17" ht="11.25" customHeight="1">
      <c r="A57" s="59"/>
      <c r="B57" s="59"/>
      <c r="C57" s="59"/>
      <c r="D57" s="59"/>
      <c r="E57" s="59"/>
      <c r="F57" s="59"/>
      <c r="G57" s="59"/>
      <c r="H57" s="59"/>
      <c r="I57" s="59"/>
      <c r="J57" s="59"/>
      <c r="K57" s="59"/>
      <c r="L57" s="59"/>
    </row>
    <row r="58" spans="1:17" ht="11.25" customHeight="1">
      <c r="A58" s="59"/>
      <c r="B58" s="59"/>
      <c r="C58" s="59"/>
      <c r="D58" s="59"/>
      <c r="E58" s="59"/>
      <c r="F58" s="59"/>
      <c r="G58" s="59"/>
      <c r="H58" s="59"/>
      <c r="I58" s="59"/>
      <c r="J58" s="59"/>
      <c r="K58" s="59"/>
      <c r="L58" s="59"/>
    </row>
    <row r="59" spans="1:17" ht="11.25" customHeight="1">
      <c r="A59" s="59"/>
      <c r="B59" s="59"/>
      <c r="C59" s="59"/>
      <c r="D59" s="59"/>
      <c r="E59" s="59"/>
      <c r="F59" s="59"/>
      <c r="G59" s="59"/>
      <c r="H59" s="59"/>
      <c r="I59" s="59"/>
      <c r="J59" s="59"/>
      <c r="K59" s="59"/>
      <c r="L59" s="59"/>
    </row>
    <row r="60" spans="1:17" ht="11.25" customHeight="1">
      <c r="A60" s="59"/>
      <c r="B60" s="59"/>
      <c r="C60" s="59"/>
      <c r="D60" s="59"/>
      <c r="E60" s="59"/>
      <c r="F60" s="59"/>
      <c r="G60" s="59"/>
      <c r="H60" s="59"/>
      <c r="I60" s="59"/>
      <c r="J60" s="59"/>
      <c r="K60" s="59"/>
      <c r="L60" s="59"/>
    </row>
    <row r="61" spans="1:17" ht="12">
      <c r="A61" s="59"/>
      <c r="B61" s="59"/>
      <c r="C61" s="59"/>
      <c r="D61" s="59"/>
      <c r="E61" s="59"/>
      <c r="F61" s="59"/>
      <c r="G61" s="59"/>
      <c r="H61" s="59"/>
      <c r="I61" s="59"/>
      <c r="J61" s="59"/>
      <c r="K61" s="59"/>
      <c r="L61" s="59"/>
    </row>
    <row r="62" spans="1:17" ht="12">
      <c r="A62" s="59"/>
      <c r="B62" s="59"/>
      <c r="C62" s="59"/>
      <c r="D62" s="59"/>
      <c r="E62" s="59"/>
      <c r="F62" s="59"/>
      <c r="G62" s="59"/>
      <c r="H62" s="59"/>
      <c r="I62" s="59"/>
      <c r="J62" s="59"/>
      <c r="K62" s="59"/>
      <c r="L62" s="59"/>
    </row>
    <row r="63" spans="1:17" ht="12">
      <c r="A63" s="59"/>
      <c r="B63" s="59"/>
      <c r="C63" s="59"/>
      <c r="D63" s="59"/>
      <c r="E63" s="59"/>
      <c r="F63" s="59"/>
      <c r="G63" s="59"/>
      <c r="H63" s="59"/>
      <c r="I63" s="59"/>
      <c r="J63" s="59"/>
      <c r="K63" s="59"/>
      <c r="L63" s="59"/>
    </row>
    <row r="64" spans="1:17" ht="12">
      <c r="A64" s="59"/>
      <c r="B64" s="59"/>
      <c r="C64" s="59"/>
      <c r="D64" s="59"/>
      <c r="E64" s="59"/>
      <c r="F64" s="59"/>
      <c r="G64" s="59"/>
      <c r="H64" s="59"/>
      <c r="I64" s="59"/>
      <c r="J64" s="59"/>
      <c r="K64" s="59"/>
      <c r="L64" s="59"/>
    </row>
    <row r="65" spans="1:12" ht="12">
      <c r="A65" s="59"/>
      <c r="B65" s="59"/>
      <c r="C65" s="59"/>
      <c r="D65" s="59"/>
      <c r="E65" s="59"/>
      <c r="F65" s="59"/>
      <c r="G65" s="59"/>
      <c r="H65" s="59"/>
      <c r="I65" s="59"/>
      <c r="J65" s="59"/>
      <c r="K65" s="59"/>
      <c r="L65" s="59"/>
    </row>
    <row r="66" spans="1:12" ht="12">
      <c r="A66" s="59"/>
      <c r="B66" s="59"/>
      <c r="C66" s="59"/>
      <c r="D66" s="59"/>
      <c r="E66" s="59"/>
      <c r="F66" s="59"/>
      <c r="G66" s="59"/>
      <c r="H66" s="59"/>
      <c r="I66" s="59"/>
      <c r="J66" s="59"/>
      <c r="K66" s="59"/>
      <c r="L66" s="59"/>
    </row>
    <row r="67" spans="1:12" ht="12">
      <c r="A67" s="59"/>
      <c r="B67" s="59"/>
      <c r="C67" s="59"/>
      <c r="D67" s="59"/>
      <c r="E67" s="59"/>
      <c r="F67" s="59"/>
      <c r="G67" s="59"/>
      <c r="H67" s="59"/>
      <c r="I67" s="59"/>
      <c r="J67" s="59"/>
      <c r="K67" s="59"/>
      <c r="L67" s="59"/>
    </row>
  </sheetData>
  <mergeCells count="11">
    <mergeCell ref="A1:M1"/>
    <mergeCell ref="B49:L49"/>
    <mergeCell ref="H47:K47"/>
    <mergeCell ref="B47:E47"/>
    <mergeCell ref="I20:K20"/>
    <mergeCell ref="B18:M18"/>
    <mergeCell ref="B12:M12"/>
    <mergeCell ref="B14:M14"/>
    <mergeCell ref="B16:M16"/>
    <mergeCell ref="C3:J3"/>
    <mergeCell ref="C20:E20"/>
  </mergeCells>
  <pageMargins left="0.59055118110236227" right="0.39370078740157483" top="1.0236220472440944" bottom="0.62992125984251968" header="0.31496062992125984" footer="0.31496062992125984"/>
  <pageSetup paperSize="9" scale="97" orientation="portrait" r:id="rId1"/>
  <headerFooter>
    <oddHeader>&amp;R&amp;7Informe de la Operación Mensual-Octubre 2019
INFSGI-MES-10-2019
18/10/2019
Versión: 01</oddHeader>
    <oddFooter>&amp;LCOES, 2019&amp;C1&amp;RDirección Ejecutiva
Sub Dirección de Gestión de Información</oddFooter>
  </headerFooter>
  <ignoredErrors>
    <ignoredError sqref="C47:G47 I47:K47" formulaRange="1"/>
  </ignoredErrors>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0">
    <tabColor theme="4"/>
  </sheetPr>
  <dimension ref="B4:O65"/>
  <sheetViews>
    <sheetView showGridLines="0" view="pageBreakPreview" topLeftCell="A16" zoomScale="130" zoomScaleNormal="100" zoomScaleSheetLayoutView="130" workbookViewId="0">
      <selection activeCell="M12" sqref="M12"/>
    </sheetView>
  </sheetViews>
  <sheetFormatPr defaultColWidth="9.33203125" defaultRowHeight="11.25"/>
  <sheetData>
    <row r="4" spans="2:15">
      <c r="B4" s="25"/>
      <c r="C4" s="25"/>
      <c r="D4" s="25"/>
      <c r="E4" s="25"/>
      <c r="F4" s="25"/>
      <c r="G4" s="25"/>
      <c r="H4" s="25"/>
      <c r="I4" s="25"/>
      <c r="J4" s="25"/>
      <c r="K4" s="25"/>
      <c r="L4" s="25"/>
      <c r="M4" s="25"/>
      <c r="N4" s="25"/>
      <c r="O4" s="25"/>
    </row>
    <row r="5" spans="2:15">
      <c r="B5" s="25"/>
      <c r="C5" s="25"/>
      <c r="D5" s="25"/>
      <c r="E5" s="25"/>
      <c r="F5" s="25"/>
      <c r="G5" s="25"/>
      <c r="H5" s="25"/>
      <c r="I5" s="25"/>
      <c r="J5" s="25"/>
      <c r="K5" s="25"/>
      <c r="L5" s="25"/>
      <c r="M5" s="25"/>
      <c r="N5" s="25"/>
      <c r="O5" s="25"/>
    </row>
    <row r="6" spans="2:15">
      <c r="B6" s="25"/>
      <c r="C6" s="25"/>
      <c r="D6" s="25"/>
      <c r="E6" s="25"/>
      <c r="F6" s="25"/>
      <c r="G6" s="25"/>
      <c r="H6" s="25"/>
      <c r="I6" s="25"/>
      <c r="J6" s="25"/>
      <c r="K6" s="25"/>
      <c r="L6" s="25"/>
      <c r="M6" s="25"/>
      <c r="N6" s="25"/>
      <c r="O6" s="25"/>
    </row>
    <row r="7" spans="2:15">
      <c r="B7" s="219"/>
      <c r="C7" s="25"/>
      <c r="D7" s="25"/>
      <c r="E7" s="25"/>
      <c r="F7" s="25"/>
      <c r="G7" s="25"/>
      <c r="H7" s="25"/>
      <c r="I7" s="25"/>
      <c r="J7" s="25"/>
      <c r="K7" s="25"/>
      <c r="L7" s="25"/>
      <c r="M7" s="25"/>
      <c r="N7" s="25"/>
      <c r="O7" s="25"/>
    </row>
    <row r="8" spans="2:15">
      <c r="B8" s="219"/>
      <c r="C8" s="25"/>
      <c r="D8" s="25"/>
      <c r="E8" s="25"/>
      <c r="F8" s="25"/>
      <c r="G8" s="25"/>
      <c r="H8" s="25"/>
      <c r="I8" s="25"/>
      <c r="J8" s="25"/>
      <c r="K8" s="25"/>
      <c r="L8" s="25"/>
      <c r="M8" s="25"/>
      <c r="N8" s="25"/>
      <c r="O8" s="25"/>
    </row>
    <row r="9" spans="2:15">
      <c r="B9" s="219"/>
      <c r="C9" s="25"/>
      <c r="D9" s="25"/>
      <c r="E9" s="25"/>
      <c r="F9" s="25"/>
      <c r="G9" s="25"/>
      <c r="H9" s="25"/>
      <c r="I9" s="25"/>
      <c r="J9" s="25"/>
      <c r="K9" s="25"/>
      <c r="L9" s="25"/>
      <c r="M9" s="25"/>
      <c r="N9" s="25"/>
      <c r="O9" s="25"/>
    </row>
    <row r="10" spans="2:15">
      <c r="B10" s="25"/>
      <c r="C10" s="25"/>
      <c r="D10" s="25"/>
      <c r="E10" s="25"/>
      <c r="F10" s="25"/>
      <c r="G10" s="25"/>
      <c r="H10" s="25"/>
      <c r="I10" s="25"/>
      <c r="J10" s="25"/>
      <c r="K10" s="25"/>
      <c r="L10" s="25"/>
      <c r="M10" s="25"/>
      <c r="N10" s="25"/>
      <c r="O10" s="25"/>
    </row>
    <row r="11" spans="2:15">
      <c r="B11" s="25"/>
      <c r="C11" s="25"/>
      <c r="D11" s="25"/>
      <c r="E11" s="25"/>
      <c r="F11" s="25"/>
      <c r="G11" s="25"/>
      <c r="H11" s="25"/>
      <c r="I11" s="25"/>
      <c r="J11" s="25"/>
      <c r="K11" s="25"/>
      <c r="L11" s="25"/>
      <c r="M11" s="25"/>
      <c r="N11" s="25"/>
      <c r="O11" s="25"/>
    </row>
    <row r="12" spans="2:15">
      <c r="B12" s="25"/>
      <c r="C12" s="25"/>
      <c r="D12" s="25"/>
      <c r="E12" s="25"/>
      <c r="F12" s="25"/>
      <c r="G12" s="25"/>
      <c r="H12" s="25"/>
      <c r="I12" s="25"/>
      <c r="J12" s="25"/>
      <c r="K12" s="25"/>
      <c r="L12" s="25"/>
      <c r="M12" s="25"/>
      <c r="N12" s="25"/>
      <c r="O12" s="25"/>
    </row>
    <row r="13" spans="2:15" ht="12.75">
      <c r="B13" s="300"/>
      <c r="C13" s="25"/>
      <c r="D13" s="25"/>
      <c r="E13" s="25"/>
      <c r="F13" s="25"/>
      <c r="G13" s="25"/>
      <c r="H13" s="25"/>
      <c r="I13" s="25"/>
      <c r="J13" s="25"/>
      <c r="K13" s="25"/>
      <c r="L13" s="25"/>
      <c r="M13" s="25"/>
      <c r="N13" s="25"/>
      <c r="O13" s="25"/>
    </row>
    <row r="14" spans="2:15">
      <c r="B14" s="25"/>
      <c r="C14" s="25"/>
      <c r="D14" s="25"/>
      <c r="E14" s="25"/>
      <c r="F14" s="25"/>
      <c r="G14" s="25"/>
      <c r="H14" s="25"/>
      <c r="I14" s="25"/>
      <c r="J14" s="25"/>
      <c r="K14" s="25"/>
      <c r="L14" s="25"/>
      <c r="M14" s="25"/>
      <c r="N14" s="25"/>
      <c r="O14" s="25"/>
    </row>
    <row r="15" spans="2:15">
      <c r="B15" s="25"/>
      <c r="C15" s="25"/>
      <c r="D15" s="25"/>
      <c r="E15" s="25"/>
      <c r="F15" s="25"/>
      <c r="G15" s="25"/>
      <c r="H15" s="25"/>
      <c r="I15" s="25"/>
      <c r="J15" s="25"/>
      <c r="K15" s="25"/>
      <c r="L15" s="25"/>
      <c r="M15" s="25"/>
      <c r="N15" s="25"/>
      <c r="O15" s="25"/>
    </row>
    <row r="16" spans="2:15">
      <c r="B16" s="25"/>
      <c r="C16" s="25"/>
      <c r="D16" s="25"/>
      <c r="E16" s="25"/>
      <c r="F16" s="25"/>
      <c r="G16" s="25"/>
      <c r="H16" s="25"/>
      <c r="I16" s="25"/>
      <c r="J16" s="25"/>
      <c r="K16" s="25"/>
      <c r="L16" s="25"/>
      <c r="M16" s="25"/>
      <c r="N16" s="25"/>
      <c r="O16" s="25"/>
    </row>
    <row r="17" spans="2:15">
      <c r="B17" s="25"/>
      <c r="C17" s="25"/>
      <c r="D17" s="25"/>
      <c r="E17" s="25"/>
      <c r="F17" s="25"/>
      <c r="G17" s="25"/>
      <c r="H17" s="25"/>
      <c r="I17" s="25"/>
      <c r="J17" s="25"/>
      <c r="K17" s="25"/>
      <c r="L17" s="25"/>
      <c r="M17" s="25"/>
      <c r="N17" s="25"/>
      <c r="O17" s="25"/>
    </row>
    <row r="18" spans="2:15">
      <c r="B18" s="25"/>
      <c r="C18" s="25"/>
      <c r="D18" s="25"/>
      <c r="E18" s="25"/>
      <c r="F18" s="25"/>
      <c r="G18" s="25"/>
      <c r="H18" s="25"/>
      <c r="I18" s="25"/>
      <c r="J18" s="25"/>
      <c r="K18" s="25"/>
      <c r="L18" s="25"/>
      <c r="M18" s="25"/>
      <c r="N18" s="25"/>
      <c r="O18" s="25"/>
    </row>
    <row r="19" spans="2:15">
      <c r="B19" s="25"/>
      <c r="C19" s="25"/>
      <c r="D19" s="25"/>
      <c r="E19" s="25"/>
      <c r="F19" s="25"/>
      <c r="G19" s="25"/>
      <c r="H19" s="25"/>
      <c r="I19" s="25"/>
      <c r="J19" s="25" t="s">
        <v>8</v>
      </c>
      <c r="K19" s="25"/>
      <c r="L19" s="25"/>
      <c r="M19" s="25"/>
      <c r="N19" s="25"/>
      <c r="O19" s="25"/>
    </row>
    <row r="20" spans="2:15">
      <c r="B20" s="25"/>
      <c r="C20" s="25"/>
      <c r="D20" s="25"/>
      <c r="E20" s="25"/>
      <c r="F20" s="25"/>
      <c r="G20" s="25"/>
      <c r="H20" s="25"/>
      <c r="I20" s="25"/>
      <c r="J20" s="25"/>
      <c r="K20" s="25"/>
      <c r="L20" s="25"/>
      <c r="M20" s="25"/>
      <c r="N20" s="25"/>
      <c r="O20" s="25"/>
    </row>
    <row r="21" spans="2:15">
      <c r="B21" s="25"/>
      <c r="C21" s="25"/>
      <c r="D21" s="25"/>
      <c r="E21" s="25"/>
      <c r="F21" s="25"/>
      <c r="G21" s="25"/>
      <c r="H21" s="25"/>
      <c r="I21" s="25"/>
      <c r="J21" s="25"/>
      <c r="K21" s="25"/>
      <c r="L21" s="25"/>
      <c r="M21" s="25"/>
      <c r="N21" s="25"/>
      <c r="O21" s="25"/>
    </row>
    <row r="22" spans="2:15">
      <c r="B22" s="25"/>
      <c r="C22" s="25"/>
      <c r="D22" s="25"/>
      <c r="E22" s="25"/>
      <c r="F22" s="25"/>
      <c r="G22" s="25"/>
      <c r="H22" s="25"/>
      <c r="I22" s="25"/>
      <c r="J22" s="25"/>
      <c r="K22" s="25"/>
      <c r="L22" s="25"/>
      <c r="M22" s="25"/>
      <c r="N22" s="25"/>
      <c r="O22" s="25"/>
    </row>
    <row r="23" spans="2:15">
      <c r="B23" s="25"/>
      <c r="C23" s="25"/>
      <c r="D23" s="25"/>
      <c r="E23" s="25"/>
      <c r="F23" s="25"/>
      <c r="G23" s="25"/>
      <c r="H23" s="25"/>
      <c r="I23" s="25"/>
      <c r="J23" s="25"/>
      <c r="K23" s="25"/>
      <c r="L23" s="25"/>
      <c r="M23" s="25"/>
      <c r="N23" s="25"/>
      <c r="O23" s="25"/>
    </row>
    <row r="24" spans="2:15">
      <c r="B24" s="25"/>
      <c r="C24" s="25"/>
      <c r="D24" s="25"/>
      <c r="E24" s="25"/>
      <c r="F24" s="25"/>
      <c r="G24" s="25"/>
      <c r="H24" s="25"/>
      <c r="I24" s="25"/>
      <c r="J24" s="25"/>
      <c r="K24" s="25"/>
      <c r="L24" s="25"/>
      <c r="M24" s="25"/>
      <c r="N24" s="25"/>
      <c r="O24" s="25"/>
    </row>
    <row r="25" spans="2:15">
      <c r="B25" s="25"/>
      <c r="C25" s="25"/>
      <c r="D25" s="25"/>
      <c r="E25" s="25"/>
      <c r="F25" s="25"/>
      <c r="G25" s="25"/>
      <c r="H25" s="25"/>
      <c r="I25" s="25"/>
      <c r="J25" s="25"/>
      <c r="K25" s="25"/>
      <c r="L25" s="25"/>
      <c r="M25" s="25"/>
      <c r="N25" s="25"/>
      <c r="O25" s="25"/>
    </row>
    <row r="26" spans="2:15">
      <c r="B26" s="25"/>
      <c r="C26" s="25"/>
      <c r="D26" s="25"/>
      <c r="E26" s="25"/>
      <c r="F26" s="25"/>
      <c r="G26" s="25"/>
      <c r="H26" s="25"/>
      <c r="I26" s="25"/>
      <c r="J26" s="25"/>
      <c r="K26" s="25"/>
      <c r="L26" s="25"/>
      <c r="M26" s="25"/>
      <c r="N26" s="25"/>
      <c r="O26" s="25"/>
    </row>
    <row r="27" spans="2:15">
      <c r="B27" s="25"/>
      <c r="C27" s="25"/>
      <c r="D27" s="25"/>
      <c r="E27" s="25"/>
      <c r="F27" s="25"/>
      <c r="G27" s="25"/>
      <c r="H27" s="25"/>
      <c r="I27" s="25"/>
      <c r="J27" s="25"/>
      <c r="K27" s="25"/>
      <c r="L27" s="25"/>
      <c r="M27" s="25"/>
      <c r="N27" s="25"/>
      <c r="O27" s="25"/>
    </row>
    <row r="28" spans="2:15">
      <c r="B28" s="25"/>
      <c r="C28" s="25"/>
      <c r="D28" s="25"/>
      <c r="E28" s="25"/>
      <c r="F28" s="25"/>
      <c r="G28" s="25"/>
      <c r="H28" s="25"/>
      <c r="I28" s="25"/>
      <c r="J28" s="25"/>
      <c r="K28" s="25"/>
      <c r="L28" s="25"/>
      <c r="M28" s="25"/>
      <c r="N28" s="25"/>
      <c r="O28" s="25"/>
    </row>
    <row r="29" spans="2:15">
      <c r="B29" s="25"/>
      <c r="C29" s="25"/>
      <c r="D29" s="25"/>
      <c r="E29" s="25"/>
      <c r="F29" s="25"/>
      <c r="G29" s="25"/>
      <c r="H29" s="25"/>
      <c r="I29" s="25"/>
      <c r="J29" s="25"/>
      <c r="K29" s="25"/>
      <c r="L29" s="25"/>
      <c r="M29" s="25"/>
      <c r="N29" s="25"/>
      <c r="O29" s="25"/>
    </row>
    <row r="30" spans="2:15">
      <c r="B30" s="25"/>
      <c r="C30" s="25"/>
      <c r="D30" s="25"/>
      <c r="E30" s="25"/>
      <c r="F30" s="25"/>
      <c r="G30" s="25"/>
      <c r="H30" s="25"/>
      <c r="I30" s="25"/>
      <c r="J30" s="25"/>
      <c r="K30" s="25"/>
      <c r="L30" s="25"/>
      <c r="M30" s="25"/>
      <c r="N30" s="25"/>
      <c r="O30" s="25"/>
    </row>
    <row r="31" spans="2:15">
      <c r="B31" s="25"/>
      <c r="C31" s="25"/>
      <c r="D31" s="25"/>
      <c r="E31" s="25"/>
      <c r="F31" s="25"/>
      <c r="G31" s="25"/>
      <c r="H31" s="25"/>
      <c r="I31" s="25"/>
      <c r="J31" s="25"/>
      <c r="K31" s="25"/>
      <c r="L31" s="25"/>
      <c r="M31" s="25"/>
      <c r="N31" s="25"/>
      <c r="O31" s="25"/>
    </row>
    <row r="32" spans="2:15">
      <c r="B32" s="25"/>
      <c r="C32" s="25"/>
      <c r="D32" s="25"/>
      <c r="E32" s="25"/>
      <c r="F32" s="25"/>
      <c r="G32" s="25"/>
      <c r="H32" s="25"/>
      <c r="I32" s="25"/>
      <c r="J32" s="25"/>
      <c r="K32" s="25"/>
      <c r="L32" s="25"/>
      <c r="M32" s="25"/>
      <c r="N32" s="25"/>
      <c r="O32" s="25"/>
    </row>
    <row r="33" spans="2:15">
      <c r="B33" s="25"/>
      <c r="C33" s="25"/>
      <c r="D33" s="25"/>
      <c r="E33" s="25"/>
      <c r="F33" s="25"/>
      <c r="G33" s="25"/>
      <c r="H33" s="25"/>
      <c r="I33" s="25"/>
      <c r="J33" s="25"/>
      <c r="K33" s="25"/>
      <c r="L33" s="25"/>
      <c r="M33" s="25"/>
      <c r="N33" s="25"/>
      <c r="O33" s="25"/>
    </row>
    <row r="34" spans="2:15">
      <c r="B34" s="25"/>
      <c r="C34" s="25"/>
      <c r="D34" s="25"/>
      <c r="E34" s="25"/>
      <c r="F34" s="25"/>
      <c r="G34" s="25"/>
      <c r="H34" s="25"/>
      <c r="I34" s="25"/>
      <c r="J34" s="25"/>
      <c r="K34" s="25"/>
      <c r="L34" s="25"/>
      <c r="M34" s="25"/>
      <c r="N34" s="25"/>
      <c r="O34" s="25"/>
    </row>
    <row r="35" spans="2:15">
      <c r="B35" s="25"/>
      <c r="C35" s="25"/>
      <c r="D35" s="25"/>
      <c r="E35" s="25"/>
      <c r="F35" s="25"/>
      <c r="G35" s="25"/>
      <c r="H35" s="25"/>
      <c r="I35" s="25"/>
      <c r="J35" s="25"/>
      <c r="K35" s="25"/>
      <c r="L35" s="25"/>
      <c r="M35" s="25"/>
      <c r="N35" s="25"/>
      <c r="O35" s="25"/>
    </row>
    <row r="36" spans="2:15">
      <c r="B36" s="25"/>
      <c r="C36" s="25"/>
      <c r="D36" s="25"/>
      <c r="E36" s="25"/>
      <c r="F36" s="25"/>
      <c r="G36" s="25"/>
      <c r="H36" s="25"/>
      <c r="I36" s="25"/>
      <c r="J36" s="25"/>
      <c r="K36" s="25"/>
      <c r="L36" s="25"/>
      <c r="M36" s="25"/>
      <c r="N36" s="25"/>
      <c r="O36" s="25"/>
    </row>
    <row r="37" spans="2:15">
      <c r="B37" s="25"/>
      <c r="C37" s="25"/>
      <c r="D37" s="25"/>
      <c r="E37" s="25"/>
      <c r="F37" s="25"/>
      <c r="G37" s="25"/>
      <c r="H37" s="25"/>
      <c r="I37" s="25"/>
      <c r="J37" s="25"/>
      <c r="K37" s="25"/>
      <c r="L37" s="25"/>
      <c r="M37" s="25"/>
      <c r="N37" s="25"/>
      <c r="O37" s="25"/>
    </row>
    <row r="38" spans="2:15">
      <c r="B38" s="25"/>
      <c r="C38" s="25"/>
      <c r="D38" s="25"/>
      <c r="E38" s="25"/>
      <c r="F38" s="25"/>
      <c r="G38" s="25"/>
      <c r="H38" s="25"/>
      <c r="I38" s="25"/>
      <c r="J38" s="25"/>
      <c r="K38" s="25"/>
      <c r="L38" s="25"/>
      <c r="M38" s="25"/>
      <c r="N38" s="25"/>
      <c r="O38" s="25"/>
    </row>
    <row r="39" spans="2:15">
      <c r="B39" s="25"/>
      <c r="C39" s="25"/>
      <c r="D39" s="25"/>
      <c r="E39" s="25"/>
      <c r="F39" s="25"/>
      <c r="G39" s="25"/>
      <c r="H39" s="25"/>
      <c r="I39" s="25"/>
      <c r="J39" s="25"/>
      <c r="K39" s="25"/>
      <c r="L39" s="25"/>
      <c r="M39" s="25"/>
      <c r="N39" s="25"/>
      <c r="O39" s="25"/>
    </row>
    <row r="40" spans="2:15">
      <c r="B40" s="25"/>
      <c r="C40" s="25"/>
      <c r="D40" s="25"/>
      <c r="E40" s="25"/>
      <c r="F40" s="25"/>
      <c r="G40" s="25"/>
      <c r="H40" s="25"/>
      <c r="I40" s="25"/>
      <c r="J40" s="25"/>
      <c r="K40" s="25"/>
      <c r="L40" s="25"/>
      <c r="M40" s="25"/>
      <c r="N40" s="25"/>
      <c r="O40" s="25"/>
    </row>
    <row r="41" spans="2:15">
      <c r="B41" s="25"/>
      <c r="C41" s="25"/>
      <c r="D41" s="25"/>
      <c r="E41" s="25"/>
      <c r="F41" s="25"/>
      <c r="G41" s="25"/>
      <c r="H41" s="25"/>
      <c r="I41" s="25"/>
      <c r="J41" s="25"/>
      <c r="K41" s="25"/>
      <c r="L41" s="25"/>
      <c r="M41" s="25"/>
      <c r="N41" s="25"/>
      <c r="O41" s="25"/>
    </row>
    <row r="42" spans="2:15">
      <c r="B42" s="25"/>
      <c r="C42" s="25"/>
      <c r="D42" s="25"/>
      <c r="E42" s="25"/>
      <c r="F42" s="25"/>
      <c r="G42" s="25"/>
      <c r="H42" s="25"/>
      <c r="I42" s="25"/>
      <c r="J42" s="25"/>
      <c r="K42" s="25"/>
      <c r="L42" s="25"/>
      <c r="M42" s="25"/>
      <c r="N42" s="25"/>
      <c r="O42" s="25"/>
    </row>
    <row r="43" spans="2:15">
      <c r="B43" s="25"/>
      <c r="C43" s="25"/>
      <c r="D43" s="25"/>
      <c r="E43" s="25"/>
      <c r="F43" s="25"/>
      <c r="G43" s="25"/>
      <c r="H43" s="25"/>
      <c r="I43" s="25"/>
      <c r="J43" s="25"/>
      <c r="K43" s="25"/>
      <c r="L43" s="25"/>
      <c r="M43" s="25"/>
      <c r="N43" s="25"/>
      <c r="O43" s="25"/>
    </row>
    <row r="44" spans="2:15">
      <c r="B44" s="25"/>
      <c r="C44" s="25"/>
      <c r="D44" s="25"/>
      <c r="E44" s="25"/>
      <c r="F44" s="25"/>
      <c r="G44" s="25"/>
      <c r="H44" s="25"/>
      <c r="I44" s="25"/>
      <c r="J44" s="25"/>
      <c r="K44" s="25"/>
      <c r="L44" s="25"/>
      <c r="M44" s="25"/>
      <c r="N44" s="25"/>
      <c r="O44" s="25"/>
    </row>
    <row r="45" spans="2:15">
      <c r="B45" s="25"/>
      <c r="C45" s="25"/>
      <c r="D45" s="25"/>
      <c r="E45" s="25"/>
      <c r="F45" s="25"/>
      <c r="G45" s="25"/>
      <c r="H45" s="25"/>
      <c r="I45" s="25"/>
      <c r="J45" s="25"/>
      <c r="K45" s="25"/>
      <c r="L45" s="25"/>
      <c r="M45" s="25"/>
      <c r="N45" s="25"/>
      <c r="O45" s="25"/>
    </row>
    <row r="46" spans="2:15">
      <c r="B46" s="25"/>
      <c r="C46" s="25"/>
      <c r="D46" s="25"/>
      <c r="E46" s="25"/>
      <c r="F46" s="25"/>
      <c r="G46" s="25"/>
      <c r="H46" s="25"/>
      <c r="I46" s="25"/>
      <c r="J46" s="25"/>
      <c r="K46" s="25"/>
      <c r="L46" s="25"/>
      <c r="M46" s="25"/>
      <c r="N46" s="25"/>
      <c r="O46" s="25"/>
    </row>
    <row r="47" spans="2:15">
      <c r="B47" s="25"/>
      <c r="C47" s="25"/>
      <c r="D47" s="25"/>
      <c r="E47" s="25"/>
      <c r="F47" s="25"/>
      <c r="G47" s="25"/>
      <c r="H47" s="25"/>
      <c r="I47" s="25"/>
      <c r="J47" s="25"/>
      <c r="K47" s="25"/>
      <c r="L47" s="25"/>
      <c r="M47" s="25"/>
      <c r="N47" s="25"/>
      <c r="O47" s="25"/>
    </row>
    <row r="48" spans="2:15">
      <c r="B48" s="25"/>
      <c r="C48" s="25"/>
      <c r="D48" s="25"/>
      <c r="E48" s="25"/>
      <c r="F48" s="25"/>
      <c r="G48" s="25"/>
      <c r="H48" s="25"/>
      <c r="I48" s="25"/>
      <c r="J48" s="25"/>
      <c r="K48" s="25"/>
      <c r="L48" s="25"/>
      <c r="M48" s="25"/>
      <c r="N48" s="25"/>
      <c r="O48" s="25"/>
    </row>
    <row r="49" spans="2:15">
      <c r="B49" s="25"/>
      <c r="C49" s="25"/>
      <c r="D49" s="25"/>
      <c r="E49" s="25"/>
      <c r="F49" s="25"/>
      <c r="G49" s="25"/>
      <c r="H49" s="25"/>
      <c r="I49" s="25"/>
      <c r="J49" s="25"/>
      <c r="K49" s="25"/>
      <c r="L49" s="25"/>
      <c r="M49" s="25"/>
      <c r="N49" s="25"/>
      <c r="O49" s="25"/>
    </row>
    <row r="50" spans="2:15">
      <c r="B50" s="25"/>
      <c r="C50" s="25"/>
      <c r="D50" s="25"/>
      <c r="E50" s="25"/>
      <c r="F50" s="25"/>
      <c r="G50" s="25"/>
      <c r="H50" s="25"/>
      <c r="I50" s="25"/>
      <c r="J50" s="25"/>
      <c r="K50" s="25"/>
      <c r="L50" s="25"/>
      <c r="M50" s="25"/>
      <c r="N50" s="25"/>
      <c r="O50" s="25"/>
    </row>
    <row r="51" spans="2:15">
      <c r="B51" s="25"/>
      <c r="C51" s="25"/>
      <c r="D51" s="25"/>
      <c r="E51" s="25"/>
      <c r="F51" s="25"/>
      <c r="G51" s="25"/>
      <c r="H51" s="25"/>
      <c r="I51" s="25"/>
      <c r="J51" s="25"/>
      <c r="K51" s="25"/>
      <c r="L51" s="25"/>
      <c r="M51" s="25"/>
      <c r="N51" s="25"/>
      <c r="O51" s="25"/>
    </row>
    <row r="52" spans="2:15">
      <c r="B52" s="25"/>
      <c r="C52" s="25"/>
      <c r="D52" s="25"/>
      <c r="E52" s="25"/>
      <c r="F52" s="25"/>
      <c r="G52" s="25"/>
      <c r="H52" s="25"/>
      <c r="I52" s="25"/>
      <c r="J52" s="25"/>
      <c r="K52" s="25"/>
      <c r="L52" s="25"/>
      <c r="M52" s="25"/>
      <c r="N52" s="25"/>
      <c r="O52" s="25"/>
    </row>
    <row r="53" spans="2:15">
      <c r="B53" s="25"/>
      <c r="C53" s="25"/>
      <c r="D53" s="25"/>
      <c r="E53" s="25"/>
      <c r="F53" s="25"/>
      <c r="G53" s="25"/>
      <c r="H53" s="25"/>
      <c r="I53" s="25"/>
      <c r="J53" s="25"/>
      <c r="K53" s="25"/>
      <c r="L53" s="25"/>
      <c r="M53" s="25"/>
      <c r="N53" s="25"/>
      <c r="O53" s="25"/>
    </row>
    <row r="54" spans="2:15">
      <c r="B54" s="25"/>
      <c r="C54" s="25"/>
      <c r="D54" s="25"/>
      <c r="E54" s="25"/>
      <c r="F54" s="25"/>
      <c r="G54" s="25"/>
      <c r="H54" s="25"/>
      <c r="I54" s="25"/>
      <c r="J54" s="25"/>
      <c r="K54" s="25"/>
      <c r="L54" s="25"/>
      <c r="M54" s="25"/>
      <c r="N54" s="25"/>
      <c r="O54" s="25"/>
    </row>
    <row r="55" spans="2:15">
      <c r="B55" s="25"/>
      <c r="C55" s="25"/>
      <c r="D55" s="25"/>
      <c r="E55" s="25"/>
      <c r="F55" s="25"/>
      <c r="G55" s="25"/>
      <c r="H55" s="25"/>
      <c r="I55" s="25"/>
      <c r="J55" s="25"/>
      <c r="K55" s="25"/>
      <c r="L55" s="25"/>
      <c r="M55" s="25"/>
      <c r="N55" s="25"/>
      <c r="O55" s="25"/>
    </row>
    <row r="56" spans="2:15">
      <c r="B56" s="25"/>
      <c r="C56" s="25"/>
      <c r="D56" s="25"/>
      <c r="E56" s="25"/>
      <c r="F56" s="25"/>
      <c r="G56" s="25"/>
      <c r="H56" s="25"/>
      <c r="I56" s="25"/>
      <c r="J56" s="25"/>
      <c r="K56" s="25"/>
      <c r="L56" s="25"/>
      <c r="M56" s="25"/>
      <c r="N56" s="25"/>
      <c r="O56" s="25"/>
    </row>
    <row r="57" spans="2:15">
      <c r="B57" s="25"/>
      <c r="C57" s="25"/>
      <c r="D57" s="25"/>
      <c r="E57" s="25"/>
      <c r="F57" s="25"/>
      <c r="G57" s="25"/>
      <c r="H57" s="25"/>
      <c r="I57" s="25"/>
      <c r="J57" s="25"/>
      <c r="K57" s="25"/>
      <c r="L57" s="25"/>
      <c r="M57" s="25"/>
      <c r="N57" s="25"/>
      <c r="O57" s="25"/>
    </row>
    <row r="58" spans="2:15">
      <c r="B58" s="25"/>
      <c r="C58" s="25"/>
      <c r="D58" s="25"/>
      <c r="E58" s="25"/>
      <c r="F58" s="25"/>
      <c r="G58" s="25"/>
      <c r="H58" s="25"/>
      <c r="I58" s="25"/>
      <c r="J58" s="25"/>
      <c r="K58" s="25"/>
      <c r="L58" s="25"/>
      <c r="M58" s="25"/>
      <c r="N58" s="25"/>
      <c r="O58" s="25"/>
    </row>
    <row r="59" spans="2:15">
      <c r="B59" s="25"/>
      <c r="C59" s="25"/>
      <c r="D59" s="25"/>
      <c r="E59" s="25"/>
      <c r="F59" s="25"/>
      <c r="G59" s="25"/>
      <c r="H59" s="25"/>
      <c r="I59" s="25"/>
      <c r="J59" s="25"/>
      <c r="K59" s="25"/>
      <c r="L59" s="25"/>
      <c r="M59" s="25"/>
      <c r="N59" s="25"/>
      <c r="O59" s="25"/>
    </row>
    <row r="60" spans="2:15">
      <c r="B60" s="25"/>
      <c r="C60" s="25"/>
      <c r="D60" s="25"/>
      <c r="E60" s="25"/>
      <c r="F60" s="25"/>
      <c r="G60" s="25"/>
      <c r="H60" s="25"/>
      <c r="I60" s="25"/>
      <c r="J60" s="25"/>
      <c r="K60" s="25"/>
      <c r="L60" s="25"/>
      <c r="M60" s="25"/>
      <c r="N60" s="25"/>
      <c r="O60" s="25"/>
    </row>
    <row r="61" spans="2:15">
      <c r="B61" s="25"/>
      <c r="C61" s="25"/>
      <c r="D61" s="25"/>
      <c r="E61" s="25"/>
      <c r="F61" s="25"/>
      <c r="G61" s="25"/>
      <c r="H61" s="25"/>
      <c r="I61" s="25"/>
      <c r="J61" s="25"/>
      <c r="K61" s="25"/>
      <c r="L61" s="25"/>
      <c r="M61" s="25"/>
      <c r="N61" s="25"/>
      <c r="O61" s="25"/>
    </row>
    <row r="62" spans="2:15">
      <c r="B62" s="25"/>
      <c r="C62" s="25"/>
      <c r="D62" s="25"/>
      <c r="E62" s="25"/>
      <c r="F62" s="25"/>
      <c r="G62" s="25"/>
      <c r="H62" s="25"/>
      <c r="I62" s="25"/>
      <c r="J62" s="25"/>
      <c r="K62" s="25"/>
      <c r="L62" s="25"/>
      <c r="M62" s="25"/>
      <c r="N62" s="25"/>
      <c r="O62" s="25"/>
    </row>
    <row r="63" spans="2:15">
      <c r="B63" s="25"/>
      <c r="C63" s="25"/>
      <c r="D63" s="25"/>
      <c r="E63" s="25"/>
      <c r="F63" s="25"/>
      <c r="G63" s="25"/>
      <c r="H63" s="25"/>
      <c r="I63" s="25"/>
      <c r="J63" s="25"/>
      <c r="K63" s="25"/>
      <c r="L63" s="25"/>
      <c r="M63" s="25"/>
      <c r="N63" s="25"/>
      <c r="O63" s="25"/>
    </row>
    <row r="64" spans="2:15">
      <c r="B64" s="25"/>
      <c r="C64" s="25"/>
      <c r="D64" s="25"/>
      <c r="E64" s="25"/>
      <c r="F64" s="25"/>
      <c r="G64" s="25"/>
      <c r="H64" s="25"/>
      <c r="I64" s="25"/>
      <c r="J64" s="25"/>
      <c r="K64" s="25"/>
      <c r="L64" s="25"/>
      <c r="M64" s="25"/>
      <c r="N64" s="25"/>
      <c r="O64" s="25"/>
    </row>
    <row r="65" spans="2:15">
      <c r="B65" s="25"/>
      <c r="C65" s="25"/>
      <c r="D65" s="25"/>
      <c r="E65" s="25"/>
      <c r="F65" s="25"/>
      <c r="G65" s="25"/>
      <c r="H65" s="25"/>
      <c r="I65" s="25"/>
      <c r="J65" s="25"/>
      <c r="K65" s="25"/>
      <c r="L65" s="25"/>
      <c r="M65" s="25"/>
      <c r="N65" s="25"/>
      <c r="O65" s="25"/>
    </row>
  </sheetData>
  <pageMargins left="0.70866141732283472" right="0.70866141732283472" top="1.0208333333333333" bottom="0.74803149606299213" header="0.31496062992125984" footer="0.31496062992125984"/>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4"/>
  </sheetPr>
  <dimension ref="A2:O58"/>
  <sheetViews>
    <sheetView showGridLines="0" view="pageBreakPreview" zoomScale="130" zoomScaleNormal="100" zoomScaleSheetLayoutView="130" zoomScalePageLayoutView="85" workbookViewId="0">
      <selection activeCell="M12" sqref="M12"/>
    </sheetView>
  </sheetViews>
  <sheetFormatPr defaultColWidth="9.33203125" defaultRowHeight="11.25"/>
  <cols>
    <col min="1" max="1" width="12" style="46" customWidth="1"/>
    <col min="2" max="3" width="11" style="46" customWidth="1"/>
    <col min="4" max="5" width="11.33203125" style="46" customWidth="1"/>
    <col min="6" max="6" width="12.33203125" style="46" customWidth="1"/>
    <col min="7" max="7" width="9.33203125" style="46"/>
    <col min="8" max="8" width="13.33203125" style="46" customWidth="1"/>
    <col min="9" max="9" width="13.1640625" style="46" customWidth="1"/>
    <col min="10" max="10" width="11.6640625" style="46" customWidth="1"/>
    <col min="11" max="11" width="9.33203125" style="46"/>
    <col min="12" max="12" width="18.6640625" style="46" bestFit="1" customWidth="1"/>
    <col min="13" max="16384" width="9.33203125" style="46"/>
  </cols>
  <sheetData>
    <row r="2" spans="1:12" ht="16.5" customHeight="1">
      <c r="A2" s="886" t="s">
        <v>505</v>
      </c>
      <c r="B2" s="886"/>
      <c r="C2" s="886"/>
      <c r="D2" s="886"/>
      <c r="E2" s="886"/>
      <c r="F2" s="886"/>
      <c r="G2" s="886"/>
      <c r="H2" s="886"/>
      <c r="I2" s="886"/>
      <c r="J2" s="886"/>
      <c r="K2" s="572"/>
    </row>
    <row r="3" spans="1:12" ht="12" customHeight="1">
      <c r="A3" s="137"/>
      <c r="B3" s="209"/>
      <c r="C3" s="220"/>
      <c r="D3" s="221"/>
      <c r="E3" s="221"/>
      <c r="F3" s="222"/>
      <c r="G3" s="223"/>
      <c r="H3" s="223"/>
      <c r="I3" s="172"/>
      <c r="J3" s="222"/>
    </row>
    <row r="4" spans="1:12" ht="11.25" customHeight="1">
      <c r="A4" s="187" t="s">
        <v>567</v>
      </c>
      <c r="B4" s="209"/>
      <c r="C4" s="220"/>
      <c r="D4" s="221"/>
      <c r="E4" s="221"/>
      <c r="F4" s="222"/>
      <c r="G4" s="223"/>
      <c r="H4" s="223"/>
      <c r="I4" s="172"/>
      <c r="J4" s="222"/>
      <c r="K4" s="351"/>
    </row>
    <row r="5" spans="1:12" ht="11.25" customHeight="1">
      <c r="A5" s="187"/>
      <c r="B5" s="209"/>
      <c r="C5" s="220"/>
      <c r="D5" s="221"/>
      <c r="E5" s="221"/>
      <c r="F5" s="222"/>
      <c r="G5" s="223"/>
      <c r="H5" s="223"/>
      <c r="I5" s="172"/>
      <c r="J5" s="222"/>
      <c r="K5" s="351"/>
    </row>
    <row r="6" spans="1:12" ht="15" hidden="1" customHeight="1">
      <c r="A6" s="137"/>
      <c r="B6" s="209"/>
      <c r="C6" s="220"/>
      <c r="D6" s="221"/>
      <c r="E6" s="221"/>
      <c r="F6" s="222"/>
      <c r="G6" s="223"/>
      <c r="H6" s="223"/>
      <c r="I6" s="172"/>
      <c r="J6" s="222"/>
      <c r="K6" s="351"/>
    </row>
    <row r="7" spans="1:12" ht="20.25" customHeight="1">
      <c r="A7" s="501" t="s">
        <v>216</v>
      </c>
      <c r="B7" s="502" t="s">
        <v>217</v>
      </c>
      <c r="C7" s="502" t="s">
        <v>218</v>
      </c>
      <c r="D7" s="502" t="s">
        <v>219</v>
      </c>
      <c r="E7" s="502" t="s">
        <v>220</v>
      </c>
      <c r="F7" s="503" t="s">
        <v>221</v>
      </c>
      <c r="G7" s="504" t="s">
        <v>225</v>
      </c>
      <c r="H7" s="503" t="s">
        <v>229</v>
      </c>
      <c r="I7" s="504" t="s">
        <v>474</v>
      </c>
      <c r="J7" s="505" t="s">
        <v>226</v>
      </c>
      <c r="K7" s="573"/>
    </row>
    <row r="8" spans="1:12" s="224" customFormat="1" ht="21" customHeight="1">
      <c r="A8" s="788" t="s">
        <v>494</v>
      </c>
      <c r="B8" s="480" t="s">
        <v>36</v>
      </c>
      <c r="C8" s="480" t="s">
        <v>45</v>
      </c>
      <c r="D8" s="480" t="s">
        <v>492</v>
      </c>
      <c r="E8" s="480" t="s">
        <v>497</v>
      </c>
      <c r="F8" s="481" t="s">
        <v>470</v>
      </c>
      <c r="G8" s="482">
        <v>6.9</v>
      </c>
      <c r="H8" s="483">
        <v>7.5</v>
      </c>
      <c r="I8" s="483">
        <v>6.6</v>
      </c>
      <c r="J8" s="484" t="s">
        <v>529</v>
      </c>
      <c r="K8" s="574"/>
    </row>
    <row r="9" spans="1:12" s="224" customFormat="1" ht="21" customHeight="1">
      <c r="A9" s="788" t="s">
        <v>530</v>
      </c>
      <c r="B9" s="480" t="s">
        <v>36</v>
      </c>
      <c r="C9" s="480" t="s">
        <v>45</v>
      </c>
      <c r="D9" s="480" t="s">
        <v>532</v>
      </c>
      <c r="E9" s="480" t="s">
        <v>533</v>
      </c>
      <c r="F9" s="481" t="s">
        <v>470</v>
      </c>
      <c r="G9" s="482">
        <v>0.4</v>
      </c>
      <c r="H9" s="483">
        <v>1</v>
      </c>
      <c r="I9" s="483">
        <v>1</v>
      </c>
      <c r="J9" s="484" t="s">
        <v>531</v>
      </c>
      <c r="K9" s="574"/>
    </row>
    <row r="10" spans="1:12" s="224" customFormat="1" ht="28.5" customHeight="1">
      <c r="A10" s="788" t="s">
        <v>541</v>
      </c>
      <c r="B10" s="480" t="s">
        <v>36</v>
      </c>
      <c r="C10" s="480" t="s">
        <v>45</v>
      </c>
      <c r="D10" s="480" t="s">
        <v>545</v>
      </c>
      <c r="E10" s="480" t="s">
        <v>543</v>
      </c>
      <c r="F10" s="481" t="s">
        <v>544</v>
      </c>
      <c r="G10" s="482">
        <v>10</v>
      </c>
      <c r="H10" s="483">
        <v>86.2</v>
      </c>
      <c r="I10" s="483">
        <v>84.1</v>
      </c>
      <c r="J10" s="484" t="s">
        <v>542</v>
      </c>
      <c r="K10" s="574"/>
    </row>
    <row r="11" spans="1:12" s="224" customFormat="1" ht="28.5" customHeight="1">
      <c r="A11" s="788" t="s">
        <v>553</v>
      </c>
      <c r="B11" s="480" t="s">
        <v>37</v>
      </c>
      <c r="C11" s="480" t="s">
        <v>49</v>
      </c>
      <c r="D11" s="480" t="s">
        <v>554</v>
      </c>
      <c r="E11" s="480" t="s">
        <v>555</v>
      </c>
      <c r="F11" s="481" t="s">
        <v>556</v>
      </c>
      <c r="G11" s="482">
        <v>13.8</v>
      </c>
      <c r="H11" s="483">
        <v>21.71</v>
      </c>
      <c r="I11" s="483">
        <v>7.48</v>
      </c>
      <c r="J11" s="484" t="s">
        <v>557</v>
      </c>
      <c r="K11" s="574"/>
    </row>
    <row r="12" spans="1:12" s="224" customFormat="1" ht="36.75" customHeight="1">
      <c r="A12" s="788" t="s">
        <v>574</v>
      </c>
      <c r="B12" s="480" t="s">
        <v>36</v>
      </c>
      <c r="C12" s="480" t="s">
        <v>45</v>
      </c>
      <c r="D12" s="480" t="s">
        <v>545</v>
      </c>
      <c r="E12" s="480" t="s">
        <v>575</v>
      </c>
      <c r="F12" s="481" t="s">
        <v>577</v>
      </c>
      <c r="G12" s="482">
        <v>13.8</v>
      </c>
      <c r="H12" s="483">
        <v>20</v>
      </c>
      <c r="I12" s="483">
        <v>20</v>
      </c>
      <c r="J12" s="484" t="s">
        <v>576</v>
      </c>
      <c r="K12" s="574"/>
    </row>
    <row r="13" spans="1:12" s="224" customFormat="1" ht="36.75" customHeight="1">
      <c r="A13" s="788" t="s">
        <v>578</v>
      </c>
      <c r="B13" s="480" t="s">
        <v>36</v>
      </c>
      <c r="C13" s="480" t="s">
        <v>45</v>
      </c>
      <c r="D13" s="480" t="s">
        <v>545</v>
      </c>
      <c r="E13" s="480" t="s">
        <v>579</v>
      </c>
      <c r="F13" s="481" t="s">
        <v>577</v>
      </c>
      <c r="G13" s="482">
        <v>13.8</v>
      </c>
      <c r="H13" s="483">
        <v>20</v>
      </c>
      <c r="I13" s="483">
        <v>20</v>
      </c>
      <c r="J13" s="484" t="s">
        <v>580</v>
      </c>
      <c r="K13" s="574"/>
    </row>
    <row r="14" spans="1:12" s="224" customFormat="1" ht="36.75" customHeight="1">
      <c r="A14" s="788" t="s">
        <v>747</v>
      </c>
      <c r="B14" s="480" t="s">
        <v>37</v>
      </c>
      <c r="C14" s="480" t="s">
        <v>49</v>
      </c>
      <c r="D14" s="480" t="s">
        <v>554</v>
      </c>
      <c r="E14" s="480" t="s">
        <v>748</v>
      </c>
      <c r="F14" s="481" t="s">
        <v>749</v>
      </c>
      <c r="G14" s="482">
        <v>13.8</v>
      </c>
      <c r="H14" s="483">
        <v>14</v>
      </c>
      <c r="I14" s="483">
        <v>12</v>
      </c>
      <c r="J14" s="484" t="s">
        <v>750</v>
      </c>
      <c r="K14" s="574"/>
    </row>
    <row r="15" spans="1:12" ht="11.25" customHeight="1">
      <c r="A15" s="506" t="s">
        <v>43</v>
      </c>
      <c r="B15" s="507"/>
      <c r="C15" s="507"/>
      <c r="D15" s="507"/>
      <c r="E15" s="508"/>
      <c r="F15" s="509"/>
      <c r="G15" s="510"/>
      <c r="H15" s="511">
        <f>+H8+H9+H10+H11+H12+H13+H14</f>
        <v>170.41</v>
      </c>
      <c r="I15" s="511">
        <f>+I8+I9+I10+I11+I12+I13+I14</f>
        <v>151.18</v>
      </c>
      <c r="J15" s="512"/>
      <c r="K15" s="575"/>
      <c r="L15" s="576"/>
    </row>
    <row r="16" spans="1:12" ht="13.5" customHeight="1">
      <c r="A16" s="719" t="s">
        <v>558</v>
      </c>
      <c r="B16" s="132"/>
      <c r="C16" s="132"/>
      <c r="D16" s="132"/>
      <c r="E16" s="132"/>
      <c r="F16" s="132"/>
      <c r="G16" s="132"/>
      <c r="H16" s="132"/>
      <c r="I16" s="132"/>
      <c r="J16" s="132"/>
      <c r="K16" s="575"/>
    </row>
    <row r="17" spans="1:13" ht="11.25" hidden="1" customHeight="1">
      <c r="A17" s="895"/>
      <c r="B17" s="895"/>
      <c r="C17" s="895"/>
      <c r="D17" s="895"/>
      <c r="E17" s="895"/>
      <c r="F17" s="895"/>
      <c r="G17" s="895"/>
      <c r="H17" s="895"/>
      <c r="I17" s="895"/>
      <c r="J17" s="895"/>
      <c r="K17" s="575"/>
    </row>
    <row r="18" spans="1:13" ht="11.25" customHeight="1">
      <c r="A18" s="427"/>
      <c r="B18" s="427"/>
      <c r="C18" s="427"/>
      <c r="D18" s="427"/>
      <c r="E18" s="427"/>
      <c r="F18" s="427"/>
      <c r="G18" s="427"/>
      <c r="H18" s="427"/>
      <c r="I18" s="427"/>
      <c r="J18" s="427"/>
      <c r="K18" s="575"/>
      <c r="L18" s="46" t="s">
        <v>227</v>
      </c>
      <c r="M18" s="576"/>
    </row>
    <row r="19" spans="1:13" ht="12.75" customHeight="1">
      <c r="A19" s="896"/>
      <c r="B19" s="896"/>
      <c r="C19" s="896"/>
      <c r="D19" s="896"/>
      <c r="E19" s="896"/>
      <c r="F19" s="896"/>
      <c r="G19" s="896"/>
      <c r="H19" s="896"/>
      <c r="I19" s="896"/>
      <c r="J19" s="896"/>
      <c r="K19" s="575"/>
      <c r="L19" s="46" t="s">
        <v>471</v>
      </c>
      <c r="M19" s="576">
        <f>+I8+I9+I10+I12+I13</f>
        <v>131.69999999999999</v>
      </c>
    </row>
    <row r="20" spans="1:13" ht="11.25" customHeight="1">
      <c r="A20" s="896"/>
      <c r="B20" s="896"/>
      <c r="C20" s="896"/>
      <c r="D20" s="896"/>
      <c r="E20" s="896"/>
      <c r="F20" s="896"/>
      <c r="G20" s="896"/>
      <c r="H20" s="896"/>
      <c r="I20" s="896"/>
      <c r="J20" s="896"/>
      <c r="K20" s="575"/>
      <c r="L20" s="46" t="s">
        <v>554</v>
      </c>
      <c r="M20" s="576">
        <f>I11+I14</f>
        <v>19.48</v>
      </c>
    </row>
    <row r="21" spans="1:13" ht="15" customHeight="1">
      <c r="A21" s="229"/>
      <c r="B21" s="225"/>
      <c r="C21" s="225"/>
      <c r="D21" s="225"/>
      <c r="E21" s="225"/>
      <c r="F21" s="225"/>
      <c r="G21" s="225"/>
      <c r="H21" s="230"/>
      <c r="I21" s="230"/>
      <c r="J21" s="230"/>
      <c r="K21" s="575"/>
      <c r="L21" s="46" t="s">
        <v>476</v>
      </c>
      <c r="M21" s="46">
        <v>0</v>
      </c>
    </row>
    <row r="22" spans="1:13" ht="11.25" customHeight="1">
      <c r="A22" s="229"/>
      <c r="B22" s="225"/>
      <c r="C22" s="225"/>
      <c r="D22" s="225"/>
      <c r="E22" s="225"/>
      <c r="F22" s="225"/>
      <c r="G22" s="225"/>
      <c r="H22" s="228"/>
      <c r="I22" s="228" t="s">
        <v>8</v>
      </c>
      <c r="J22" s="228"/>
      <c r="K22" s="575"/>
      <c r="L22" s="46" t="s">
        <v>488</v>
      </c>
      <c r="M22" s="46">
        <v>0</v>
      </c>
    </row>
    <row r="23" spans="1:13" ht="11.25" customHeight="1">
      <c r="A23" s="229"/>
      <c r="B23" s="225"/>
      <c r="C23" s="225"/>
      <c r="D23" s="225"/>
      <c r="E23" s="225"/>
      <c r="F23" s="225"/>
      <c r="G23" s="225"/>
      <c r="H23" s="228"/>
      <c r="I23" s="228"/>
      <c r="J23" s="228"/>
      <c r="K23" s="575"/>
    </row>
    <row r="24" spans="1:13" ht="11.25" customHeight="1">
      <c r="A24" s="229"/>
      <c r="B24" s="225"/>
      <c r="C24" s="225"/>
      <c r="D24" s="225"/>
      <c r="E24" s="225"/>
      <c r="F24" s="225"/>
      <c r="G24" s="225"/>
      <c r="H24" s="228"/>
      <c r="I24" s="228"/>
      <c r="J24" s="228"/>
      <c r="K24" s="575"/>
    </row>
    <row r="25" spans="1:13" ht="9" customHeight="1">
      <c r="A25" s="231"/>
      <c r="B25" s="152"/>
      <c r="C25" s="152"/>
      <c r="D25" s="152"/>
      <c r="E25" s="152"/>
      <c r="F25" s="152"/>
      <c r="G25" s="152"/>
      <c r="H25" s="232"/>
      <c r="I25" s="232"/>
      <c r="J25" s="232"/>
      <c r="K25" s="575"/>
    </row>
    <row r="26" spans="1:13" ht="9" customHeight="1">
      <c r="A26" s="233"/>
      <c r="B26" s="175"/>
      <c r="C26" s="175"/>
      <c r="D26" s="138"/>
      <c r="E26" s="138"/>
      <c r="F26" s="138"/>
      <c r="G26" s="138"/>
      <c r="H26" s="225"/>
      <c r="I26" s="225"/>
      <c r="J26" s="225"/>
      <c r="K26" s="575"/>
    </row>
    <row r="27" spans="1:13" ht="9" customHeight="1">
      <c r="A27" s="214"/>
      <c r="B27" s="138"/>
      <c r="C27" s="138"/>
      <c r="D27" s="138"/>
      <c r="E27" s="138"/>
      <c r="F27" s="138"/>
      <c r="G27" s="138"/>
      <c r="H27" s="225"/>
      <c r="I27" s="225"/>
      <c r="J27" s="225"/>
      <c r="K27" s="575"/>
    </row>
    <row r="28" spans="1:13" ht="11.25" customHeight="1">
      <c r="A28" s="214"/>
      <c r="B28" s="138"/>
      <c r="C28" s="138"/>
      <c r="D28" s="138"/>
      <c r="E28" s="138"/>
      <c r="F28" s="138"/>
      <c r="G28" s="138"/>
      <c r="H28" s="225"/>
      <c r="I28" s="225"/>
      <c r="J28" s="225"/>
      <c r="K28" s="575"/>
    </row>
    <row r="29" spans="1:13" ht="11.25" customHeight="1">
      <c r="A29" s="214"/>
      <c r="B29" s="138"/>
      <c r="C29" s="138"/>
      <c r="D29" s="138"/>
      <c r="E29" s="138"/>
      <c r="F29" s="138"/>
      <c r="G29" s="138"/>
      <c r="H29" s="153"/>
      <c r="I29" s="153"/>
      <c r="J29" s="153"/>
      <c r="K29" s="575"/>
    </row>
    <row r="30" spans="1:13" ht="11.25" customHeight="1">
      <c r="A30" s="226"/>
      <c r="B30" s="158"/>
      <c r="C30" s="158"/>
      <c r="D30" s="158"/>
      <c r="E30" s="158"/>
      <c r="F30" s="158"/>
      <c r="G30" s="158"/>
      <c r="H30" s="158"/>
      <c r="I30" s="158"/>
      <c r="J30" s="158"/>
      <c r="K30" s="575"/>
    </row>
    <row r="31" spans="1:13" ht="11.25" customHeight="1">
      <c r="A31" s="225"/>
      <c r="B31" s="138"/>
      <c r="C31" s="138"/>
      <c r="D31" s="138"/>
      <c r="E31" s="138"/>
      <c r="F31" s="138"/>
      <c r="G31" s="138"/>
      <c r="H31" s="138"/>
      <c r="I31" s="138"/>
      <c r="J31" s="138"/>
      <c r="K31" s="575"/>
    </row>
    <row r="32" spans="1:13" ht="11.25" customHeight="1">
      <c r="A32" s="17"/>
      <c r="B32" s="885" t="str">
        <f>"Gráfico 2: Ingreso de Potencia Efectiva por tipo de Recurso Energético y Tecnología en "&amp;'1. Resumen'!Q4&amp;" "&amp;'1. Resumen'!Q5&amp;" (MW)"</f>
        <v>Gráfico 2: Ingreso de Potencia Efectiva por tipo de Recurso Energético y Tecnología en octubre 2019 (MW)</v>
      </c>
      <c r="C32" s="885"/>
      <c r="D32" s="885"/>
      <c r="E32" s="885"/>
      <c r="F32" s="885"/>
      <c r="G32" s="885"/>
      <c r="H32" s="885"/>
      <c r="I32" s="885"/>
      <c r="J32" s="885"/>
      <c r="K32" s="885"/>
    </row>
    <row r="33" spans="1:15" ht="27" hidden="1" customHeight="1">
      <c r="B33" s="897"/>
      <c r="C33" s="897"/>
      <c r="D33" s="897"/>
      <c r="E33" s="897"/>
      <c r="F33" s="897"/>
      <c r="G33" s="897"/>
      <c r="H33" s="897"/>
    </row>
    <row r="34" spans="1:15" ht="11.25" customHeight="1">
      <c r="A34" s="17"/>
      <c r="B34" s="17"/>
      <c r="C34" s="17"/>
      <c r="D34" s="17"/>
      <c r="E34" s="17"/>
      <c r="F34" s="17"/>
      <c r="G34" s="17"/>
      <c r="H34" s="17"/>
      <c r="I34" s="17"/>
      <c r="J34" s="17"/>
      <c r="K34" s="575"/>
    </row>
    <row r="35" spans="1:15" ht="11.25" customHeight="1">
      <c r="A35" s="176" t="s">
        <v>440</v>
      </c>
      <c r="B35" s="132"/>
      <c r="C35" s="227"/>
      <c r="D35" s="132"/>
      <c r="E35" s="132"/>
      <c r="F35" s="132"/>
      <c r="G35" s="132"/>
      <c r="H35" s="132"/>
      <c r="I35" s="132"/>
      <c r="J35" s="132"/>
      <c r="K35" s="575"/>
    </row>
    <row r="36" spans="1:15" ht="11.25" customHeight="1">
      <c r="B36" s="132"/>
      <c r="C36" s="227"/>
      <c r="D36" s="132"/>
      <c r="E36" s="132"/>
      <c r="F36" s="132"/>
      <c r="G36" s="132"/>
      <c r="H36" s="132"/>
      <c r="I36" s="132"/>
      <c r="J36" s="132"/>
      <c r="K36" s="575"/>
    </row>
    <row r="37" spans="1:15" ht="21" customHeight="1">
      <c r="B37" s="883" t="s">
        <v>228</v>
      </c>
      <c r="C37" s="884"/>
      <c r="D37" s="513" t="str">
        <f>UPPER('1. Resumen'!Q4)&amp;" "&amp;'1. Resumen'!Q5</f>
        <v>OCTUBRE 2019</v>
      </c>
      <c r="E37" s="513" t="str">
        <f>UPPER('1. Resumen'!Q4)&amp;" "&amp;'1. Resumen'!Q5-1</f>
        <v>OCTUBRE 2018</v>
      </c>
      <c r="F37" s="514" t="s">
        <v>230</v>
      </c>
      <c r="G37" s="234"/>
      <c r="H37" s="234"/>
      <c r="I37" s="132"/>
      <c r="J37" s="132"/>
    </row>
    <row r="38" spans="1:15" ht="9.75" customHeight="1">
      <c r="B38" s="887" t="s">
        <v>222</v>
      </c>
      <c r="C38" s="888"/>
      <c r="D38" s="485">
        <f>4996.1492475+86.2+20+20</f>
        <v>5122.3492474999994</v>
      </c>
      <c r="E38" s="486">
        <v>4967.6492474999995</v>
      </c>
      <c r="F38" s="487">
        <f>+D38/E38-1</f>
        <v>3.1141490127921889E-2</v>
      </c>
      <c r="G38" s="234"/>
      <c r="H38" s="234"/>
      <c r="I38" s="132"/>
      <c r="J38" s="132"/>
      <c r="K38" s="575"/>
    </row>
    <row r="39" spans="1:15" ht="9.75" customHeight="1">
      <c r="B39" s="889" t="s">
        <v>223</v>
      </c>
      <c r="C39" s="890"/>
      <c r="D39" s="488">
        <f>7395.9645+H11+H14</f>
        <v>7431.6745000000001</v>
      </c>
      <c r="E39" s="489">
        <v>7395.9645</v>
      </c>
      <c r="F39" s="490">
        <f>+D39/E39-1</f>
        <v>4.8283087351217446E-3</v>
      </c>
      <c r="G39" s="235"/>
      <c r="H39" s="235"/>
      <c r="M39" s="577"/>
      <c r="N39" s="577"/>
      <c r="O39" s="578"/>
    </row>
    <row r="40" spans="1:15" ht="9.75" customHeight="1">
      <c r="B40" s="891" t="s">
        <v>224</v>
      </c>
      <c r="C40" s="892"/>
      <c r="D40" s="491">
        <v>375.46</v>
      </c>
      <c r="E40" s="492">
        <v>375.46</v>
      </c>
      <c r="F40" s="493">
        <f>+D40/E40-1</f>
        <v>0</v>
      </c>
      <c r="G40" s="235"/>
      <c r="H40" s="235"/>
    </row>
    <row r="41" spans="1:15" ht="9.75" customHeight="1">
      <c r="B41" s="893" t="s">
        <v>81</v>
      </c>
      <c r="C41" s="894"/>
      <c r="D41" s="494">
        <v>285.02</v>
      </c>
      <c r="E41" s="495">
        <v>285.02</v>
      </c>
      <c r="F41" s="496">
        <f>+D41/E41-1</f>
        <v>0</v>
      </c>
      <c r="G41" s="235"/>
      <c r="H41" s="235"/>
    </row>
    <row r="42" spans="1:15" ht="10.5" customHeight="1">
      <c r="B42" s="881" t="s">
        <v>201</v>
      </c>
      <c r="C42" s="882"/>
      <c r="D42" s="497">
        <f>+D38+D39+D40+D41</f>
        <v>13214.503747499999</v>
      </c>
      <c r="E42" s="498">
        <v>13024.093747499999</v>
      </c>
      <c r="F42" s="499">
        <f>+D42/E42-1</f>
        <v>1.461982719807664E-2</v>
      </c>
      <c r="G42" s="426"/>
      <c r="H42" s="235"/>
    </row>
    <row r="43" spans="1:15" ht="11.25" customHeight="1">
      <c r="B43" s="277" t="str">
        <f>"Cuadro N° 2: Comparación de la potencia instalada en el SEIN al término de "&amp;'1. Resumen'!Q4&amp;" "&amp;'1. Resumen'!Q5-1&amp;" y "&amp;'1. Resumen'!Q4&amp;" "&amp;'1. Resumen'!Q5</f>
        <v>Cuadro N° 2: Comparación de la potencia instalada en el SEIN al término de octubre 2018 y octubre 2019</v>
      </c>
      <c r="C43" s="234"/>
      <c r="D43" s="234"/>
      <c r="E43" s="234"/>
      <c r="F43" s="234"/>
      <c r="G43" s="234"/>
      <c r="H43" s="234"/>
      <c r="I43" s="132"/>
      <c r="J43" s="132"/>
      <c r="K43" s="575"/>
    </row>
    <row r="44" spans="1:15" ht="14.25" customHeight="1">
      <c r="B44" s="277"/>
      <c r="C44" s="234"/>
      <c r="D44" s="234"/>
      <c r="E44" s="234"/>
      <c r="F44" s="234"/>
      <c r="G44" s="234"/>
      <c r="H44" s="234"/>
      <c r="I44" s="132"/>
      <c r="J44" s="132"/>
      <c r="K44" s="575"/>
    </row>
    <row r="45" spans="1:15" ht="9" customHeight="1">
      <c r="B45" s="277"/>
      <c r="C45" s="234"/>
      <c r="D45" s="234"/>
      <c r="E45" s="234"/>
      <c r="F45" s="234"/>
      <c r="G45" s="234"/>
      <c r="H45" s="234"/>
      <c r="I45" s="132"/>
      <c r="J45" s="132"/>
      <c r="K45" s="575"/>
    </row>
    <row r="46" spans="1:15" ht="25.5" customHeight="1">
      <c r="B46" s="277"/>
      <c r="C46" s="234"/>
      <c r="D46" s="234"/>
      <c r="E46" s="234"/>
      <c r="F46" s="234"/>
      <c r="G46" s="234"/>
      <c r="H46" s="234"/>
      <c r="I46" s="132"/>
      <c r="J46" s="132"/>
      <c r="K46" s="575"/>
    </row>
    <row r="47" spans="1:15" ht="11.25" customHeight="1">
      <c r="B47" s="277"/>
      <c r="C47" s="234"/>
      <c r="D47" s="234"/>
      <c r="E47" s="234"/>
      <c r="F47" s="234"/>
      <c r="G47" s="234"/>
      <c r="H47" s="234"/>
      <c r="I47" s="132"/>
      <c r="J47" s="132"/>
      <c r="K47" s="575"/>
    </row>
    <row r="48" spans="1:15" ht="11.25" customHeight="1">
      <c r="A48" s="132"/>
      <c r="C48" s="235"/>
      <c r="D48" s="234"/>
      <c r="E48" s="234"/>
      <c r="F48" s="234"/>
      <c r="G48" s="234"/>
      <c r="H48" s="234"/>
      <c r="I48" s="132"/>
      <c r="J48" s="132"/>
      <c r="K48" s="575"/>
    </row>
    <row r="49" spans="1:11" ht="11.25" customHeight="1">
      <c r="A49" s="132"/>
      <c r="B49" s="132"/>
      <c r="C49" s="132"/>
      <c r="D49" s="132"/>
      <c r="E49" s="132"/>
      <c r="F49" s="132"/>
      <c r="G49" s="132"/>
      <c r="H49" s="132"/>
      <c r="I49" s="132"/>
      <c r="J49" s="132"/>
      <c r="K49" s="575"/>
    </row>
    <row r="50" spans="1:11" ht="11.25" customHeight="1">
      <c r="A50" s="132"/>
      <c r="B50" s="132"/>
      <c r="C50" s="132"/>
      <c r="D50" s="132"/>
      <c r="E50" s="132"/>
      <c r="F50" s="132"/>
      <c r="G50" s="132"/>
      <c r="H50" s="132"/>
      <c r="I50" s="132"/>
      <c r="J50" s="132"/>
      <c r="K50" s="575"/>
    </row>
    <row r="51" spans="1:11">
      <c r="A51" s="137"/>
      <c r="B51" s="132"/>
      <c r="C51" s="132"/>
      <c r="D51" s="132"/>
      <c r="E51" s="132"/>
      <c r="F51" s="132"/>
      <c r="G51" s="132"/>
      <c r="H51" s="132"/>
      <c r="I51" s="132"/>
      <c r="J51" s="132"/>
    </row>
    <row r="52" spans="1:11">
      <c r="A52" s="132"/>
      <c r="B52" s="132"/>
      <c r="C52" s="132"/>
      <c r="D52" s="132"/>
      <c r="E52" s="132"/>
      <c r="F52" s="132"/>
      <c r="G52" s="132"/>
      <c r="H52" s="132"/>
      <c r="I52" s="132"/>
      <c r="J52" s="132"/>
    </row>
    <row r="53" spans="1:11">
      <c r="A53" s="132"/>
      <c r="B53" s="132"/>
      <c r="C53" s="132"/>
      <c r="D53" s="132"/>
      <c r="E53" s="132"/>
      <c r="F53" s="132"/>
      <c r="G53" s="132"/>
      <c r="H53" s="132"/>
      <c r="I53" s="132"/>
      <c r="J53" s="132"/>
    </row>
    <row r="54" spans="1:11">
      <c r="A54" s="132"/>
      <c r="B54" s="132"/>
      <c r="C54" s="132"/>
      <c r="D54" s="132"/>
      <c r="E54" s="132"/>
      <c r="F54" s="132"/>
      <c r="G54" s="132"/>
      <c r="H54" s="132"/>
      <c r="I54" s="132"/>
      <c r="J54" s="132"/>
    </row>
    <row r="55" spans="1:11">
      <c r="A55" s="132"/>
      <c r="B55" s="132"/>
      <c r="C55" s="132"/>
      <c r="D55" s="132"/>
      <c r="E55" s="132"/>
      <c r="F55" s="132"/>
      <c r="G55" s="132"/>
      <c r="H55" s="132"/>
      <c r="I55" s="132"/>
      <c r="J55" s="132"/>
    </row>
    <row r="56" spans="1:11" ht="13.5" customHeight="1">
      <c r="A56" s="132"/>
      <c r="B56" s="132"/>
      <c r="C56" s="132"/>
      <c r="D56" s="132"/>
      <c r="E56" s="132"/>
      <c r="F56" s="132"/>
      <c r="G56" s="132"/>
      <c r="H56" s="132"/>
      <c r="I56" s="132"/>
      <c r="J56" s="132"/>
    </row>
    <row r="57" spans="1:11" ht="19.5" customHeight="1">
      <c r="A57" s="132"/>
      <c r="B57" s="132"/>
      <c r="C57" s="132"/>
      <c r="D57" s="132"/>
      <c r="E57" s="132"/>
      <c r="F57" s="132"/>
      <c r="G57" s="132"/>
      <c r="H57" s="132"/>
      <c r="I57" s="132"/>
      <c r="J57" s="132"/>
    </row>
    <row r="58" spans="1:11" ht="35.25" customHeight="1">
      <c r="A58" s="425" t="str">
        <f>"Gráfico N° 3: Comparación de la potencia instalada en el SEIN al término de "&amp;'1. Resumen'!Q4&amp;" "&amp;'1. Resumen'!Q5-1&amp;" y "&amp;'1. Resumen'!Q4&amp;" "&amp;'1. Resumen'!Q5</f>
        <v>Gráfico N° 3: Comparación de la potencia instalada en el SEIN al término de octubre 2018 y octubre 2019</v>
      </c>
      <c r="C58" s="132"/>
      <c r="D58" s="132"/>
      <c r="E58" s="132"/>
      <c r="F58" s="132"/>
      <c r="G58" s="132"/>
      <c r="H58" s="132"/>
      <c r="I58" s="132"/>
      <c r="J58" s="132"/>
    </row>
  </sheetData>
  <mergeCells count="12">
    <mergeCell ref="B42:C42"/>
    <mergeCell ref="B37:C37"/>
    <mergeCell ref="B32:K32"/>
    <mergeCell ref="A2:J2"/>
    <mergeCell ref="B38:C38"/>
    <mergeCell ref="B39:C39"/>
    <mergeCell ref="B40:C40"/>
    <mergeCell ref="B41:C41"/>
    <mergeCell ref="A17:J17"/>
    <mergeCell ref="A19:J19"/>
    <mergeCell ref="B33:H33"/>
    <mergeCell ref="A20:J20"/>
  </mergeCells>
  <conditionalFormatting sqref="A23:A25">
    <cfRule type="containsText" dxfId="5" priority="5" stopIfTrue="1" operator="containsText" text=" 0%">
      <formula>NOT(ISERROR(SEARCH(" 0%",A23)))</formula>
    </cfRule>
    <cfRule type="containsText" dxfId="4" priority="6" stopIfTrue="1" operator="containsText" text="0.0%">
      <formula>NOT(ISERROR(SEARCH("0.0%",A23)))</formula>
    </cfRule>
  </conditionalFormatting>
  <conditionalFormatting sqref="A21">
    <cfRule type="containsText" dxfId="3" priority="3" stopIfTrue="1" operator="containsText" text=" 0%">
      <formula>NOT(ISERROR(SEARCH(" 0%",A21)))</formula>
    </cfRule>
    <cfRule type="containsText" dxfId="2" priority="4" stopIfTrue="1" operator="containsText" text="0.0%">
      <formula>NOT(ISERROR(SEARCH("0.0%",A21)))</formula>
    </cfRule>
  </conditionalFormatting>
  <conditionalFormatting sqref="A22">
    <cfRule type="containsText" dxfId="1" priority="1" stopIfTrue="1" operator="containsText" text=" 0%">
      <formula>NOT(ISERROR(SEARCH(" 0%",A22)))</formula>
    </cfRule>
    <cfRule type="containsText" dxfId="0" priority="2" stopIfTrue="1" operator="containsText" text="0.0%">
      <formula>NOT(ISERROR(SEARCH("0.0%",A22)))</formula>
    </cfRule>
  </conditionalFormatting>
  <pageMargins left="0.70866141732283472" right="0.59055118110236227" top="1.0236220472440944" bottom="0.62992125984251968" header="0.31496062992125984" footer="0.31496062992125984"/>
  <pageSetup paperSize="9" scale="95" orientation="portrait" r:id="rId1"/>
  <headerFooter>
    <oddHeader>&amp;R&amp;7Informe de la Operación Mensual-Octubre 2019
INFSGI-MES-10-2019
18/10/2019
Versión: 01</oddHeader>
    <oddFooter>&amp;L&amp;7COES, 2019&amp;C2&amp;R&amp;7Dirección Ejecutiva
Sub Dirección de Gestión de Información</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theme="4"/>
  </sheetPr>
  <dimension ref="A1:K69"/>
  <sheetViews>
    <sheetView showGridLines="0" view="pageBreakPreview" topLeftCell="A4" zoomScale="115" zoomScaleNormal="100" zoomScaleSheetLayoutView="115" zoomScalePageLayoutView="85" workbookViewId="0">
      <selection activeCell="M12" sqref="M12"/>
    </sheetView>
  </sheetViews>
  <sheetFormatPr defaultColWidth="9.33203125" defaultRowHeight="11.25"/>
  <cols>
    <col min="1" max="1" width="21" style="46" customWidth="1"/>
    <col min="2" max="4" width="10.5" style="46" bestFit="1" customWidth="1"/>
    <col min="5" max="5" width="10" style="46" customWidth="1"/>
    <col min="6" max="6" width="8.6640625" style="46" customWidth="1"/>
    <col min="7" max="8" width="10.5" style="46" bestFit="1" customWidth="1"/>
    <col min="9" max="9" width="10.1640625" style="46" customWidth="1"/>
    <col min="10" max="10" width="10.33203125" style="46" customWidth="1"/>
    <col min="11" max="11" width="9.6640625" style="46" customWidth="1"/>
    <col min="12" max="16384" width="9.33203125" style="46"/>
  </cols>
  <sheetData>
    <row r="1" spans="1:11" ht="11.25" customHeight="1"/>
    <row r="2" spans="1:11" ht="16.5" customHeight="1">
      <c r="A2" s="902" t="s">
        <v>232</v>
      </c>
      <c r="B2" s="902"/>
      <c r="C2" s="902"/>
      <c r="D2" s="902"/>
      <c r="E2" s="902"/>
      <c r="F2" s="902"/>
      <c r="G2" s="902"/>
      <c r="H2" s="902"/>
      <c r="I2" s="902"/>
      <c r="J2" s="902"/>
      <c r="K2" s="902"/>
    </row>
    <row r="3" spans="1:11" ht="11.25" customHeight="1">
      <c r="A3" s="83"/>
      <c r="B3" s="84"/>
      <c r="C3" s="85"/>
      <c r="D3" s="86"/>
      <c r="E3" s="86"/>
      <c r="F3" s="86"/>
      <c r="G3" s="86"/>
      <c r="H3" s="83"/>
      <c r="I3" s="83"/>
      <c r="J3" s="83"/>
      <c r="K3" s="87"/>
    </row>
    <row r="4" spans="1:11" ht="11.25" customHeight="1">
      <c r="A4" s="903" t="str">
        <f>+"3.1. PRODUCCIÓN POR TIPO DE GENERACIÓN (GWh)"</f>
        <v>3.1. PRODUCCIÓN POR TIPO DE GENERACIÓN (GWh)</v>
      </c>
      <c r="B4" s="903"/>
      <c r="C4" s="903"/>
      <c r="D4" s="903"/>
      <c r="E4" s="903"/>
      <c r="F4" s="903"/>
      <c r="G4" s="903"/>
      <c r="H4" s="903"/>
      <c r="I4" s="903"/>
      <c r="J4" s="903"/>
      <c r="K4" s="903"/>
    </row>
    <row r="5" spans="1:11" ht="11.25" customHeight="1">
      <c r="A5" s="54"/>
      <c r="B5" s="88"/>
      <c r="C5" s="89"/>
      <c r="D5" s="90"/>
      <c r="E5" s="90"/>
      <c r="F5" s="90"/>
      <c r="G5" s="90"/>
      <c r="H5" s="91"/>
      <c r="I5" s="83"/>
      <c r="J5" s="83"/>
      <c r="K5" s="92"/>
    </row>
    <row r="6" spans="1:11" ht="18" customHeight="1">
      <c r="A6" s="900" t="s">
        <v>32</v>
      </c>
      <c r="B6" s="904" t="s">
        <v>33</v>
      </c>
      <c r="C6" s="905"/>
      <c r="D6" s="905"/>
      <c r="E6" s="905" t="s">
        <v>34</v>
      </c>
      <c r="F6" s="905"/>
      <c r="G6" s="906" t="str">
        <f>"Generación Acumulada a "&amp;'1. Resumen'!Q4</f>
        <v>Generación Acumulada a octubre</v>
      </c>
      <c r="H6" s="906"/>
      <c r="I6" s="906"/>
      <c r="J6" s="906"/>
      <c r="K6" s="907"/>
    </row>
    <row r="7" spans="1:11" ht="32.25" customHeight="1">
      <c r="A7" s="901"/>
      <c r="B7" s="515">
        <f>+C7-30</f>
        <v>43681</v>
      </c>
      <c r="C7" s="515">
        <f>+D7-28</f>
        <v>43711</v>
      </c>
      <c r="D7" s="515">
        <f>+'1. Resumen'!Q6</f>
        <v>43739</v>
      </c>
      <c r="E7" s="515">
        <f>+D7-365</f>
        <v>43374</v>
      </c>
      <c r="F7" s="516" t="s">
        <v>35</v>
      </c>
      <c r="G7" s="517">
        <v>2019</v>
      </c>
      <c r="H7" s="517">
        <v>2018</v>
      </c>
      <c r="I7" s="516" t="s">
        <v>499</v>
      </c>
      <c r="J7" s="517">
        <v>2017</v>
      </c>
      <c r="K7" s="518" t="s">
        <v>42</v>
      </c>
    </row>
    <row r="8" spans="1:11" ht="15" customHeight="1">
      <c r="A8" s="116" t="s">
        <v>36</v>
      </c>
      <c r="B8" s="368">
        <v>1894.8579691774999</v>
      </c>
      <c r="C8" s="364">
        <v>1817.6479766325006</v>
      </c>
      <c r="D8" s="369">
        <v>2126.1102036450002</v>
      </c>
      <c r="E8" s="368">
        <v>2372.0296140100004</v>
      </c>
      <c r="F8" s="243">
        <f>IF(E8=0,"",D8/E8-1)</f>
        <v>-0.10367467965514343</v>
      </c>
      <c r="G8" s="376">
        <v>24502.641660175006</v>
      </c>
      <c r="H8" s="364">
        <v>24328.458695435002</v>
      </c>
      <c r="I8" s="247">
        <f>IF(H8=0,"",G8/H8-1)</f>
        <v>7.1596383034608913E-3</v>
      </c>
      <c r="J8" s="368">
        <v>23050.792966868547</v>
      </c>
      <c r="K8" s="243">
        <f t="shared" ref="K8:K15" si="0">IF(J8=0,"",H8/J8-1)</f>
        <v>5.5428276606487081E-2</v>
      </c>
    </row>
    <row r="9" spans="1:11" ht="15" customHeight="1">
      <c r="A9" s="117" t="s">
        <v>37</v>
      </c>
      <c r="B9" s="370">
        <v>2316.0212788399999</v>
      </c>
      <c r="C9" s="253">
        <v>2237.3565123875001</v>
      </c>
      <c r="D9" s="371">
        <v>2117.34931899</v>
      </c>
      <c r="E9" s="370">
        <v>1758.0409207749999</v>
      </c>
      <c r="F9" s="244">
        <f t="shared" ref="F9:F15" si="1">IF(E9=0,"",D9/E9-1)</f>
        <v>0.2043799970575233</v>
      </c>
      <c r="G9" s="377">
        <v>17401.832639089997</v>
      </c>
      <c r="H9" s="253">
        <v>15906.4315954875</v>
      </c>
      <c r="I9" s="248">
        <f t="shared" ref="I9:I15" si="2">IF(H9=0,"",G9/H9-1)</f>
        <v>9.4012351835513375E-2</v>
      </c>
      <c r="J9" s="370">
        <v>16610.108096436019</v>
      </c>
      <c r="K9" s="244">
        <f t="shared" si="0"/>
        <v>-4.2364354094691525E-2</v>
      </c>
    </row>
    <row r="10" spans="1:11" ht="15" customHeight="1">
      <c r="A10" s="118" t="s">
        <v>38</v>
      </c>
      <c r="B10" s="372">
        <v>124.6546490225</v>
      </c>
      <c r="C10" s="254">
        <v>147.70153075500002</v>
      </c>
      <c r="D10" s="373">
        <v>162.04094952</v>
      </c>
      <c r="E10" s="372">
        <v>149.6194183675</v>
      </c>
      <c r="F10" s="245">
        <f>IF(E10=0,"",D10/E10-1)</f>
        <v>8.3020849085175819E-2</v>
      </c>
      <c r="G10" s="378">
        <v>1386.6491204849999</v>
      </c>
      <c r="H10" s="254">
        <v>1214.5383555075</v>
      </c>
      <c r="I10" s="249">
        <f t="shared" si="2"/>
        <v>0.14170879346629017</v>
      </c>
      <c r="J10" s="372">
        <v>885.74689270594808</v>
      </c>
      <c r="K10" s="245">
        <f t="shared" si="0"/>
        <v>0.37120250210203642</v>
      </c>
    </row>
    <row r="11" spans="1:11" ht="15" customHeight="1">
      <c r="A11" s="117" t="s">
        <v>30</v>
      </c>
      <c r="B11" s="370">
        <v>66.063445387499982</v>
      </c>
      <c r="C11" s="253">
        <v>67.23456245749999</v>
      </c>
      <c r="D11" s="371">
        <v>77.070130602500001</v>
      </c>
      <c r="E11" s="370">
        <v>74.899055544999996</v>
      </c>
      <c r="F11" s="244">
        <f>IF(E11=0,"",D11/E11-1)</f>
        <v>2.8986681363366573E-2</v>
      </c>
      <c r="G11" s="377">
        <v>609.06993416249986</v>
      </c>
      <c r="H11" s="253">
        <v>591.86199672000009</v>
      </c>
      <c r="I11" s="248">
        <f t="shared" si="2"/>
        <v>2.9074239498165566E-2</v>
      </c>
      <c r="J11" s="370">
        <v>182.99948744017303</v>
      </c>
      <c r="K11" s="244">
        <f t="shared" si="0"/>
        <v>2.2342276199734941</v>
      </c>
    </row>
    <row r="12" spans="1:11" ht="15" customHeight="1">
      <c r="A12" s="145" t="s">
        <v>43</v>
      </c>
      <c r="B12" s="374">
        <f>+SUM(B8:B11)</f>
        <v>4401.5973424274998</v>
      </c>
      <c r="C12" s="365">
        <f t="shared" ref="C12:E12" si="3">+SUM(C8:C11)</f>
        <v>4269.9405822325007</v>
      </c>
      <c r="D12" s="375">
        <f t="shared" si="3"/>
        <v>4482.5706027575006</v>
      </c>
      <c r="E12" s="374">
        <f t="shared" si="3"/>
        <v>4354.5890086974996</v>
      </c>
      <c r="F12" s="246">
        <f>IF(E12=0,"",D12/E12-1)</f>
        <v>2.9390051232017766E-2</v>
      </c>
      <c r="G12" s="374">
        <f t="shared" ref="G12:J12" si="4">+SUM(G8:G11)</f>
        <v>43900.193353912502</v>
      </c>
      <c r="H12" s="365">
        <f t="shared" si="4"/>
        <v>42041.290643150001</v>
      </c>
      <c r="I12" s="250">
        <f>IF(H12=0,"",G12/H12-1)</f>
        <v>4.4216119018348543E-2</v>
      </c>
      <c r="J12" s="374">
        <f t="shared" si="4"/>
        <v>40729.647443450689</v>
      </c>
      <c r="K12" s="246">
        <f t="shared" si="0"/>
        <v>3.2203647269974711E-2</v>
      </c>
    </row>
    <row r="13" spans="1:11" ht="15" customHeight="1">
      <c r="A13" s="112"/>
      <c r="B13" s="112"/>
      <c r="C13" s="112"/>
      <c r="D13" s="112"/>
      <c r="E13" s="112"/>
      <c r="F13" s="114"/>
      <c r="G13" s="112"/>
      <c r="H13" s="112"/>
      <c r="I13" s="114"/>
      <c r="J13" s="113"/>
      <c r="K13" s="114" t="str">
        <f t="shared" si="0"/>
        <v/>
      </c>
    </row>
    <row r="14" spans="1:11" ht="15" customHeight="1">
      <c r="A14" s="119" t="s">
        <v>39</v>
      </c>
      <c r="B14" s="241">
        <v>19.613563159999973</v>
      </c>
      <c r="C14" s="242">
        <v>0</v>
      </c>
      <c r="D14" s="367">
        <v>0</v>
      </c>
      <c r="E14" s="241">
        <v>0</v>
      </c>
      <c r="F14" s="120" t="str">
        <f t="shared" si="1"/>
        <v/>
      </c>
      <c r="G14" s="241">
        <v>57.917815239999996</v>
      </c>
      <c r="H14" s="242">
        <v>21.20075765</v>
      </c>
      <c r="I14" s="123">
        <f t="shared" si="2"/>
        <v>1.7318747846730842</v>
      </c>
      <c r="J14" s="241">
        <v>16.595158999999999</v>
      </c>
      <c r="K14" s="120">
        <f t="shared" si="0"/>
        <v>0.27752663593039406</v>
      </c>
    </row>
    <row r="15" spans="1:11" ht="15" customHeight="1">
      <c r="A15" s="118" t="s">
        <v>40</v>
      </c>
      <c r="B15" s="238">
        <v>0</v>
      </c>
      <c r="C15" s="239">
        <v>0</v>
      </c>
      <c r="D15" s="240">
        <v>0</v>
      </c>
      <c r="E15" s="238">
        <v>0</v>
      </c>
      <c r="F15" s="121" t="str">
        <f t="shared" si="1"/>
        <v/>
      </c>
      <c r="G15" s="238">
        <v>0</v>
      </c>
      <c r="H15" s="239">
        <v>0</v>
      </c>
      <c r="I15" s="115" t="str">
        <f t="shared" si="2"/>
        <v/>
      </c>
      <c r="J15" s="238">
        <v>0</v>
      </c>
      <c r="K15" s="121" t="str">
        <f t="shared" si="0"/>
        <v/>
      </c>
    </row>
    <row r="16" spans="1:11" ht="23.25" customHeight="1">
      <c r="A16" s="125" t="s">
        <v>41</v>
      </c>
      <c r="B16" s="251">
        <v>0</v>
      </c>
      <c r="C16" s="252">
        <v>0</v>
      </c>
      <c r="D16" s="431">
        <v>0</v>
      </c>
      <c r="E16" s="251">
        <v>0</v>
      </c>
      <c r="F16" s="122"/>
      <c r="G16" s="251">
        <v>0</v>
      </c>
      <c r="H16" s="252">
        <v>0</v>
      </c>
      <c r="I16" s="124"/>
      <c r="J16" s="251">
        <v>0</v>
      </c>
      <c r="K16" s="122"/>
    </row>
    <row r="17" spans="1:11" ht="11.25" customHeight="1">
      <c r="A17" s="237" t="s">
        <v>231</v>
      </c>
      <c r="B17" s="110"/>
      <c r="C17" s="110"/>
      <c r="D17" s="110"/>
      <c r="E17" s="110"/>
      <c r="F17" s="110"/>
      <c r="G17" s="110"/>
      <c r="H17" s="110"/>
      <c r="I17" s="110"/>
      <c r="J17" s="110"/>
      <c r="K17" s="110"/>
    </row>
    <row r="18" spans="1:11" ht="11.25" customHeight="1">
      <c r="A18" s="31"/>
      <c r="B18" s="110"/>
      <c r="C18" s="110"/>
      <c r="D18" s="110"/>
      <c r="E18" s="110"/>
      <c r="F18" s="110"/>
      <c r="G18" s="110"/>
      <c r="H18" s="110"/>
      <c r="I18" s="110"/>
      <c r="J18" s="110"/>
      <c r="K18" s="110"/>
    </row>
    <row r="19" spans="1:11" ht="11.25" customHeight="1">
      <c r="A19" s="1"/>
      <c r="B19" s="95"/>
      <c r="C19" s="95"/>
      <c r="D19" s="95"/>
      <c r="E19" s="95"/>
      <c r="F19" s="95"/>
      <c r="G19" s="95"/>
      <c r="H19" s="95"/>
      <c r="I19" s="95"/>
      <c r="J19" s="95"/>
      <c r="K19" s="95"/>
    </row>
    <row r="20" spans="1:11" ht="11.25" customHeight="1">
      <c r="A20" s="1"/>
      <c r="B20" s="95"/>
      <c r="C20" s="95"/>
      <c r="D20" s="95"/>
      <c r="E20" s="95"/>
      <c r="F20" s="95"/>
      <c r="G20" s="95"/>
      <c r="H20" s="95"/>
      <c r="I20" s="95"/>
      <c r="J20" s="95"/>
      <c r="K20" s="95"/>
    </row>
    <row r="21" spans="1:11" ht="11.25" customHeight="1">
      <c r="A21" s="54"/>
      <c r="B21" s="54"/>
      <c r="C21" s="54"/>
      <c r="D21" s="54"/>
      <c r="E21" s="54"/>
      <c r="F21" s="54"/>
      <c r="G21" s="54"/>
      <c r="H21" s="54"/>
      <c r="I21" s="54"/>
      <c r="J21" s="54"/>
      <c r="K21" s="54"/>
    </row>
    <row r="22" spans="1:11" ht="11.25" customHeight="1">
      <c r="A22" s="1"/>
      <c r="B22" s="95"/>
      <c r="C22" s="95"/>
      <c r="D22" s="95"/>
      <c r="E22" s="95"/>
      <c r="F22" s="95"/>
      <c r="G22" s="95"/>
      <c r="H22" s="95"/>
      <c r="I22" s="95"/>
      <c r="J22" s="95"/>
      <c r="K22" s="95"/>
    </row>
    <row r="23" spans="1:11" ht="11.25" customHeight="1">
      <c r="A23" s="1"/>
      <c r="B23" s="95"/>
      <c r="C23" s="95"/>
      <c r="D23" s="95"/>
      <c r="E23" s="95"/>
      <c r="F23" s="95"/>
      <c r="G23" s="95"/>
      <c r="H23" s="95"/>
      <c r="I23" s="95"/>
      <c r="J23" s="95"/>
      <c r="K23" s="95"/>
    </row>
    <row r="24" spans="1:11" ht="11.25" customHeight="1">
      <c r="A24" s="1"/>
      <c r="B24" s="95"/>
      <c r="C24" s="95"/>
      <c r="D24" s="95"/>
      <c r="E24" s="95"/>
      <c r="F24" s="95"/>
      <c r="G24" s="95"/>
      <c r="H24" s="95"/>
      <c r="I24" s="95"/>
      <c r="J24" s="95"/>
      <c r="K24" s="95"/>
    </row>
    <row r="25" spans="1:11" ht="11.25" customHeight="1">
      <c r="A25" s="1"/>
      <c r="B25" s="95"/>
      <c r="C25" s="95"/>
      <c r="D25" s="95"/>
      <c r="E25" s="95"/>
      <c r="F25" s="95"/>
      <c r="G25" s="95"/>
      <c r="H25" s="95"/>
      <c r="I25" s="95"/>
      <c r="J25" s="95"/>
      <c r="K25" s="95"/>
    </row>
    <row r="26" spans="1:11" ht="11.25" customHeight="1">
      <c r="A26" s="1"/>
      <c r="B26" s="95"/>
      <c r="C26" s="95"/>
      <c r="D26" s="95"/>
      <c r="E26" s="95"/>
      <c r="F26" s="95"/>
      <c r="G26" s="95"/>
      <c r="H26" s="95"/>
      <c r="I26" s="95"/>
      <c r="J26" s="95"/>
      <c r="K26" s="95"/>
    </row>
    <row r="27" spans="1:11" ht="11.25" customHeight="1">
      <c r="A27" s="1"/>
      <c r="B27" s="95"/>
      <c r="C27" s="95"/>
      <c r="D27" s="95"/>
      <c r="E27" s="95"/>
      <c r="F27" s="95"/>
      <c r="G27" s="95"/>
      <c r="H27" s="95"/>
      <c r="I27" s="95"/>
      <c r="J27" s="95"/>
      <c r="K27" s="95"/>
    </row>
    <row r="28" spans="1:11" ht="11.25" customHeight="1">
      <c r="A28" s="1"/>
      <c r="B28" s="95"/>
      <c r="C28" s="95"/>
      <c r="D28" s="95"/>
      <c r="E28" s="95"/>
      <c r="F28" s="95"/>
      <c r="G28" s="95"/>
      <c r="H28" s="95"/>
      <c r="I28" s="95"/>
      <c r="J28" s="95"/>
      <c r="K28" s="95"/>
    </row>
    <row r="29" spans="1:11" ht="11.25" customHeight="1">
      <c r="A29" s="1"/>
      <c r="B29" s="95"/>
      <c r="C29" s="95"/>
      <c r="D29" s="95"/>
      <c r="E29" s="95"/>
      <c r="F29" s="95"/>
      <c r="G29" s="95"/>
      <c r="H29" s="95"/>
      <c r="I29" s="95"/>
      <c r="J29" s="95"/>
      <c r="K29" s="95"/>
    </row>
    <row r="30" spans="1:11" ht="11.25" customHeight="1">
      <c r="A30" s="1"/>
      <c r="B30" s="95"/>
      <c r="C30" s="95"/>
      <c r="D30" s="95"/>
      <c r="E30" s="95"/>
      <c r="F30" s="95"/>
      <c r="G30" s="95"/>
      <c r="H30" s="95"/>
      <c r="I30" s="95"/>
      <c r="J30" s="95"/>
      <c r="K30" s="95"/>
    </row>
    <row r="31" spans="1:11" ht="11.25" customHeight="1">
      <c r="A31" s="1"/>
      <c r="B31" s="95"/>
      <c r="C31" s="95"/>
      <c r="D31" s="95"/>
      <c r="E31" s="95"/>
      <c r="F31" s="95"/>
      <c r="G31" s="95"/>
      <c r="H31" s="95"/>
      <c r="I31" s="95"/>
      <c r="J31" s="95"/>
      <c r="K31" s="95"/>
    </row>
    <row r="32" spans="1:11" ht="11.25" customHeight="1">
      <c r="A32" s="1"/>
      <c r="B32" s="95"/>
      <c r="C32" s="95"/>
      <c r="D32" s="95"/>
      <c r="E32" s="95"/>
      <c r="F32" s="95"/>
      <c r="G32" s="95"/>
      <c r="H32" s="95"/>
      <c r="I32" s="95"/>
      <c r="J32" s="95"/>
      <c r="K32" s="95"/>
    </row>
    <row r="33" spans="1:11" ht="11.25" customHeight="1">
      <c r="A33" s="1"/>
      <c r="B33" s="95"/>
      <c r="C33" s="95"/>
      <c r="D33" s="95"/>
      <c r="E33" s="95"/>
      <c r="F33" s="95"/>
      <c r="G33" s="95"/>
      <c r="H33" s="95"/>
      <c r="I33" s="95"/>
      <c r="J33" s="95"/>
      <c r="K33" s="95"/>
    </row>
    <row r="34" spans="1:11" ht="11.25" customHeight="1">
      <c r="A34" s="1"/>
      <c r="B34" s="95"/>
      <c r="C34" s="95"/>
      <c r="D34" s="95"/>
      <c r="E34" s="95"/>
      <c r="F34" s="95"/>
      <c r="G34" s="95"/>
      <c r="H34" s="95"/>
      <c r="I34" s="95"/>
      <c r="J34" s="95"/>
      <c r="K34" s="95"/>
    </row>
    <row r="35" spans="1:11" ht="11.25" customHeight="1">
      <c r="A35" s="1"/>
      <c r="B35" s="95"/>
      <c r="C35" s="95"/>
      <c r="D35" s="95"/>
      <c r="E35" s="95"/>
      <c r="F35" s="95"/>
      <c r="G35" s="95"/>
      <c r="H35" s="95"/>
      <c r="I35" s="95"/>
      <c r="J35" s="95"/>
      <c r="K35" s="95"/>
    </row>
    <row r="36" spans="1:11" ht="11.25" customHeight="1">
      <c r="A36" s="1"/>
      <c r="B36" s="95"/>
      <c r="C36" s="95"/>
      <c r="D36" s="95"/>
      <c r="E36" s="95"/>
      <c r="F36" s="95"/>
      <c r="G36" s="95"/>
      <c r="H36" s="95"/>
      <c r="I36" s="95"/>
      <c r="J36" s="95"/>
      <c r="K36" s="95"/>
    </row>
    <row r="37" spans="1:11" ht="11.25" customHeight="1">
      <c r="A37" s="1"/>
      <c r="B37" s="95"/>
      <c r="C37" s="95"/>
      <c r="D37" s="95"/>
      <c r="E37" s="95"/>
      <c r="F37" s="95"/>
      <c r="G37" s="95"/>
      <c r="H37" s="95"/>
      <c r="I37" s="95"/>
      <c r="J37" s="95"/>
      <c r="K37" s="95"/>
    </row>
    <row r="38" spans="1:11" ht="11.25" customHeight="1">
      <c r="A38" s="1"/>
      <c r="B38" s="95"/>
      <c r="C38" s="95"/>
      <c r="D38" s="95"/>
      <c r="E38" s="95"/>
      <c r="F38" s="95"/>
      <c r="G38" s="95"/>
      <c r="H38" s="95"/>
      <c r="I38" s="95"/>
      <c r="J38" s="95"/>
      <c r="K38" s="95"/>
    </row>
    <row r="39" spans="1:11" ht="11.25" customHeight="1">
      <c r="A39" s="1"/>
      <c r="B39" s="95"/>
      <c r="C39" s="95"/>
      <c r="D39" s="95"/>
      <c r="E39" s="95"/>
      <c r="F39" s="95"/>
      <c r="G39" s="95"/>
      <c r="H39" s="95"/>
      <c r="I39" s="95"/>
      <c r="J39" s="95"/>
      <c r="K39" s="95"/>
    </row>
    <row r="40" spans="1:11" ht="11.25" customHeight="1">
      <c r="A40" s="1"/>
      <c r="B40" s="95"/>
      <c r="C40" s="95"/>
      <c r="D40" s="95"/>
      <c r="E40" s="95"/>
      <c r="F40" s="95"/>
      <c r="G40" s="95"/>
      <c r="H40" s="95"/>
      <c r="I40" s="95"/>
      <c r="J40" s="95"/>
      <c r="K40" s="95"/>
    </row>
    <row r="41" spans="1:11" ht="11.25" customHeight="1">
      <c r="A41" s="1"/>
      <c r="B41" s="95"/>
      <c r="C41" s="95"/>
      <c r="D41" s="95"/>
      <c r="E41" s="95"/>
      <c r="F41" s="95"/>
      <c r="G41" s="95"/>
      <c r="H41" s="95"/>
      <c r="I41" s="95"/>
      <c r="J41" s="95"/>
      <c r="K41" s="95"/>
    </row>
    <row r="42" spans="1:11" ht="11.25" customHeight="1">
      <c r="A42" s="96"/>
      <c r="B42" s="898"/>
      <c r="C42" s="898"/>
      <c r="D42" s="898"/>
      <c r="E42" s="93"/>
      <c r="F42" s="93"/>
      <c r="G42" s="899"/>
      <c r="H42" s="899"/>
      <c r="I42" s="899"/>
      <c r="J42" s="899"/>
      <c r="K42" s="899"/>
    </row>
    <row r="43" spans="1:11" ht="11.25" customHeight="1">
      <c r="A43" s="97"/>
      <c r="B43" s="98"/>
      <c r="C43" s="98"/>
      <c r="D43" s="98"/>
      <c r="E43" s="98"/>
      <c r="F43" s="98"/>
      <c r="G43" s="99"/>
      <c r="H43" s="99"/>
      <c r="I43" s="100"/>
      <c r="J43" s="99"/>
      <c r="K43" s="99"/>
    </row>
    <row r="44" spans="1:11" ht="11.25" customHeight="1">
      <c r="A44" s="96"/>
      <c r="B44" s="101"/>
      <c r="C44" s="94"/>
      <c r="D44" s="94"/>
      <c r="E44" s="94"/>
      <c r="F44" s="94"/>
      <c r="G44" s="94"/>
      <c r="H44" s="94"/>
      <c r="I44" s="94"/>
      <c r="J44" s="94"/>
      <c r="K44" s="94"/>
    </row>
    <row r="45" spans="1:11" ht="11.25" customHeight="1">
      <c r="A45" s="1"/>
      <c r="B45" s="72"/>
      <c r="C45" s="72"/>
      <c r="D45" s="72"/>
      <c r="E45" s="72"/>
      <c r="F45" s="72"/>
      <c r="G45" s="72"/>
      <c r="H45" s="72"/>
      <c r="I45" s="102"/>
      <c r="J45" s="72"/>
      <c r="K45" s="103"/>
    </row>
    <row r="46" spans="1:11" ht="11.25" customHeight="1">
      <c r="A46" s="1"/>
      <c r="B46" s="72"/>
      <c r="C46" s="72"/>
      <c r="D46" s="72"/>
      <c r="E46" s="72"/>
      <c r="F46" s="72"/>
      <c r="G46" s="72"/>
      <c r="H46" s="72"/>
      <c r="I46" s="102"/>
      <c r="J46" s="72"/>
      <c r="K46" s="103"/>
    </row>
    <row r="47" spans="1:11" ht="11.25" customHeight="1">
      <c r="A47" s="1"/>
      <c r="B47" s="72"/>
      <c r="C47" s="72"/>
      <c r="D47" s="72"/>
      <c r="E47" s="72"/>
      <c r="F47" s="72"/>
      <c r="G47" s="72"/>
      <c r="H47" s="72"/>
      <c r="I47" s="102"/>
      <c r="J47" s="72"/>
      <c r="K47" s="103"/>
    </row>
    <row r="48" spans="1:11" ht="11.25" customHeight="1">
      <c r="A48" s="1"/>
      <c r="B48" s="72"/>
      <c r="C48" s="72"/>
      <c r="D48" s="72"/>
      <c r="E48" s="72"/>
      <c r="F48" s="72"/>
      <c r="G48" s="72"/>
      <c r="H48" s="72"/>
      <c r="I48" s="102"/>
      <c r="J48" s="72"/>
      <c r="K48" s="103"/>
    </row>
    <row r="49" spans="1:11" ht="11.25" customHeight="1">
      <c r="A49" s="1"/>
      <c r="B49" s="72"/>
      <c r="C49" s="72"/>
      <c r="D49" s="72"/>
      <c r="E49" s="72"/>
      <c r="F49" s="72"/>
      <c r="G49" s="72"/>
      <c r="H49" s="72"/>
      <c r="I49" s="102"/>
      <c r="J49" s="72"/>
      <c r="K49" s="103"/>
    </row>
    <row r="50" spans="1:11" ht="11.25" customHeight="1">
      <c r="A50" s="1"/>
      <c r="B50" s="72"/>
      <c r="C50" s="72"/>
      <c r="D50" s="72"/>
      <c r="E50" s="72"/>
      <c r="F50" s="72"/>
      <c r="G50" s="72"/>
      <c r="H50" s="72"/>
      <c r="I50" s="102"/>
      <c r="J50" s="72"/>
      <c r="K50" s="103"/>
    </row>
    <row r="51" spans="1:11" ht="11.25" customHeight="1">
      <c r="A51" s="1"/>
      <c r="B51" s="72"/>
      <c r="C51" s="72"/>
      <c r="D51" s="72"/>
      <c r="E51" s="72"/>
      <c r="F51" s="72"/>
      <c r="G51" s="72"/>
      <c r="H51" s="72"/>
      <c r="I51" s="102"/>
      <c r="J51" s="72"/>
      <c r="K51" s="103"/>
    </row>
    <row r="52" spans="1:11" ht="11.25" customHeight="1">
      <c r="A52" s="1"/>
      <c r="B52" s="72"/>
      <c r="C52" s="72"/>
      <c r="D52" s="72"/>
      <c r="E52" s="72"/>
      <c r="F52" s="72"/>
      <c r="G52" s="72"/>
      <c r="H52" s="72"/>
      <c r="I52" s="102"/>
      <c r="J52" s="72"/>
      <c r="K52" s="103"/>
    </row>
    <row r="53" spans="1:11" ht="12.75">
      <c r="A53" s="1"/>
      <c r="B53" s="72"/>
      <c r="C53" s="72"/>
      <c r="D53" s="72"/>
      <c r="E53" s="72"/>
      <c r="F53" s="72"/>
      <c r="G53" s="72"/>
      <c r="H53" s="72"/>
      <c r="I53" s="102"/>
      <c r="J53" s="72"/>
      <c r="K53" s="103"/>
    </row>
    <row r="54" spans="1:11" ht="12.75">
      <c r="A54" s="1"/>
      <c r="B54" s="72"/>
      <c r="C54" s="72"/>
      <c r="D54" s="72"/>
      <c r="E54" s="72"/>
      <c r="F54" s="72"/>
      <c r="G54" s="72"/>
      <c r="H54" s="72"/>
      <c r="I54" s="102"/>
      <c r="J54" s="72"/>
      <c r="K54" s="103"/>
    </row>
    <row r="55" spans="1:11" ht="12.75">
      <c r="A55" s="1"/>
      <c r="B55" s="72"/>
      <c r="C55" s="72"/>
      <c r="D55" s="72"/>
      <c r="E55" s="72"/>
      <c r="F55" s="72"/>
      <c r="G55" s="72"/>
      <c r="H55" s="72"/>
      <c r="I55" s="102"/>
      <c r="J55" s="72"/>
      <c r="K55" s="103"/>
    </row>
    <row r="56" spans="1:11" ht="12.75">
      <c r="A56" s="1"/>
      <c r="B56" s="72"/>
      <c r="C56" s="72"/>
      <c r="D56" s="72"/>
      <c r="E56" s="72"/>
      <c r="F56" s="72"/>
      <c r="G56" s="72"/>
      <c r="H56" s="72"/>
      <c r="I56" s="102"/>
      <c r="J56" s="72"/>
      <c r="K56" s="103"/>
    </row>
    <row r="57" spans="1:11" ht="12.75">
      <c r="A57" s="1"/>
      <c r="B57" s="72"/>
      <c r="C57" s="72"/>
      <c r="D57" s="72"/>
      <c r="E57" s="72"/>
      <c r="F57" s="72"/>
      <c r="G57" s="72"/>
      <c r="H57" s="72"/>
      <c r="I57" s="102"/>
      <c r="J57" s="72"/>
      <c r="K57" s="103"/>
    </row>
    <row r="58" spans="1:11" ht="12.75">
      <c r="A58" s="237" t="str">
        <f>"Gráfico N° 4: Comparación de la producción de energía eléctrica por tipo de generación acumulada a "&amp;'1. Resumen'!Q4</f>
        <v>Gráfico N° 4: Comparación de la producción de energía eléctrica por tipo de generación acumulada a octubre</v>
      </c>
      <c r="B58" s="72"/>
      <c r="C58" s="72"/>
      <c r="D58" s="72"/>
      <c r="E58" s="72"/>
      <c r="F58" s="72"/>
      <c r="G58" s="72"/>
      <c r="H58" s="72"/>
      <c r="I58" s="102"/>
      <c r="J58" s="72"/>
      <c r="K58" s="103"/>
    </row>
    <row r="59" spans="1:11" ht="12.75">
      <c r="B59" s="72"/>
      <c r="C59" s="72"/>
      <c r="D59" s="72"/>
      <c r="E59" s="72"/>
      <c r="F59" s="72"/>
      <c r="G59" s="72"/>
      <c r="H59" s="72"/>
      <c r="I59" s="102"/>
      <c r="J59" s="72"/>
      <c r="K59" s="103"/>
    </row>
    <row r="60" spans="1:11" ht="12.75">
      <c r="A60" s="1"/>
      <c r="B60" s="72"/>
      <c r="C60" s="72"/>
      <c r="D60" s="72"/>
      <c r="E60" s="72"/>
      <c r="F60" s="72"/>
      <c r="G60" s="72"/>
      <c r="H60" s="72"/>
      <c r="I60" s="102"/>
      <c r="J60" s="72"/>
      <c r="K60" s="103"/>
    </row>
    <row r="61" spans="1:11" ht="12.75">
      <c r="A61" s="1"/>
      <c r="B61" s="72"/>
      <c r="C61" s="72"/>
      <c r="D61" s="72"/>
      <c r="E61" s="72"/>
      <c r="F61" s="72"/>
      <c r="G61" s="72"/>
      <c r="H61" s="72"/>
      <c r="I61" s="102"/>
      <c r="J61" s="72"/>
      <c r="K61" s="103"/>
    </row>
    <row r="63" spans="1:11" ht="12.75">
      <c r="A63" s="104"/>
      <c r="B63" s="105"/>
      <c r="C63" s="105"/>
      <c r="D63" s="105"/>
      <c r="E63" s="105"/>
      <c r="F63" s="105"/>
      <c r="G63" s="105"/>
      <c r="H63" s="102"/>
      <c r="I63" s="102"/>
      <c r="J63" s="105"/>
      <c r="K63" s="103"/>
    </row>
    <row r="64" spans="1:11" ht="12.75">
      <c r="A64" s="1"/>
      <c r="B64" s="72"/>
      <c r="C64" s="72"/>
      <c r="D64" s="72"/>
      <c r="E64" s="72"/>
      <c r="F64" s="72"/>
      <c r="G64" s="72"/>
      <c r="H64" s="72"/>
      <c r="I64" s="102"/>
      <c r="J64" s="72"/>
      <c r="K64" s="106"/>
    </row>
    <row r="65" spans="1:11" ht="12.75">
      <c r="A65" s="1"/>
      <c r="B65" s="72"/>
      <c r="C65" s="72"/>
      <c r="D65" s="72"/>
      <c r="E65" s="72"/>
      <c r="F65" s="72"/>
      <c r="G65" s="72"/>
      <c r="H65" s="72"/>
      <c r="I65" s="107"/>
      <c r="J65" s="72"/>
      <c r="K65" s="106"/>
    </row>
    <row r="66" spans="1:11" ht="12.75">
      <c r="A66" s="1"/>
      <c r="B66" s="72"/>
      <c r="C66" s="72"/>
      <c r="D66" s="72"/>
      <c r="E66" s="72"/>
      <c r="F66" s="72"/>
      <c r="G66" s="72"/>
      <c r="H66" s="108"/>
      <c r="I66" s="108"/>
      <c r="J66" s="72"/>
      <c r="K66" s="106"/>
    </row>
    <row r="67" spans="1:11" ht="12.75">
      <c r="A67" s="1"/>
      <c r="B67" s="72"/>
      <c r="C67" s="72"/>
      <c r="D67" s="72"/>
      <c r="E67" s="72"/>
      <c r="F67" s="72"/>
      <c r="G67" s="72"/>
      <c r="H67" s="108"/>
      <c r="I67" s="108"/>
      <c r="J67" s="72"/>
      <c r="K67" s="106"/>
    </row>
    <row r="68" spans="1:11" ht="12.75">
      <c r="A68" s="104"/>
      <c r="B68" s="105"/>
      <c r="C68" s="105"/>
      <c r="D68" s="105"/>
      <c r="E68" s="105"/>
      <c r="F68" s="105"/>
      <c r="G68" s="105"/>
      <c r="H68" s="109"/>
      <c r="I68" s="102"/>
      <c r="J68" s="105"/>
      <c r="K68" s="103"/>
    </row>
    <row r="69" spans="1:11" ht="12.75">
      <c r="A69" s="104"/>
      <c r="B69" s="105"/>
      <c r="C69" s="105"/>
      <c r="D69" s="105"/>
      <c r="E69" s="105"/>
      <c r="F69" s="105"/>
      <c r="G69" s="105"/>
      <c r="H69" s="102"/>
      <c r="I69" s="102"/>
      <c r="J69" s="105"/>
      <c r="K69" s="103"/>
    </row>
  </sheetData>
  <mergeCells count="9">
    <mergeCell ref="B42:D42"/>
    <mergeCell ref="G42:I42"/>
    <mergeCell ref="J42:K42"/>
    <mergeCell ref="A6:A7"/>
    <mergeCell ref="A2:K2"/>
    <mergeCell ref="A4:K4"/>
    <mergeCell ref="B6:D6"/>
    <mergeCell ref="E6:F6"/>
    <mergeCell ref="G6:K6"/>
  </mergeCells>
  <pageMargins left="0.70866141732283472" right="0.59055118110236227" top="1.0236220472440944" bottom="0.62992125984251968" header="0.31496062992125984" footer="0.31496062992125984"/>
  <pageSetup paperSize="9" scale="89" orientation="portrait" r:id="rId1"/>
  <headerFooter>
    <oddHeader>&amp;R&amp;7Informe de la Operación Mensual-Octubre 2019
INFSGI-MES-10-2019
18/10/2019
Versión: 01</oddHeader>
    <oddFooter>&amp;L&amp;7COES, 2019&amp;C3&amp;R&amp;7Dirección Ejecutiva
Sub Dirección de Gestión de Información</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tabColor theme="4"/>
  </sheetPr>
  <dimension ref="A1:L63"/>
  <sheetViews>
    <sheetView showGridLines="0" view="pageBreakPreview" topLeftCell="A41" zoomScale="115" zoomScaleNormal="100" zoomScaleSheetLayoutView="115" zoomScalePageLayoutView="145" workbookViewId="0">
      <selection activeCell="M12" sqref="M12"/>
    </sheetView>
  </sheetViews>
  <sheetFormatPr defaultColWidth="9.33203125" defaultRowHeight="11.25"/>
  <cols>
    <col min="1" max="1" width="15.1640625" customWidth="1"/>
    <col min="2" max="2" width="12.33203125" customWidth="1"/>
    <col min="3" max="3" width="11.6640625" customWidth="1"/>
    <col min="4" max="4" width="13.1640625" customWidth="1"/>
    <col min="5" max="5" width="9.83203125" customWidth="1"/>
    <col min="6" max="6" width="10.5" customWidth="1"/>
    <col min="7" max="7" width="10.83203125" customWidth="1"/>
    <col min="8" max="8" width="10.5" bestFit="1" customWidth="1"/>
    <col min="9" max="9" width="9.5" bestFit="1" customWidth="1"/>
    <col min="10" max="10" width="12.33203125" customWidth="1"/>
    <col min="11" max="11" width="9.33203125" customWidth="1"/>
  </cols>
  <sheetData>
    <row r="1" spans="1:12" ht="11.25" customHeight="1"/>
    <row r="2" spans="1:12" ht="11.25" customHeight="1">
      <c r="A2" s="908" t="str">
        <f>+"3.2. PRODUCCIÓN POR TIPO DE RECURSO ENERGÉTICO (GWh)"</f>
        <v>3.2. PRODUCCIÓN POR TIPO DE RECURSO ENERGÉTICO (GWh)</v>
      </c>
      <c r="B2" s="908"/>
      <c r="C2" s="908"/>
      <c r="D2" s="908"/>
      <c r="E2" s="908"/>
      <c r="F2" s="908"/>
      <c r="G2" s="908"/>
      <c r="H2" s="908"/>
      <c r="I2" s="908"/>
      <c r="J2" s="908"/>
      <c r="K2" s="908"/>
    </row>
    <row r="3" spans="1:12" ht="18.75" customHeight="1">
      <c r="A3" s="126"/>
      <c r="B3" s="127"/>
      <c r="C3" s="128"/>
      <c r="D3" s="129"/>
      <c r="E3" s="129"/>
      <c r="F3" s="129"/>
      <c r="G3" s="130"/>
      <c r="H3" s="130"/>
      <c r="I3" s="130"/>
      <c r="J3" s="126"/>
      <c r="K3" s="126"/>
      <c r="L3" s="36"/>
    </row>
    <row r="4" spans="1:12" ht="14.25" customHeight="1">
      <c r="A4" s="912" t="s">
        <v>44</v>
      </c>
      <c r="B4" s="909" t="s">
        <v>33</v>
      </c>
      <c r="C4" s="910"/>
      <c r="D4" s="910"/>
      <c r="E4" s="910" t="s">
        <v>34</v>
      </c>
      <c r="F4" s="910"/>
      <c r="G4" s="911" t="str">
        <f>+'3. Tipo Generación'!G6:K6</f>
        <v>Generación Acumulada a octubre</v>
      </c>
      <c r="H4" s="911"/>
      <c r="I4" s="911"/>
      <c r="J4" s="911"/>
      <c r="K4" s="911"/>
      <c r="L4" s="131"/>
    </row>
    <row r="5" spans="1:12" ht="26.25" customHeight="1">
      <c r="A5" s="912"/>
      <c r="B5" s="519">
        <f>+'3. Tipo Generación'!B7</f>
        <v>43681</v>
      </c>
      <c r="C5" s="519">
        <f>+'3. Tipo Generación'!C7</f>
        <v>43711</v>
      </c>
      <c r="D5" s="519">
        <f>+'3. Tipo Generación'!D7</f>
        <v>43739</v>
      </c>
      <c r="E5" s="519">
        <f>+'3. Tipo Generación'!E7</f>
        <v>43374</v>
      </c>
      <c r="F5" s="520" t="s">
        <v>35</v>
      </c>
      <c r="G5" s="521">
        <v>2019</v>
      </c>
      <c r="H5" s="521">
        <v>2018</v>
      </c>
      <c r="I5" s="520" t="s">
        <v>499</v>
      </c>
      <c r="J5" s="521">
        <v>2017</v>
      </c>
      <c r="K5" s="520" t="s">
        <v>42</v>
      </c>
      <c r="L5" s="19"/>
    </row>
    <row r="6" spans="1:12" ht="11.25" customHeight="1">
      <c r="A6" s="139" t="s">
        <v>45</v>
      </c>
      <c r="B6" s="308">
        <v>1894.8579691774999</v>
      </c>
      <c r="C6" s="309">
        <v>1817.6479766325006</v>
      </c>
      <c r="D6" s="310">
        <v>2126.1102036450002</v>
      </c>
      <c r="E6" s="308">
        <v>2372.0296140100004</v>
      </c>
      <c r="F6" s="258">
        <f>IF(E6=0,"",D6/E6-1)</f>
        <v>-0.10367467965514343</v>
      </c>
      <c r="G6" s="308">
        <v>24502.641660175006</v>
      </c>
      <c r="H6" s="309">
        <v>24328.458695435002</v>
      </c>
      <c r="I6" s="258">
        <f t="shared" ref="I6:I16" si="0">IF(H6=0,"",G6/H6-1)</f>
        <v>7.1596383034608913E-3</v>
      </c>
      <c r="J6" s="308">
        <v>23050.792966868547</v>
      </c>
      <c r="K6" s="258">
        <f>IF(J6=0,"",H6/J6-1)</f>
        <v>5.5428276606487081E-2</v>
      </c>
      <c r="L6" s="24"/>
    </row>
    <row r="7" spans="1:12" ht="11.25" customHeight="1">
      <c r="A7" s="140" t="s">
        <v>51</v>
      </c>
      <c r="B7" s="311">
        <v>2158.4746670975001</v>
      </c>
      <c r="C7" s="253">
        <v>2095.97545975</v>
      </c>
      <c r="D7" s="312">
        <v>1960.5022784424998</v>
      </c>
      <c r="E7" s="311">
        <v>1668.1670487975</v>
      </c>
      <c r="F7" s="259">
        <f t="shared" ref="F7:F18" si="1">IF(E7=0,"",D7/E7-1)</f>
        <v>0.17524337856675087</v>
      </c>
      <c r="G7" s="311">
        <v>16201.574753174533</v>
      </c>
      <c r="H7" s="253">
        <v>14802.7579284525</v>
      </c>
      <c r="I7" s="259">
        <f t="shared" si="0"/>
        <v>9.4497041124570247E-2</v>
      </c>
      <c r="J7" s="311">
        <v>14435.954664174287</v>
      </c>
      <c r="K7" s="259">
        <f t="shared" ref="K7:K19" si="2">IF(J7=0,"",H7/J7-1)</f>
        <v>2.5409006387953514E-2</v>
      </c>
      <c r="L7" s="22"/>
    </row>
    <row r="8" spans="1:12" ht="11.25" customHeight="1">
      <c r="A8" s="141" t="s">
        <v>52</v>
      </c>
      <c r="B8" s="313">
        <v>61.765361412499999</v>
      </c>
      <c r="C8" s="254">
        <v>63.313720462500001</v>
      </c>
      <c r="D8" s="314">
        <v>64.190620729999992</v>
      </c>
      <c r="E8" s="313">
        <v>60.367156642499999</v>
      </c>
      <c r="F8" s="429">
        <f t="shared" si="1"/>
        <v>6.3336825852887246E-2</v>
      </c>
      <c r="G8" s="313">
        <v>504.45053920499993</v>
      </c>
      <c r="H8" s="254">
        <v>485.12435876249998</v>
      </c>
      <c r="I8" s="429">
        <f t="shared" si="0"/>
        <v>3.9837579980108506E-2</v>
      </c>
      <c r="J8" s="313">
        <v>423.14189271958685</v>
      </c>
      <c r="K8" s="429">
        <f t="shared" si="2"/>
        <v>0.1464815162699773</v>
      </c>
      <c r="L8" s="22"/>
    </row>
    <row r="9" spans="1:12" ht="11.25" customHeight="1">
      <c r="A9" s="140" t="s">
        <v>53</v>
      </c>
      <c r="B9" s="311">
        <v>72.701413130000006</v>
      </c>
      <c r="C9" s="253">
        <v>50.505097482499998</v>
      </c>
      <c r="D9" s="312">
        <v>49.544273907499999</v>
      </c>
      <c r="E9" s="311">
        <v>14.149995952499999</v>
      </c>
      <c r="F9" s="259">
        <f t="shared" si="1"/>
        <v>2.501363115142559</v>
      </c>
      <c r="G9" s="311">
        <v>306.83560870750006</v>
      </c>
      <c r="H9" s="253">
        <v>348.28843219749996</v>
      </c>
      <c r="I9" s="259">
        <f t="shared" si="0"/>
        <v>-0.11901866286071117</v>
      </c>
      <c r="J9" s="311">
        <v>96.807928109412416</v>
      </c>
      <c r="K9" s="259">
        <f t="shared" si="2"/>
        <v>2.597726332949343</v>
      </c>
      <c r="L9" s="22"/>
    </row>
    <row r="10" spans="1:12" ht="11.25" customHeight="1">
      <c r="A10" s="141" t="s">
        <v>54</v>
      </c>
      <c r="B10" s="313">
        <v>0</v>
      </c>
      <c r="C10" s="254">
        <v>0</v>
      </c>
      <c r="D10" s="314">
        <v>0</v>
      </c>
      <c r="E10" s="313">
        <v>0</v>
      </c>
      <c r="F10" s="429" t="str">
        <f t="shared" si="1"/>
        <v/>
      </c>
      <c r="G10" s="313">
        <v>0</v>
      </c>
      <c r="H10" s="254">
        <v>0</v>
      </c>
      <c r="I10" s="429" t="str">
        <f t="shared" si="0"/>
        <v/>
      </c>
      <c r="J10" s="313">
        <v>9.7034091828799998</v>
      </c>
      <c r="K10" s="429">
        <f t="shared" si="2"/>
        <v>-1</v>
      </c>
      <c r="L10" s="22"/>
    </row>
    <row r="11" spans="1:12" ht="11.25" customHeight="1">
      <c r="A11" s="140" t="s">
        <v>26</v>
      </c>
      <c r="B11" s="311">
        <v>0</v>
      </c>
      <c r="C11" s="253">
        <v>5.1607714649999998</v>
      </c>
      <c r="D11" s="312">
        <v>8.6008893574999998</v>
      </c>
      <c r="E11" s="311">
        <v>0</v>
      </c>
      <c r="F11" s="259" t="str">
        <f t="shared" si="1"/>
        <v/>
      </c>
      <c r="G11" s="311">
        <v>36.149195487499995</v>
      </c>
      <c r="H11" s="253">
        <v>43.120710160000002</v>
      </c>
      <c r="I11" s="259">
        <f t="shared" si="0"/>
        <v>-0.16167439373405734</v>
      </c>
      <c r="J11" s="311">
        <v>669.04830616469349</v>
      </c>
      <c r="K11" s="259">
        <f t="shared" si="2"/>
        <v>-0.9355491826783201</v>
      </c>
      <c r="L11" s="24"/>
    </row>
    <row r="12" spans="1:12" ht="11.25" customHeight="1">
      <c r="A12" s="141" t="s">
        <v>46</v>
      </c>
      <c r="B12" s="313">
        <v>0.18967064750000001</v>
      </c>
      <c r="C12" s="254">
        <v>0</v>
      </c>
      <c r="D12" s="314">
        <v>0.75443277499999994</v>
      </c>
      <c r="E12" s="313">
        <v>0</v>
      </c>
      <c r="F12" s="429" t="str">
        <f t="shared" si="1"/>
        <v/>
      </c>
      <c r="G12" s="313">
        <v>42.968439637499991</v>
      </c>
      <c r="H12" s="254">
        <v>5.0606056925000003</v>
      </c>
      <c r="I12" s="429">
        <f t="shared" si="0"/>
        <v>7.4907701268211362</v>
      </c>
      <c r="J12" s="313">
        <v>123.17871459257152</v>
      </c>
      <c r="K12" s="429">
        <f t="shared" si="2"/>
        <v>-0.95891655705907819</v>
      </c>
      <c r="L12" s="22"/>
    </row>
    <row r="13" spans="1:12" ht="11.25" customHeight="1">
      <c r="A13" s="140" t="s">
        <v>47</v>
      </c>
      <c r="B13" s="311">
        <v>0</v>
      </c>
      <c r="C13" s="253">
        <v>0</v>
      </c>
      <c r="D13" s="312">
        <v>5.5587990000000004E-2</v>
      </c>
      <c r="E13" s="311">
        <v>2.6453717500000001E-2</v>
      </c>
      <c r="F13" s="259">
        <f>IF(E13=0,"",D13/E13-1)</f>
        <v>1.1013299926560416</v>
      </c>
      <c r="G13" s="311">
        <v>0.282469725</v>
      </c>
      <c r="H13" s="253">
        <v>2.45941272</v>
      </c>
      <c r="I13" s="259">
        <f t="shared" si="0"/>
        <v>-0.88514748960068812</v>
      </c>
      <c r="J13" s="311">
        <v>1.6588649329540002</v>
      </c>
      <c r="K13" s="259">
        <f t="shared" si="2"/>
        <v>0.48258768459252188</v>
      </c>
      <c r="L13" s="22"/>
    </row>
    <row r="14" spans="1:12" ht="11.25" customHeight="1">
      <c r="A14" s="141" t="s">
        <v>48</v>
      </c>
      <c r="B14" s="313">
        <v>0.98148405750000012</v>
      </c>
      <c r="C14" s="254">
        <v>2.3218834200000003</v>
      </c>
      <c r="D14" s="314">
        <v>7.5148761224999996</v>
      </c>
      <c r="E14" s="313">
        <v>1.4271939524999999</v>
      </c>
      <c r="F14" s="429">
        <f>IF(E14=0,"",D14/E14-1)</f>
        <v>4.2654904467162815</v>
      </c>
      <c r="G14" s="313">
        <v>107.82988521546878</v>
      </c>
      <c r="H14" s="254">
        <v>105.7426360475</v>
      </c>
      <c r="I14" s="429">
        <f t="shared" si="0"/>
        <v>1.9738955316294327E-2</v>
      </c>
      <c r="J14" s="313">
        <v>747.91930813769704</v>
      </c>
      <c r="K14" s="429">
        <f t="shared" si="2"/>
        <v>-0.85861758762346052</v>
      </c>
      <c r="L14" s="22"/>
    </row>
    <row r="15" spans="1:12" ht="11.25" customHeight="1">
      <c r="A15" s="140" t="s">
        <v>49</v>
      </c>
      <c r="B15" s="311">
        <v>16.094884632500001</v>
      </c>
      <c r="C15" s="253">
        <v>14.513486125</v>
      </c>
      <c r="D15" s="312">
        <v>20.09909639</v>
      </c>
      <c r="E15" s="311">
        <v>8.2844029750000008</v>
      </c>
      <c r="F15" s="259">
        <f t="shared" si="1"/>
        <v>1.4261369769980314</v>
      </c>
      <c r="G15" s="311">
        <v>146.42427900750002</v>
      </c>
      <c r="H15" s="253">
        <v>74.671573012499991</v>
      </c>
      <c r="I15" s="259">
        <f>IF(H15=0,"",G15/H15-1)</f>
        <v>0.96091059957969094</v>
      </c>
      <c r="J15" s="311">
        <v>68.493101141239251</v>
      </c>
      <c r="K15" s="259">
        <f t="shared" si="2"/>
        <v>9.0205754569648411E-2</v>
      </c>
      <c r="L15" s="22"/>
    </row>
    <row r="16" spans="1:12" ht="11.25" customHeight="1">
      <c r="A16" s="141" t="s">
        <v>50</v>
      </c>
      <c r="B16" s="313">
        <v>5.8137978624999995</v>
      </c>
      <c r="C16" s="254">
        <v>5.5660936825</v>
      </c>
      <c r="D16" s="314">
        <v>6.0872632750000006</v>
      </c>
      <c r="E16" s="313">
        <v>5.6186687374999993</v>
      </c>
      <c r="F16" s="429">
        <f t="shared" si="1"/>
        <v>8.3399566586390472E-2</v>
      </c>
      <c r="G16" s="313">
        <v>55.317468930000004</v>
      </c>
      <c r="H16" s="254">
        <v>39.205938442499992</v>
      </c>
      <c r="I16" s="429">
        <f t="shared" si="0"/>
        <v>0.41094617620566387</v>
      </c>
      <c r="J16" s="313">
        <v>34.201907280696624</v>
      </c>
      <c r="K16" s="429">
        <f t="shared" si="2"/>
        <v>0.14630854123821391</v>
      </c>
      <c r="L16" s="22"/>
    </row>
    <row r="17" spans="1:12" ht="11.25" customHeight="1">
      <c r="A17" s="140" t="s">
        <v>30</v>
      </c>
      <c r="B17" s="311">
        <v>66.063445387499982</v>
      </c>
      <c r="C17" s="253">
        <v>67.23456245749999</v>
      </c>
      <c r="D17" s="312">
        <v>77.070130602500001</v>
      </c>
      <c r="E17" s="311">
        <v>74.899055544999996</v>
      </c>
      <c r="F17" s="259">
        <f t="shared" si="1"/>
        <v>2.8986681363366573E-2</v>
      </c>
      <c r="G17" s="311">
        <v>609.06993416249986</v>
      </c>
      <c r="H17" s="253">
        <v>591.86199672000009</v>
      </c>
      <c r="I17" s="259">
        <f>IF(H17=0,"",G17/H17-1)</f>
        <v>2.9074239498165566E-2</v>
      </c>
      <c r="J17" s="311">
        <v>182.99948744017303</v>
      </c>
      <c r="K17" s="259">
        <f t="shared" si="2"/>
        <v>2.2342276199734941</v>
      </c>
      <c r="L17" s="22"/>
    </row>
    <row r="18" spans="1:12" ht="11.25" customHeight="1">
      <c r="A18" s="141" t="s">
        <v>29</v>
      </c>
      <c r="B18" s="313">
        <v>124.6546490225</v>
      </c>
      <c r="C18" s="254">
        <v>147.70153075500002</v>
      </c>
      <c r="D18" s="314">
        <v>162.04094952</v>
      </c>
      <c r="E18" s="313">
        <v>149.6194183675</v>
      </c>
      <c r="F18" s="429">
        <f t="shared" si="1"/>
        <v>8.3020849085175819E-2</v>
      </c>
      <c r="G18" s="313">
        <v>1386.6491204849999</v>
      </c>
      <c r="H18" s="254">
        <v>1214.5383555075</v>
      </c>
      <c r="I18" s="429">
        <f>IF(H18=0,"",G18/H18-1)</f>
        <v>0.14170879346629017</v>
      </c>
      <c r="J18" s="313">
        <v>885.74689270594808</v>
      </c>
      <c r="K18" s="429">
        <f t="shared" si="2"/>
        <v>0.37120250210203642</v>
      </c>
      <c r="L18" s="22"/>
    </row>
    <row r="19" spans="1:12" ht="11.25" customHeight="1">
      <c r="A19" s="146" t="s">
        <v>43</v>
      </c>
      <c r="B19" s="315">
        <f>SUM(B6:B18)</f>
        <v>4401.5973424274998</v>
      </c>
      <c r="C19" s="316">
        <f>SUM(C6:C18)</f>
        <v>4269.9405822325007</v>
      </c>
      <c r="D19" s="836">
        <f>SUM(D6:D18)</f>
        <v>4482.5706027575006</v>
      </c>
      <c r="E19" s="315">
        <f>SUM(E6:E18)</f>
        <v>4354.5890086975005</v>
      </c>
      <c r="F19" s="430">
        <f>IF(E19=0,"",D19/E19-1)</f>
        <v>2.9390051232017544E-2</v>
      </c>
      <c r="G19" s="315">
        <f>SUM(G6:G18)</f>
        <v>43900.193353912517</v>
      </c>
      <c r="H19" s="316">
        <f>SUM(H6:H18)</f>
        <v>42041.290643150009</v>
      </c>
      <c r="I19" s="430">
        <f>IF(H19=0,"",G19/H19-1)</f>
        <v>4.4216119018348543E-2</v>
      </c>
      <c r="J19" s="315">
        <f>SUM(J6:J18)</f>
        <v>40729.647443450682</v>
      </c>
      <c r="K19" s="430">
        <f t="shared" si="2"/>
        <v>3.2203647269975155E-2</v>
      </c>
      <c r="L19" s="30"/>
    </row>
    <row r="20" spans="1:12" ht="11.25" customHeight="1">
      <c r="A20" s="22"/>
      <c r="B20" s="22"/>
      <c r="C20" s="22"/>
      <c r="D20" s="22"/>
      <c r="E20" s="22"/>
      <c r="F20" s="22"/>
      <c r="G20" s="22"/>
      <c r="H20" s="22"/>
      <c r="I20" s="22"/>
      <c r="J20" s="22"/>
      <c r="K20" s="22"/>
      <c r="L20" s="22"/>
    </row>
    <row r="21" spans="1:12" ht="11.25" customHeight="1">
      <c r="A21" s="142" t="s">
        <v>39</v>
      </c>
      <c r="B21" s="241">
        <v>19.613563159999973</v>
      </c>
      <c r="C21" s="242">
        <v>0</v>
      </c>
      <c r="D21" s="367">
        <v>0</v>
      </c>
      <c r="E21" s="764">
        <v>0</v>
      </c>
      <c r="F21" s="120" t="str">
        <f>IF(E21=0,"",D21/E21-1)</f>
        <v/>
      </c>
      <c r="G21" s="241">
        <v>57.917815239999996</v>
      </c>
      <c r="H21" s="366">
        <v>21.20075765</v>
      </c>
      <c r="I21" s="123">
        <f>IF(H21=0,"",G21/H21-1)</f>
        <v>1.7318747846730842</v>
      </c>
      <c r="J21" s="241">
        <v>16.595158999999999</v>
      </c>
      <c r="K21" s="120">
        <f>IF(J21=0,"",H21/J21-1)</f>
        <v>0.27752663593039406</v>
      </c>
      <c r="L21" s="22"/>
    </row>
    <row r="22" spans="1:12" ht="11.25" customHeight="1">
      <c r="A22" s="143" t="s">
        <v>40</v>
      </c>
      <c r="B22" s="238">
        <v>0</v>
      </c>
      <c r="C22" s="239">
        <v>0</v>
      </c>
      <c r="D22" s="240">
        <v>0</v>
      </c>
      <c r="E22" s="765">
        <v>0</v>
      </c>
      <c r="F22" s="763" t="str">
        <f>IF(E22=0,"",D22/E22-1)</f>
        <v/>
      </c>
      <c r="G22" s="238">
        <v>0</v>
      </c>
      <c r="H22" s="239">
        <v>0</v>
      </c>
      <c r="I22" s="115" t="str">
        <f>IF(H22=0,"",G22/H22-1)</f>
        <v/>
      </c>
      <c r="J22" s="238">
        <v>0</v>
      </c>
      <c r="K22" s="121" t="str">
        <f>IF(J22=0,"",H22/J22-1)</f>
        <v/>
      </c>
      <c r="L22" s="22"/>
    </row>
    <row r="23" spans="1:12" ht="23.25" customHeight="1">
      <c r="A23" s="144" t="s">
        <v>41</v>
      </c>
      <c r="B23" s="251">
        <f>+B22-B21</f>
        <v>-19.613563159999973</v>
      </c>
      <c r="C23" s="252">
        <f>+C22-C21</f>
        <v>0</v>
      </c>
      <c r="D23" s="431">
        <f>+D22-D21</f>
        <v>0</v>
      </c>
      <c r="E23" s="766">
        <f>+E22-E21</f>
        <v>0</v>
      </c>
      <c r="F23" s="252"/>
      <c r="G23" s="251">
        <f>+G22-G21</f>
        <v>-57.917815239999996</v>
      </c>
      <c r="H23" s="252">
        <f>+H22-H21</f>
        <v>-21.20075765</v>
      </c>
      <c r="I23" s="124"/>
      <c r="J23" s="251">
        <f>+J22-J21</f>
        <v>-16.595158999999999</v>
      </c>
      <c r="K23" s="122"/>
      <c r="L23" s="30"/>
    </row>
    <row r="24" spans="1:12" ht="11.25" customHeight="1">
      <c r="A24" s="236" t="s">
        <v>233</v>
      </c>
      <c r="B24" s="133"/>
      <c r="C24" s="133"/>
      <c r="D24" s="133"/>
      <c r="E24" s="133"/>
      <c r="F24" s="133"/>
      <c r="G24" s="133"/>
      <c r="H24" s="134"/>
      <c r="I24" s="134"/>
      <c r="J24" s="133"/>
      <c r="K24" s="135"/>
      <c r="L24" s="22"/>
    </row>
    <row r="25" spans="1:12" ht="11.25" customHeight="1">
      <c r="A25" s="31"/>
      <c r="B25" s="133"/>
      <c r="C25" s="133"/>
      <c r="D25" s="133"/>
      <c r="E25" s="133"/>
      <c r="F25" s="133"/>
      <c r="G25" s="133"/>
      <c r="H25" s="134"/>
      <c r="I25" s="134"/>
      <c r="J25" s="133"/>
      <c r="K25" s="135"/>
      <c r="L25" s="22"/>
    </row>
    <row r="26" spans="1:12" ht="11.25" customHeight="1">
      <c r="A26" s="137"/>
      <c r="B26" s="137"/>
      <c r="C26" s="137"/>
      <c r="D26" s="137"/>
      <c r="E26" s="137"/>
      <c r="F26" s="137"/>
      <c r="G26" s="137"/>
      <c r="H26" s="137"/>
      <c r="I26" s="137"/>
      <c r="J26" s="137"/>
      <c r="K26" s="137"/>
      <c r="L26" s="22"/>
    </row>
    <row r="27" spans="1:12" ht="11.25" customHeight="1">
      <c r="A27" s="136"/>
      <c r="B27" s="138"/>
      <c r="C27" s="138"/>
      <c r="D27" s="138"/>
      <c r="E27" s="138"/>
      <c r="F27" s="138"/>
      <c r="G27" s="138"/>
      <c r="H27" s="138"/>
      <c r="I27" s="138"/>
      <c r="J27" s="138"/>
      <c r="K27" s="138"/>
      <c r="L27" s="22"/>
    </row>
    <row r="28" spans="1:12" ht="11.25" customHeight="1">
      <c r="A28" s="136"/>
      <c r="B28" s="138"/>
      <c r="C28" s="138"/>
      <c r="D28" s="138"/>
      <c r="E28" s="138"/>
      <c r="F28" s="138"/>
      <c r="G28" s="138"/>
      <c r="H28" s="138"/>
      <c r="I28" s="138"/>
      <c r="J28" s="138"/>
      <c r="K28" s="138"/>
      <c r="L28" s="22"/>
    </row>
    <row r="29" spans="1:12" ht="11.25" customHeight="1">
      <c r="A29" s="136"/>
      <c r="B29" s="138"/>
      <c r="C29" s="138"/>
      <c r="D29" s="138"/>
      <c r="E29" s="138"/>
      <c r="F29" s="138"/>
      <c r="G29" s="138"/>
      <c r="H29" s="138"/>
      <c r="I29" s="138"/>
      <c r="J29" s="138"/>
      <c r="K29" s="138"/>
      <c r="L29" s="22"/>
    </row>
    <row r="30" spans="1:12" ht="11.25" customHeight="1">
      <c r="A30" s="136"/>
      <c r="B30" s="138"/>
      <c r="C30" s="138"/>
      <c r="D30" s="138"/>
      <c r="E30" s="138"/>
      <c r="F30" s="138"/>
      <c r="G30" s="138"/>
      <c r="H30" s="138"/>
      <c r="I30" s="138"/>
      <c r="J30" s="138"/>
      <c r="K30" s="138"/>
      <c r="L30" s="22"/>
    </row>
    <row r="31" spans="1:12" ht="11.25" customHeight="1">
      <c r="A31" s="136"/>
      <c r="B31" s="138"/>
      <c r="C31" s="138"/>
      <c r="D31" s="138"/>
      <c r="E31" s="138"/>
      <c r="F31" s="138"/>
      <c r="G31" s="138"/>
      <c r="H31" s="138"/>
      <c r="I31" s="138"/>
      <c r="J31" s="138"/>
      <c r="K31" s="138"/>
      <c r="L31" s="22"/>
    </row>
    <row r="32" spans="1:12" ht="11.25" customHeight="1">
      <c r="A32" s="136"/>
      <c r="B32" s="138"/>
      <c r="C32" s="138"/>
      <c r="D32" s="138"/>
      <c r="E32" s="138"/>
      <c r="F32" s="138"/>
      <c r="G32" s="138"/>
      <c r="H32" s="138"/>
      <c r="I32" s="138"/>
      <c r="J32" s="138"/>
      <c r="K32" s="138"/>
      <c r="L32" s="22"/>
    </row>
    <row r="33" spans="1:12" ht="11.25" customHeight="1">
      <c r="A33" s="136"/>
      <c r="B33" s="138"/>
      <c r="C33" s="138"/>
      <c r="D33" s="138"/>
      <c r="E33" s="138"/>
      <c r="F33" s="138"/>
      <c r="G33" s="138"/>
      <c r="H33" s="138"/>
      <c r="I33" s="138"/>
      <c r="J33" s="138"/>
      <c r="K33" s="138"/>
      <c r="L33" s="22"/>
    </row>
    <row r="34" spans="1:12" ht="11.25" customHeight="1">
      <c r="A34" s="136"/>
      <c r="B34" s="138"/>
      <c r="C34" s="138"/>
      <c r="D34" s="138"/>
      <c r="E34" s="138"/>
      <c r="F34" s="138"/>
      <c r="G34" s="138"/>
      <c r="H34" s="138"/>
      <c r="I34" s="138"/>
      <c r="J34" s="138"/>
      <c r="K34" s="138"/>
      <c r="L34" s="22"/>
    </row>
    <row r="35" spans="1:12" ht="11.25" customHeight="1">
      <c r="A35" s="136"/>
      <c r="B35" s="138"/>
      <c r="C35" s="138"/>
      <c r="D35" s="138"/>
      <c r="E35" s="138"/>
      <c r="F35" s="138"/>
      <c r="G35" s="138"/>
      <c r="H35" s="138"/>
      <c r="I35" s="138"/>
      <c r="J35" s="138"/>
      <c r="K35" s="138"/>
      <c r="L35" s="22"/>
    </row>
    <row r="36" spans="1:12" ht="11.25" customHeight="1">
      <c r="A36" s="136"/>
      <c r="B36" s="138"/>
      <c r="C36" s="138"/>
      <c r="D36" s="138"/>
      <c r="E36" s="138"/>
      <c r="F36" s="138"/>
      <c r="G36" s="138"/>
      <c r="H36" s="138"/>
      <c r="I36" s="138"/>
      <c r="J36" s="138"/>
      <c r="K36" s="138"/>
      <c r="L36" s="22"/>
    </row>
    <row r="37" spans="1:12" ht="11.25" customHeight="1">
      <c r="A37" s="136"/>
      <c r="B37" s="138"/>
      <c r="C37" s="138"/>
      <c r="D37" s="138"/>
      <c r="E37" s="138"/>
      <c r="F37" s="138"/>
      <c r="G37" s="138"/>
      <c r="H37" s="138"/>
      <c r="I37" s="138"/>
      <c r="J37" s="138"/>
      <c r="K37" s="138"/>
      <c r="L37" s="22"/>
    </row>
    <row r="38" spans="1:12" ht="11.25" customHeight="1">
      <c r="A38" s="136"/>
      <c r="B38" s="138"/>
      <c r="C38" s="138"/>
      <c r="D38" s="138"/>
      <c r="E38" s="138"/>
      <c r="F38" s="138"/>
      <c r="G38" s="138"/>
      <c r="H38" s="138"/>
      <c r="I38" s="138"/>
      <c r="J38" s="138"/>
      <c r="K38" s="138"/>
      <c r="L38" s="22"/>
    </row>
    <row r="39" spans="1:12" ht="11.25" customHeight="1">
      <c r="A39" s="136"/>
      <c r="B39" s="138"/>
      <c r="C39" s="138"/>
      <c r="D39" s="138"/>
      <c r="E39" s="138"/>
      <c r="F39" s="138"/>
      <c r="G39" s="138"/>
      <c r="H39" s="138"/>
      <c r="I39" s="138"/>
      <c r="J39" s="138"/>
      <c r="K39" s="138"/>
      <c r="L39" s="22"/>
    </row>
    <row r="40" spans="1:12" ht="11.25" customHeight="1">
      <c r="A40" s="136"/>
      <c r="B40" s="138"/>
      <c r="C40" s="138"/>
      <c r="D40" s="138"/>
      <c r="E40" s="138"/>
      <c r="F40" s="138"/>
      <c r="G40" s="138"/>
      <c r="H40" s="138"/>
      <c r="I40" s="138"/>
      <c r="J40" s="138"/>
      <c r="K40" s="138"/>
      <c r="L40" s="38"/>
    </row>
    <row r="41" spans="1:12" ht="11.25" customHeight="1">
      <c r="A41" s="136"/>
      <c r="B41" s="138"/>
      <c r="C41" s="138"/>
      <c r="D41" s="138"/>
      <c r="E41" s="138"/>
      <c r="F41" s="138"/>
      <c r="G41" s="138"/>
      <c r="H41" s="138"/>
      <c r="I41" s="138"/>
      <c r="J41" s="138"/>
      <c r="K41" s="138"/>
      <c r="L41" s="22"/>
    </row>
    <row r="42" spans="1:12" ht="11.25" customHeight="1">
      <c r="A42" s="136"/>
      <c r="B42" s="138"/>
      <c r="C42" s="138"/>
      <c r="D42" s="138"/>
      <c r="E42" s="138"/>
      <c r="F42" s="138"/>
      <c r="G42" s="138"/>
      <c r="H42" s="138"/>
      <c r="I42" s="138"/>
      <c r="J42" s="138"/>
      <c r="K42" s="138"/>
      <c r="L42" s="22"/>
    </row>
    <row r="43" spans="1:12" ht="11.25" customHeight="1">
      <c r="A43" s="136"/>
      <c r="B43" s="138"/>
      <c r="C43" s="138"/>
      <c r="D43" s="138"/>
      <c r="E43" s="138"/>
      <c r="F43" s="138"/>
      <c r="G43" s="138"/>
      <c r="H43" s="138"/>
      <c r="I43" s="138"/>
      <c r="J43" s="138"/>
      <c r="K43" s="138"/>
      <c r="L43" s="22"/>
    </row>
    <row r="44" spans="1:12" ht="11.25" customHeight="1">
      <c r="A44" s="136"/>
      <c r="B44" s="138"/>
      <c r="C44" s="138"/>
      <c r="D44" s="138"/>
      <c r="E44" s="138"/>
      <c r="F44" s="138"/>
      <c r="G44" s="138"/>
      <c r="H44" s="138"/>
      <c r="I44" s="138"/>
      <c r="J44" s="138"/>
      <c r="K44" s="138"/>
      <c r="L44" s="22"/>
    </row>
    <row r="45" spans="1:12" ht="11.25" customHeight="1">
      <c r="A45" s="136"/>
      <c r="B45" s="138"/>
      <c r="C45" s="138"/>
      <c r="D45" s="138"/>
      <c r="E45" s="138"/>
      <c r="F45" s="138"/>
      <c r="G45" s="138"/>
      <c r="H45" s="138"/>
      <c r="I45" s="138"/>
      <c r="J45" s="138"/>
      <c r="K45" s="138"/>
      <c r="L45" s="22"/>
    </row>
    <row r="46" spans="1:12" ht="11.25" customHeight="1">
      <c r="A46" s="136"/>
      <c r="B46" s="138"/>
      <c r="C46" s="138"/>
      <c r="D46" s="138"/>
      <c r="E46" s="138"/>
      <c r="F46" s="138"/>
      <c r="G46" s="138"/>
      <c r="H46" s="138"/>
      <c r="I46" s="138"/>
      <c r="J46" s="138"/>
      <c r="K46" s="138"/>
      <c r="L46" s="22"/>
    </row>
    <row r="47" spans="1:12" ht="11.25" customHeight="1">
      <c r="A47" s="136"/>
      <c r="B47" s="138"/>
      <c r="C47" s="138"/>
      <c r="D47" s="138"/>
      <c r="E47" s="138"/>
      <c r="F47" s="138"/>
      <c r="G47" s="138"/>
      <c r="H47" s="138"/>
      <c r="I47" s="138"/>
      <c r="J47" s="138"/>
      <c r="K47" s="138"/>
    </row>
    <row r="48" spans="1:12" ht="11.25" customHeight="1">
      <c r="A48" s="136"/>
      <c r="B48" s="138"/>
      <c r="C48" s="138"/>
      <c r="D48" s="138"/>
      <c r="E48" s="138"/>
      <c r="F48" s="138"/>
      <c r="G48" s="138"/>
      <c r="H48" s="138"/>
      <c r="I48" s="138"/>
      <c r="J48" s="138"/>
      <c r="K48" s="138"/>
    </row>
    <row r="49" spans="1:11" ht="11.25" customHeight="1">
      <c r="A49" s="136"/>
      <c r="B49" s="138"/>
      <c r="C49" s="138"/>
      <c r="D49" s="138"/>
      <c r="E49" s="138"/>
      <c r="F49" s="138"/>
      <c r="G49" s="138"/>
      <c r="H49" s="138"/>
      <c r="I49" s="138"/>
      <c r="J49" s="138"/>
      <c r="K49" s="138"/>
    </row>
    <row r="50" spans="1:11" ht="11.25" customHeight="1">
      <c r="A50" s="136"/>
      <c r="B50" s="138"/>
      <c r="C50" s="138"/>
      <c r="D50" s="138"/>
      <c r="E50" s="138"/>
      <c r="F50" s="138"/>
      <c r="G50" s="138"/>
      <c r="H50" s="138"/>
      <c r="I50" s="138"/>
      <c r="J50" s="138"/>
      <c r="K50" s="138"/>
    </row>
    <row r="51" spans="1:11" ht="11.25" customHeight="1">
      <c r="A51" s="136"/>
      <c r="B51" s="138"/>
      <c r="C51" s="138"/>
      <c r="D51" s="138"/>
      <c r="E51" s="138"/>
      <c r="F51" s="138"/>
      <c r="G51" s="138"/>
      <c r="H51" s="138"/>
      <c r="I51" s="138"/>
      <c r="J51" s="138"/>
      <c r="K51" s="138"/>
    </row>
    <row r="52" spans="1:11">
      <c r="A52" s="136"/>
      <c r="B52" s="138"/>
      <c r="C52" s="138"/>
      <c r="D52" s="138"/>
      <c r="E52" s="138"/>
      <c r="F52" s="138"/>
      <c r="G52" s="138"/>
      <c r="H52" s="138"/>
      <c r="I52" s="138"/>
      <c r="J52" s="138"/>
      <c r="K52" s="138"/>
    </row>
    <row r="53" spans="1:11">
      <c r="A53" s="136"/>
      <c r="B53" s="138"/>
      <c r="C53" s="138"/>
      <c r="D53" s="138"/>
      <c r="E53" s="138"/>
      <c r="F53" s="138"/>
      <c r="G53" s="138"/>
      <c r="H53" s="138"/>
      <c r="I53" s="138"/>
      <c r="J53" s="138"/>
      <c r="K53" s="138"/>
    </row>
    <row r="54" spans="1:11">
      <c r="A54" s="136"/>
      <c r="B54" s="138"/>
      <c r="C54" s="138"/>
      <c r="D54" s="138"/>
      <c r="E54" s="138"/>
      <c r="F54" s="138"/>
      <c r="G54" s="138"/>
      <c r="H54" s="138"/>
      <c r="I54" s="138"/>
      <c r="J54" s="138"/>
      <c r="K54" s="138"/>
    </row>
    <row r="55" spans="1:11">
      <c r="A55" s="136"/>
      <c r="B55" s="138"/>
      <c r="C55" s="138"/>
      <c r="D55" s="138"/>
      <c r="E55" s="138"/>
      <c r="F55" s="138"/>
      <c r="G55" s="138"/>
      <c r="H55" s="138"/>
      <c r="I55" s="138"/>
      <c r="J55" s="138"/>
      <c r="K55" s="138"/>
    </row>
    <row r="56" spans="1:11">
      <c r="A56" s="136"/>
      <c r="B56" s="138"/>
      <c r="C56" s="138"/>
      <c r="D56" s="138"/>
      <c r="E56" s="138"/>
      <c r="F56" s="138"/>
      <c r="G56" s="138"/>
      <c r="H56" s="138"/>
      <c r="I56" s="138"/>
      <c r="J56" s="138"/>
      <c r="K56" s="138"/>
    </row>
    <row r="57" spans="1:11">
      <c r="A57" s="136"/>
      <c r="B57" s="138"/>
      <c r="C57" s="138"/>
      <c r="D57" s="138"/>
      <c r="E57" s="138"/>
      <c r="F57" s="138"/>
      <c r="G57" s="138"/>
      <c r="H57" s="138"/>
      <c r="I57" s="138"/>
      <c r="J57" s="138"/>
      <c r="K57" s="138"/>
    </row>
    <row r="58" spans="1:11">
      <c r="A58" s="136"/>
      <c r="B58" s="138"/>
      <c r="C58" s="138"/>
      <c r="D58" s="138"/>
      <c r="E58" s="138"/>
      <c r="F58" s="138"/>
      <c r="G58" s="138"/>
      <c r="H58" s="138"/>
      <c r="I58" s="138"/>
      <c r="J58" s="138"/>
      <c r="K58" s="138"/>
    </row>
    <row r="59" spans="1:11">
      <c r="A59" s="136"/>
      <c r="B59" s="138"/>
      <c r="C59" s="138"/>
      <c r="D59" s="138"/>
      <c r="E59" s="138"/>
      <c r="F59" s="138"/>
      <c r="G59" s="138"/>
      <c r="H59" s="138"/>
      <c r="I59" s="138"/>
      <c r="J59" s="138"/>
      <c r="K59" s="138"/>
    </row>
    <row r="60" spans="1:11">
      <c r="A60" s="136"/>
      <c r="B60" s="138"/>
      <c r="C60" s="138"/>
      <c r="D60" s="138"/>
      <c r="E60" s="138"/>
      <c r="F60" s="138"/>
      <c r="G60" s="138"/>
      <c r="H60" s="138"/>
      <c r="I60" s="138"/>
      <c r="J60" s="138"/>
      <c r="K60" s="138"/>
    </row>
    <row r="61" spans="1:11">
      <c r="A61" s="136"/>
      <c r="B61" s="138"/>
      <c r="C61" s="138"/>
      <c r="D61" s="138"/>
      <c r="E61" s="138"/>
      <c r="F61" s="138"/>
      <c r="G61" s="138"/>
      <c r="H61" s="138"/>
      <c r="I61" s="138"/>
      <c r="J61" s="138"/>
      <c r="K61" s="138"/>
    </row>
    <row r="62" spans="1:11">
      <c r="B62" s="138"/>
      <c r="C62" s="138"/>
      <c r="D62" s="138"/>
      <c r="E62" s="138"/>
      <c r="F62" s="138"/>
      <c r="G62" s="138"/>
      <c r="H62" s="138"/>
      <c r="I62" s="138"/>
      <c r="J62" s="138"/>
      <c r="K62" s="138"/>
    </row>
    <row r="63" spans="1:11">
      <c r="A63" s="236" t="str">
        <f>"Gráfico N° 5: Comparación de la producción de energía eléctrica (GWh) por tipo de recurso energético acumulado a "&amp;'1. Resumen'!Q4&amp;"."</f>
        <v>Gráfico N° 5: Comparación de la producción de energía eléctrica (GWh) por tipo de recurso energético acumulado a octubre.</v>
      </c>
    </row>
  </sheetData>
  <mergeCells count="5">
    <mergeCell ref="A2:K2"/>
    <mergeCell ref="B4:D4"/>
    <mergeCell ref="E4:F4"/>
    <mergeCell ref="G4:K4"/>
    <mergeCell ref="A4:A5"/>
  </mergeCells>
  <pageMargins left="0.70866141732283472" right="0.70866141732283472" top="1.0236220472440944" bottom="0.62992125984251968" header="0.31496062992125984" footer="0.31496062992125984"/>
  <pageSetup paperSize="9" scale="88" orientation="portrait" r:id="rId1"/>
  <headerFooter>
    <oddHeader>&amp;R&amp;7Informe de la Operación Mensual-Octubre 2019
INFSGI-MES-10-2019
18/10/2019
Versión: 01</oddHeader>
    <oddFooter>&amp;L&amp;7COES, 2019&amp;C4&amp;R&amp;7Dirección Ejecutiva
Sub Dirección de Gestión de Información</oddFooter>
  </headerFooter>
  <ignoredErrors>
    <ignoredError sqref="K19 G19:H19 B19:E19 J19" formulaRange="1"/>
  </ignoredError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tabColor theme="4"/>
  </sheetPr>
  <dimension ref="A1:U61"/>
  <sheetViews>
    <sheetView showGridLines="0" view="pageBreakPreview" topLeftCell="A22" zoomScale="115" zoomScaleNormal="100" zoomScaleSheetLayoutView="115" zoomScalePageLayoutView="145" workbookViewId="0">
      <selection activeCell="M12" sqref="M12"/>
    </sheetView>
  </sheetViews>
  <sheetFormatPr defaultColWidth="9.33203125" defaultRowHeight="11.25"/>
  <cols>
    <col min="1" max="1" width="21.6640625" customWidth="1"/>
    <col min="2" max="2" width="10" customWidth="1"/>
    <col min="3" max="8" width="9.1640625" customWidth="1"/>
    <col min="9" max="9" width="9.83203125" customWidth="1"/>
    <col min="10" max="10" width="9.1640625" customWidth="1"/>
    <col min="11" max="11" width="9.6640625" customWidth="1"/>
    <col min="12" max="21" width="9.33203125" style="612"/>
  </cols>
  <sheetData>
    <row r="1" spans="1:12" ht="11.25" customHeight="1"/>
    <row r="2" spans="1:12" ht="11.25" customHeight="1">
      <c r="A2" s="914" t="s">
        <v>241</v>
      </c>
      <c r="B2" s="914"/>
      <c r="C2" s="914"/>
      <c r="D2" s="914"/>
      <c r="E2" s="914"/>
      <c r="F2" s="914"/>
      <c r="G2" s="914"/>
      <c r="H2" s="914"/>
      <c r="I2" s="914"/>
      <c r="J2" s="914"/>
      <c r="K2" s="914"/>
      <c r="L2" s="613"/>
    </row>
    <row r="3" spans="1:12" ht="11.25" customHeight="1">
      <c r="A3" s="74"/>
      <c r="B3" s="73"/>
      <c r="C3" s="73"/>
      <c r="D3" s="73"/>
      <c r="E3" s="73"/>
      <c r="F3" s="73"/>
      <c r="G3" s="73"/>
      <c r="H3" s="73"/>
      <c r="I3" s="73"/>
      <c r="J3" s="73"/>
      <c r="K3" s="73"/>
      <c r="L3" s="613"/>
    </row>
    <row r="4" spans="1:12" ht="15.75" customHeight="1">
      <c r="A4" s="912" t="s">
        <v>237</v>
      </c>
      <c r="B4" s="909" t="s">
        <v>33</v>
      </c>
      <c r="C4" s="910"/>
      <c r="D4" s="910"/>
      <c r="E4" s="910" t="s">
        <v>34</v>
      </c>
      <c r="F4" s="910"/>
      <c r="G4" s="911" t="str">
        <f>+'4. Tipo Recurso'!G4:K4</f>
        <v>Generación Acumulada a octubre</v>
      </c>
      <c r="H4" s="911"/>
      <c r="I4" s="911"/>
      <c r="J4" s="911"/>
      <c r="K4" s="911"/>
      <c r="L4" s="614"/>
    </row>
    <row r="5" spans="1:12" ht="29.25" customHeight="1">
      <c r="A5" s="912"/>
      <c r="B5" s="519">
        <f>+'4. Tipo Recurso'!B5</f>
        <v>43681</v>
      </c>
      <c r="C5" s="519">
        <f>+'4. Tipo Recurso'!C5</f>
        <v>43711</v>
      </c>
      <c r="D5" s="519">
        <f>+'4. Tipo Recurso'!D5</f>
        <v>43739</v>
      </c>
      <c r="E5" s="519">
        <f>+'4. Tipo Recurso'!E5</f>
        <v>43374</v>
      </c>
      <c r="F5" s="519" t="s">
        <v>35</v>
      </c>
      <c r="G5" s="521">
        <v>2019</v>
      </c>
      <c r="H5" s="521">
        <v>2018</v>
      </c>
      <c r="I5" s="520" t="s">
        <v>42</v>
      </c>
      <c r="J5" s="521">
        <v>2017</v>
      </c>
      <c r="K5" s="520" t="s">
        <v>42</v>
      </c>
      <c r="L5" s="615"/>
    </row>
    <row r="6" spans="1:12" ht="11.25" customHeight="1">
      <c r="A6" s="139" t="s">
        <v>45</v>
      </c>
      <c r="B6" s="308">
        <v>104.39979135499998</v>
      </c>
      <c r="C6" s="309">
        <v>104.46456157750002</v>
      </c>
      <c r="D6" s="310">
        <v>135.06042953500003</v>
      </c>
      <c r="E6" s="308">
        <v>104.82892481</v>
      </c>
      <c r="F6" s="258">
        <f t="shared" ref="F6:F11" si="0">IF(E6=0,"",D6/E6-1)</f>
        <v>0.28838896115546286</v>
      </c>
      <c r="G6" s="308">
        <v>1423.4923259350003</v>
      </c>
      <c r="H6" s="309">
        <v>1009.3157406700001</v>
      </c>
      <c r="I6" s="262">
        <f t="shared" ref="I6:I11" si="1">IF(H6=0,"",G6/H6-1)</f>
        <v>0.41035383535192183</v>
      </c>
      <c r="J6" s="308">
        <v>837.63080848956031</v>
      </c>
      <c r="K6" s="258">
        <f t="shared" ref="K6:K11" si="2">IF(J6=0,"",H6/J6-1)</f>
        <v>0.20496492063135419</v>
      </c>
      <c r="L6" s="616"/>
    </row>
    <row r="7" spans="1:12" ht="11.25" customHeight="1">
      <c r="A7" s="140" t="s">
        <v>38</v>
      </c>
      <c r="B7" s="311">
        <v>124.6546490225</v>
      </c>
      <c r="C7" s="253">
        <v>147.70153075500002</v>
      </c>
      <c r="D7" s="312">
        <v>162.04094952</v>
      </c>
      <c r="E7" s="311">
        <v>149.6194183675</v>
      </c>
      <c r="F7" s="259">
        <f t="shared" si="0"/>
        <v>8.3020849085175819E-2</v>
      </c>
      <c r="G7" s="311">
        <v>1386.6491204849999</v>
      </c>
      <c r="H7" s="253">
        <v>1214.5383555075</v>
      </c>
      <c r="I7" s="248">
        <f t="shared" si="1"/>
        <v>0.14170879346629017</v>
      </c>
      <c r="J7" s="311">
        <v>885.74689270594808</v>
      </c>
      <c r="K7" s="259">
        <f t="shared" si="2"/>
        <v>0.37120250210203642</v>
      </c>
      <c r="L7" s="616"/>
    </row>
    <row r="8" spans="1:12" ht="11.25" customHeight="1">
      <c r="A8" s="256" t="s">
        <v>30</v>
      </c>
      <c r="B8" s="442">
        <v>66.063445387499982</v>
      </c>
      <c r="C8" s="317">
        <v>67.23456245749999</v>
      </c>
      <c r="D8" s="443">
        <v>77.070130602500001</v>
      </c>
      <c r="E8" s="442">
        <v>74.899055544999996</v>
      </c>
      <c r="F8" s="260">
        <f t="shared" si="0"/>
        <v>2.8986681363366573E-2</v>
      </c>
      <c r="G8" s="442">
        <v>609.06993416249986</v>
      </c>
      <c r="H8" s="317">
        <v>591.86199672000009</v>
      </c>
      <c r="I8" s="255">
        <f t="shared" si="1"/>
        <v>2.9074239498165566E-2</v>
      </c>
      <c r="J8" s="442">
        <v>182.99948744017303</v>
      </c>
      <c r="K8" s="260">
        <f t="shared" si="2"/>
        <v>2.2342276199734941</v>
      </c>
      <c r="L8" s="616"/>
    </row>
    <row r="9" spans="1:12" ht="11.25" customHeight="1">
      <c r="A9" s="140" t="s">
        <v>49</v>
      </c>
      <c r="B9" s="311">
        <v>16.094884632500001</v>
      </c>
      <c r="C9" s="253">
        <v>14.513486125</v>
      </c>
      <c r="D9" s="312">
        <v>20.09909639</v>
      </c>
      <c r="E9" s="311">
        <v>8.2844029750000008</v>
      </c>
      <c r="F9" s="259">
        <f t="shared" si="0"/>
        <v>1.4261369769980314</v>
      </c>
      <c r="G9" s="311">
        <v>146.42427900750002</v>
      </c>
      <c r="H9" s="253">
        <v>74.671573012499991</v>
      </c>
      <c r="I9" s="248">
        <f t="shared" si="1"/>
        <v>0.96091059957969094</v>
      </c>
      <c r="J9" s="311">
        <v>68.493101141239251</v>
      </c>
      <c r="K9" s="259">
        <f t="shared" si="2"/>
        <v>9.0205754569648411E-2</v>
      </c>
      <c r="L9" s="617"/>
    </row>
    <row r="10" spans="1:12" ht="11.25" customHeight="1">
      <c r="A10" s="257" t="s">
        <v>50</v>
      </c>
      <c r="B10" s="444">
        <v>5.8137978624999995</v>
      </c>
      <c r="C10" s="445">
        <v>5.5660936825</v>
      </c>
      <c r="D10" s="446">
        <v>6.0872632750000006</v>
      </c>
      <c r="E10" s="444">
        <v>5.6186687374999993</v>
      </c>
      <c r="F10" s="261">
        <f t="shared" si="0"/>
        <v>8.3399566586390472E-2</v>
      </c>
      <c r="G10" s="444">
        <v>55.317468930000004</v>
      </c>
      <c r="H10" s="445">
        <v>39.205938442499992</v>
      </c>
      <c r="I10" s="263">
        <f t="shared" si="1"/>
        <v>0.41094617620566387</v>
      </c>
      <c r="J10" s="444">
        <v>34.201907280696624</v>
      </c>
      <c r="K10" s="261">
        <f t="shared" si="2"/>
        <v>0.14630854123821391</v>
      </c>
      <c r="L10" s="616"/>
    </row>
    <row r="11" spans="1:12" ht="11.25" customHeight="1">
      <c r="A11" s="264" t="s">
        <v>234</v>
      </c>
      <c r="B11" s="379">
        <f>+B6+B7+B8+B9+B10</f>
        <v>317.02656825999998</v>
      </c>
      <c r="C11" s="380">
        <f t="shared" ref="C11:D11" si="3">+C6+C7+C8+C9+C10</f>
        <v>339.48023459750004</v>
      </c>
      <c r="D11" s="381">
        <f t="shared" si="3"/>
        <v>400.35786932250005</v>
      </c>
      <c r="E11" s="382">
        <f>+E6+E7+E8+E9+E10</f>
        <v>343.25047043500001</v>
      </c>
      <c r="F11" s="265">
        <f t="shared" si="0"/>
        <v>0.1663723834526083</v>
      </c>
      <c r="G11" s="440">
        <f>+G6+G7+G8+G9+G10</f>
        <v>3620.9531285200001</v>
      </c>
      <c r="H11" s="441">
        <f>+H6+H7+H8+H9+H10</f>
        <v>2929.5936043525007</v>
      </c>
      <c r="I11" s="266">
        <f t="shared" si="1"/>
        <v>0.23599161437966876</v>
      </c>
      <c r="J11" s="440">
        <f>+J6+J7+J8+J9+J10</f>
        <v>2009.0721970576174</v>
      </c>
      <c r="K11" s="265">
        <f t="shared" si="2"/>
        <v>0.45818234339364761</v>
      </c>
      <c r="L11" s="614"/>
    </row>
    <row r="12" spans="1:12" ht="24.75" customHeight="1">
      <c r="A12" s="267" t="s">
        <v>235</v>
      </c>
      <c r="B12" s="268">
        <f>B11/'4. Tipo Recurso'!B19</f>
        <v>7.2025345254583983E-2</v>
      </c>
      <c r="C12" s="818">
        <f>C11/'4. Tipo Recurso'!C19</f>
        <v>7.9504674142328646E-2</v>
      </c>
      <c r="D12" s="622">
        <f>D11/'4. Tipo Recurso'!D19</f>
        <v>8.9314347681710954E-2</v>
      </c>
      <c r="E12" s="268">
        <f>E11/'4. Tipo Recurso'!E19</f>
        <v>7.8824998122536835E-2</v>
      </c>
      <c r="F12" s="269"/>
      <c r="G12" s="268">
        <f>G11/'4. Tipo Recurso'!G19</f>
        <v>8.2481484747203057E-2</v>
      </c>
      <c r="H12" s="266">
        <f>H11/'4. Tipo Recurso'!H19</f>
        <v>6.968372187284011E-2</v>
      </c>
      <c r="I12" s="266"/>
      <c r="J12" s="268">
        <f>J11/'4. Tipo Recurso'!J19</f>
        <v>4.9327021547314567E-2</v>
      </c>
      <c r="K12" s="269"/>
      <c r="L12" s="614"/>
    </row>
    <row r="13" spans="1:12" ht="11.25" customHeight="1">
      <c r="A13" s="270" t="s">
        <v>236</v>
      </c>
      <c r="B13" s="134"/>
      <c r="C13" s="134"/>
      <c r="D13" s="134"/>
      <c r="E13" s="134"/>
      <c r="F13" s="134"/>
      <c r="G13" s="134"/>
      <c r="H13" s="134"/>
      <c r="I13" s="134"/>
      <c r="J13" s="134"/>
      <c r="K13" s="135"/>
      <c r="L13" s="614"/>
    </row>
    <row r="14" spans="1:12" ht="35.25" customHeight="1">
      <c r="A14" s="915" t="s">
        <v>536</v>
      </c>
      <c r="B14" s="915"/>
      <c r="C14" s="915"/>
      <c r="D14" s="915"/>
      <c r="E14" s="915"/>
      <c r="F14" s="915"/>
      <c r="G14" s="915"/>
      <c r="H14" s="915"/>
      <c r="I14" s="915"/>
      <c r="J14" s="915"/>
      <c r="K14" s="915"/>
      <c r="L14" s="614"/>
    </row>
    <row r="15" spans="1:12" ht="11.25" customHeight="1">
      <c r="A15" s="31"/>
      <c r="L15" s="614"/>
    </row>
    <row r="16" spans="1:12" ht="11.25" customHeight="1">
      <c r="A16" s="136"/>
      <c r="B16" s="147"/>
      <c r="C16" s="147"/>
      <c r="D16" s="147"/>
      <c r="E16" s="147"/>
      <c r="F16" s="147"/>
      <c r="G16" s="147"/>
      <c r="H16" s="147"/>
      <c r="I16" s="147"/>
      <c r="J16" s="147"/>
      <c r="K16" s="147"/>
      <c r="L16" s="614"/>
    </row>
    <row r="17" spans="1:12" ht="11.25" customHeight="1">
      <c r="A17" s="147"/>
      <c r="B17" s="147"/>
      <c r="C17" s="147"/>
      <c r="D17" s="147"/>
      <c r="E17" s="147"/>
      <c r="F17" s="147"/>
      <c r="G17" s="147"/>
      <c r="H17" s="147"/>
      <c r="I17" s="147"/>
      <c r="J17" s="147"/>
      <c r="K17" s="147"/>
      <c r="L17" s="614"/>
    </row>
    <row r="18" spans="1:12" ht="11.25" customHeight="1">
      <c r="A18" s="147"/>
      <c r="B18" s="147"/>
      <c r="C18" s="147"/>
      <c r="D18" s="147"/>
      <c r="E18" s="147"/>
      <c r="F18" s="147"/>
      <c r="G18" s="147"/>
      <c r="H18" s="147"/>
      <c r="I18" s="147"/>
      <c r="J18" s="147"/>
      <c r="K18" s="147"/>
      <c r="L18" s="618"/>
    </row>
    <row r="19" spans="1:12" ht="11.25" customHeight="1">
      <c r="A19" s="136"/>
      <c r="B19" s="138"/>
      <c r="C19" s="138"/>
      <c r="D19" s="138"/>
      <c r="E19" s="138"/>
      <c r="F19" s="138"/>
      <c r="G19" s="138"/>
      <c r="H19" s="138"/>
      <c r="I19" s="138"/>
      <c r="J19" s="138"/>
      <c r="K19" s="138"/>
      <c r="L19" s="614"/>
    </row>
    <row r="20" spans="1:12" ht="11.25" customHeight="1">
      <c r="A20" s="136"/>
      <c r="B20" s="138"/>
      <c r="C20" s="138"/>
      <c r="D20" s="138"/>
      <c r="E20" s="138"/>
      <c r="F20" s="138"/>
      <c r="G20" s="138"/>
      <c r="H20" s="138"/>
      <c r="I20" s="138"/>
      <c r="J20" s="138"/>
      <c r="K20" s="138"/>
      <c r="L20" s="614"/>
    </row>
    <row r="21" spans="1:12" ht="11.25" customHeight="1">
      <c r="A21" s="136"/>
      <c r="B21" s="138"/>
      <c r="C21" s="138"/>
      <c r="D21" s="138"/>
      <c r="E21" s="138"/>
      <c r="F21" s="138"/>
      <c r="G21" s="138"/>
      <c r="H21" s="138"/>
      <c r="I21" s="138"/>
      <c r="J21" s="138"/>
      <c r="K21" s="138"/>
      <c r="L21" s="614"/>
    </row>
    <row r="22" spans="1:12" ht="11.25" customHeight="1">
      <c r="A22" s="136"/>
      <c r="B22" s="138"/>
      <c r="C22" s="138"/>
      <c r="D22" s="138"/>
      <c r="E22" s="138"/>
      <c r="F22" s="138"/>
      <c r="G22" s="138"/>
      <c r="H22" s="138"/>
      <c r="I22" s="138"/>
      <c r="J22" s="138"/>
      <c r="K22" s="138"/>
      <c r="L22" s="618"/>
    </row>
    <row r="23" spans="1:12" ht="11.25" customHeight="1">
      <c r="A23" s="136"/>
      <c r="B23" s="138"/>
      <c r="C23" s="138"/>
      <c r="D23" s="138"/>
      <c r="E23" s="138"/>
      <c r="F23" s="138"/>
      <c r="G23" s="138"/>
      <c r="H23" s="138"/>
      <c r="I23" s="138"/>
      <c r="J23" s="138"/>
      <c r="K23" s="138"/>
      <c r="L23" s="614"/>
    </row>
    <row r="24" spans="1:12" ht="11.25" customHeight="1">
      <c r="A24" s="136"/>
      <c r="B24" s="138"/>
      <c r="C24" s="138"/>
      <c r="D24" s="138"/>
      <c r="E24" s="138"/>
      <c r="F24" s="138"/>
      <c r="G24" s="138"/>
      <c r="H24" s="138"/>
      <c r="I24" s="138"/>
      <c r="J24" s="138"/>
      <c r="K24" s="138"/>
      <c r="L24" s="614"/>
    </row>
    <row r="25" spans="1:12" ht="11.25" customHeight="1">
      <c r="A25" s="136"/>
      <c r="B25" s="138"/>
      <c r="C25" s="138"/>
      <c r="D25" s="138"/>
      <c r="E25" s="138"/>
      <c r="F25" s="138"/>
      <c r="G25" s="138"/>
      <c r="H25" s="138"/>
      <c r="I25" s="138"/>
      <c r="J25" s="138"/>
      <c r="K25" s="138"/>
      <c r="L25" s="614"/>
    </row>
    <row r="26" spans="1:12" ht="11.25" customHeight="1">
      <c r="A26" s="136"/>
      <c r="B26" s="138"/>
      <c r="C26" s="138"/>
      <c r="D26" s="138"/>
      <c r="E26" s="138"/>
      <c r="F26" s="138"/>
      <c r="G26" s="138"/>
      <c r="H26" s="138"/>
      <c r="I26" s="138"/>
      <c r="J26" s="138"/>
      <c r="K26" s="138"/>
      <c r="L26" s="614"/>
    </row>
    <row r="27" spans="1:12" ht="11.25" customHeight="1">
      <c r="A27" s="136"/>
      <c r="B27" s="138"/>
      <c r="C27" s="138"/>
      <c r="D27" s="138"/>
      <c r="E27" s="138"/>
      <c r="F27" s="138"/>
      <c r="G27" s="138"/>
      <c r="H27" s="138"/>
      <c r="I27" s="138"/>
      <c r="J27" s="138"/>
      <c r="K27" s="138"/>
      <c r="L27" s="614"/>
    </row>
    <row r="28" spans="1:12" ht="11.25" customHeight="1">
      <c r="A28" s="136"/>
      <c r="B28" s="138"/>
      <c r="C28" s="138"/>
      <c r="D28" s="138"/>
      <c r="E28" s="138"/>
      <c r="F28" s="138"/>
      <c r="G28" s="138"/>
      <c r="H28" s="138"/>
      <c r="I28" s="138"/>
      <c r="J28" s="138"/>
      <c r="K28" s="138"/>
      <c r="L28" s="614"/>
    </row>
    <row r="29" spans="1:12" ht="11.25" customHeight="1">
      <c r="A29" s="136"/>
      <c r="B29" s="138"/>
      <c r="C29" s="138"/>
      <c r="D29" s="138"/>
      <c r="E29" s="138"/>
      <c r="F29" s="138"/>
      <c r="G29" s="138"/>
      <c r="H29" s="138"/>
      <c r="I29" s="138"/>
      <c r="J29" s="138"/>
      <c r="K29" s="138"/>
      <c r="L29" s="614"/>
    </row>
    <row r="30" spans="1:12" ht="11.25" customHeight="1">
      <c r="A30" s="136"/>
      <c r="B30" s="138"/>
      <c r="C30" s="138"/>
      <c r="D30" s="138"/>
      <c r="E30" s="138"/>
      <c r="F30" s="138"/>
      <c r="G30" s="138"/>
      <c r="H30" s="138"/>
      <c r="I30" s="138"/>
      <c r="J30" s="138"/>
      <c r="K30" s="138"/>
      <c r="L30" s="614"/>
    </row>
    <row r="31" spans="1:12" ht="11.25" customHeight="1">
      <c r="A31" s="136"/>
      <c r="B31" s="138"/>
      <c r="C31" s="138"/>
      <c r="D31" s="138"/>
      <c r="E31" s="138"/>
      <c r="F31" s="138"/>
      <c r="G31" s="138"/>
      <c r="H31" s="138"/>
      <c r="I31" s="138"/>
      <c r="J31" s="138"/>
      <c r="K31" s="138"/>
      <c r="L31" s="614"/>
    </row>
    <row r="32" spans="1:12" ht="11.25" customHeight="1">
      <c r="A32" s="136"/>
      <c r="B32" s="138"/>
      <c r="C32" s="138"/>
      <c r="D32" s="138"/>
      <c r="E32" s="138"/>
      <c r="F32" s="138"/>
      <c r="G32" s="138"/>
      <c r="H32" s="138"/>
      <c r="I32" s="138"/>
      <c r="J32" s="138"/>
      <c r="K32" s="138"/>
      <c r="L32" s="614"/>
    </row>
    <row r="33" spans="1:16" ht="11.25" customHeight="1">
      <c r="A33" s="136"/>
      <c r="B33" s="138"/>
      <c r="C33" s="138"/>
      <c r="D33" s="138"/>
      <c r="E33" s="138"/>
      <c r="F33" s="138"/>
      <c r="G33" s="138"/>
      <c r="H33" s="138"/>
      <c r="I33" s="138"/>
      <c r="J33" s="138"/>
      <c r="K33" s="138"/>
      <c r="L33" s="614"/>
    </row>
    <row r="34" spans="1:16" ht="11.25" customHeight="1">
      <c r="A34" s="913" t="str">
        <f>"Gráfico N° 6: Comparación de la producción de energía eléctrica acumulada (GWh) con recursos energéticos renovables en "&amp;'1. Resumen'!Q4&amp;"."</f>
        <v>Gráfico N° 6: Comparación de la producción de energía eléctrica acumulada (GWh) con recursos energéticos renovables en octubre.</v>
      </c>
      <c r="B34" s="913"/>
      <c r="C34" s="913"/>
      <c r="D34" s="913"/>
      <c r="E34" s="913"/>
      <c r="F34" s="913"/>
      <c r="G34" s="913"/>
      <c r="H34" s="913"/>
      <c r="I34" s="913"/>
      <c r="J34" s="913"/>
      <c r="K34" s="913"/>
      <c r="L34" s="614"/>
    </row>
    <row r="35" spans="1:16" ht="11.25" customHeight="1">
      <c r="L35" s="619"/>
    </row>
    <row r="36" spans="1:16" ht="11.25" customHeight="1">
      <c r="A36" s="136"/>
      <c r="B36" s="138"/>
      <c r="C36" s="138"/>
      <c r="D36" s="138"/>
      <c r="E36" s="138"/>
      <c r="F36" s="138"/>
      <c r="G36" s="138"/>
      <c r="H36" s="138"/>
      <c r="I36" s="138"/>
      <c r="J36" s="138"/>
      <c r="K36" s="138"/>
      <c r="L36" s="614"/>
    </row>
    <row r="37" spans="1:16" ht="11.25" customHeight="1">
      <c r="A37" s="136"/>
      <c r="B37" s="138"/>
      <c r="C37" s="138"/>
      <c r="D37" s="138"/>
      <c r="E37" s="138"/>
      <c r="F37" s="138"/>
      <c r="G37" s="138"/>
      <c r="H37" s="138"/>
      <c r="I37" s="138"/>
      <c r="J37" s="138"/>
      <c r="K37" s="138"/>
      <c r="L37" s="614"/>
    </row>
    <row r="38" spans="1:16" ht="11.25" customHeight="1">
      <c r="A38" s="136"/>
      <c r="B38" s="138"/>
      <c r="C38" s="138"/>
      <c r="D38" s="138"/>
      <c r="E38" s="138"/>
      <c r="F38" s="138"/>
      <c r="G38" s="138"/>
      <c r="H38" s="138"/>
      <c r="I38" s="138"/>
      <c r="J38" s="138"/>
      <c r="K38" s="138"/>
      <c r="L38" s="614"/>
    </row>
    <row r="39" spans="1:16" ht="11.25" customHeight="1">
      <c r="A39" s="136"/>
      <c r="B39" s="138"/>
      <c r="C39" s="271" t="s">
        <v>239</v>
      </c>
      <c r="D39" s="158"/>
      <c r="E39" s="158"/>
      <c r="F39" s="439">
        <f>+'4. Tipo Recurso'!D19</f>
        <v>4482.5706027575006</v>
      </c>
      <c r="G39" s="271" t="s">
        <v>238</v>
      </c>
      <c r="H39" s="138"/>
      <c r="I39" s="138"/>
      <c r="J39" s="138"/>
      <c r="K39" s="138"/>
      <c r="L39" s="614"/>
      <c r="M39" s="620">
        <f>+F39-F40</f>
        <v>4082.2106027575005</v>
      </c>
      <c r="P39" s="621"/>
    </row>
    <row r="40" spans="1:16" ht="11.25" customHeight="1">
      <c r="A40" s="136"/>
      <c r="B40" s="138"/>
      <c r="C40" s="271" t="s">
        <v>240</v>
      </c>
      <c r="D40" s="158"/>
      <c r="E40" s="158"/>
      <c r="F40" s="439">
        <f>ROUND(D11,2)</f>
        <v>400.36</v>
      </c>
      <c r="G40" s="271" t="s">
        <v>238</v>
      </c>
      <c r="H40" s="138"/>
      <c r="I40" s="138"/>
      <c r="J40" s="138"/>
      <c r="K40" s="138"/>
      <c r="L40" s="614"/>
      <c r="M40" s="621"/>
      <c r="P40" s="621"/>
    </row>
    <row r="41" spans="1:16" ht="11.25" customHeight="1">
      <c r="A41" s="136"/>
      <c r="B41" s="138"/>
      <c r="C41" s="138"/>
      <c r="D41" s="138"/>
      <c r="E41" s="138"/>
      <c r="F41" s="138"/>
      <c r="G41" s="138"/>
      <c r="H41" s="138"/>
      <c r="I41" s="138"/>
      <c r="J41" s="138"/>
      <c r="K41" s="138"/>
      <c r="L41" s="614"/>
      <c r="P41" s="621"/>
    </row>
    <row r="42" spans="1:16" ht="11.25" customHeight="1">
      <c r="A42" s="136"/>
      <c r="B42" s="138"/>
      <c r="C42" s="138"/>
      <c r="D42" s="138"/>
      <c r="E42" s="138"/>
      <c r="F42" s="138"/>
      <c r="G42" s="138"/>
      <c r="H42" s="138"/>
      <c r="I42" s="138"/>
      <c r="J42" s="138"/>
      <c r="K42" s="138"/>
      <c r="L42" s="614"/>
      <c r="P42" s="621"/>
    </row>
    <row r="43" spans="1:16" ht="11.25" customHeight="1">
      <c r="A43" s="136"/>
      <c r="B43" s="138"/>
      <c r="C43" s="138"/>
      <c r="D43" s="138"/>
      <c r="E43" s="138"/>
      <c r="F43" s="138"/>
      <c r="G43" s="138"/>
      <c r="H43" s="138"/>
      <c r="I43" s="138"/>
      <c r="J43" s="138"/>
      <c r="K43" s="138"/>
      <c r="L43" s="614"/>
      <c r="P43" s="621"/>
    </row>
    <row r="44" spans="1:16" ht="11.25" customHeight="1">
      <c r="A44" s="136"/>
      <c r="B44" s="138"/>
      <c r="C44" s="138"/>
      <c r="D44" s="138"/>
      <c r="E44" s="138"/>
      <c r="F44" s="138"/>
      <c r="G44" s="138"/>
      <c r="H44" s="138"/>
      <c r="I44" s="138"/>
      <c r="J44" s="138"/>
      <c r="K44" s="138"/>
    </row>
    <row r="45" spans="1:16" ht="11.25" customHeight="1">
      <c r="A45" s="136"/>
      <c r="B45" s="138"/>
      <c r="C45" s="138"/>
      <c r="D45" s="138"/>
      <c r="E45" s="138"/>
      <c r="F45" s="138"/>
      <c r="G45" s="138"/>
      <c r="H45" s="138"/>
      <c r="I45" s="138"/>
      <c r="J45" s="138"/>
      <c r="K45" s="138"/>
    </row>
    <row r="46" spans="1:16" ht="11.25" customHeight="1">
      <c r="A46" s="136"/>
      <c r="B46" s="138"/>
      <c r="C46" s="138"/>
      <c r="D46" s="138"/>
      <c r="E46" s="138"/>
      <c r="F46" s="138"/>
      <c r="G46" s="138"/>
      <c r="H46" s="138"/>
      <c r="I46" s="138"/>
      <c r="J46" s="138"/>
      <c r="K46" s="138"/>
    </row>
    <row r="47" spans="1:16" ht="11.25" customHeight="1">
      <c r="A47" s="136"/>
      <c r="B47" s="138"/>
      <c r="C47" s="138"/>
      <c r="D47" s="138"/>
      <c r="E47" s="138"/>
      <c r="F47" s="138"/>
      <c r="G47" s="138"/>
      <c r="H47" s="138"/>
      <c r="I47" s="138"/>
      <c r="J47" s="138"/>
      <c r="K47" s="138"/>
    </row>
    <row r="48" spans="1:16" ht="11.25" customHeight="1">
      <c r="A48" s="136"/>
      <c r="B48" s="138"/>
      <c r="C48" s="138"/>
      <c r="D48" s="138"/>
      <c r="E48" s="138"/>
      <c r="F48" s="138"/>
      <c r="G48" s="138"/>
      <c r="H48" s="138"/>
      <c r="I48" s="138"/>
      <c r="J48" s="138"/>
      <c r="K48" s="138"/>
    </row>
    <row r="49" spans="1:11">
      <c r="A49" s="136"/>
      <c r="B49" s="138"/>
      <c r="C49" s="138"/>
      <c r="D49" s="138"/>
      <c r="E49" s="138"/>
      <c r="F49" s="138"/>
      <c r="G49" s="138"/>
      <c r="H49" s="138"/>
      <c r="I49" s="138"/>
      <c r="J49" s="138"/>
      <c r="K49" s="138"/>
    </row>
    <row r="50" spans="1:11">
      <c r="A50" s="136"/>
      <c r="B50" s="138"/>
      <c r="C50" s="138"/>
      <c r="D50" s="138"/>
      <c r="E50" s="138"/>
      <c r="F50" s="138"/>
      <c r="G50" s="138"/>
      <c r="H50" s="138"/>
      <c r="I50" s="138"/>
      <c r="J50" s="138"/>
      <c r="K50" s="138"/>
    </row>
    <row r="51" spans="1:11">
      <c r="A51" s="136"/>
      <c r="B51" s="138"/>
      <c r="C51" s="138"/>
      <c r="D51" s="138"/>
      <c r="E51" s="138"/>
      <c r="F51" s="138"/>
      <c r="G51" s="138"/>
      <c r="H51" s="138"/>
      <c r="I51" s="138"/>
      <c r="J51" s="138"/>
      <c r="K51" s="138"/>
    </row>
    <row r="52" spans="1:11">
      <c r="A52" s="136"/>
      <c r="B52" s="138"/>
      <c r="C52" s="138"/>
      <c r="D52" s="138"/>
      <c r="E52" s="138"/>
      <c r="F52" s="138"/>
      <c r="G52" s="138"/>
      <c r="H52" s="138"/>
      <c r="I52" s="138"/>
      <c r="J52" s="138"/>
      <c r="K52" s="138"/>
    </row>
    <row r="53" spans="1:11">
      <c r="A53" s="136"/>
      <c r="B53" s="138"/>
      <c r="C53" s="138"/>
      <c r="D53" s="138"/>
      <c r="E53" s="138"/>
      <c r="F53" s="138"/>
      <c r="G53" s="138"/>
      <c r="H53" s="138"/>
      <c r="I53" s="138"/>
      <c r="J53" s="138"/>
      <c r="K53" s="138"/>
    </row>
    <row r="54" spans="1:11">
      <c r="A54" s="136"/>
      <c r="B54" s="138"/>
      <c r="C54" s="138"/>
      <c r="D54" s="138"/>
      <c r="E54" s="138"/>
      <c r="F54" s="138"/>
      <c r="G54" s="138"/>
      <c r="H54" s="138"/>
      <c r="I54" s="138"/>
      <c r="J54" s="138"/>
      <c r="K54" s="138"/>
    </row>
    <row r="55" spans="1:11">
      <c r="A55" s="136"/>
      <c r="B55" s="138"/>
      <c r="C55" s="138"/>
      <c r="D55" s="138"/>
      <c r="E55" s="138"/>
      <c r="F55" s="138"/>
      <c r="G55" s="138"/>
      <c r="H55" s="138"/>
      <c r="I55" s="138"/>
      <c r="J55" s="138"/>
      <c r="K55" s="138"/>
    </row>
    <row r="56" spans="1:11">
      <c r="A56" s="136"/>
      <c r="B56" s="138"/>
      <c r="C56" s="138"/>
      <c r="D56" s="138"/>
      <c r="E56" s="138"/>
      <c r="F56" s="138"/>
      <c r="G56" s="138"/>
      <c r="H56" s="138"/>
      <c r="I56" s="138"/>
      <c r="J56" s="138"/>
      <c r="K56" s="138"/>
    </row>
    <row r="57" spans="1:11">
      <c r="A57" s="136"/>
      <c r="B57" s="138"/>
      <c r="C57" s="138"/>
      <c r="D57" s="138"/>
      <c r="E57" s="138"/>
      <c r="F57" s="138"/>
      <c r="G57" s="138"/>
      <c r="H57" s="138"/>
      <c r="I57" s="138"/>
      <c r="J57" s="138"/>
      <c r="K57" s="138"/>
    </row>
    <row r="58" spans="1:11">
      <c r="A58" s="136"/>
      <c r="B58" s="138"/>
      <c r="C58" s="138"/>
      <c r="D58" s="138"/>
      <c r="E58" s="138"/>
      <c r="F58" s="138"/>
      <c r="G58" s="138"/>
      <c r="H58" s="138"/>
      <c r="I58" s="138"/>
      <c r="J58" s="138"/>
      <c r="K58" s="138"/>
    </row>
    <row r="59" spans="1:11">
      <c r="A59" s="136"/>
      <c r="B59" s="138"/>
      <c r="C59" s="138"/>
      <c r="D59" s="138"/>
      <c r="E59" s="138"/>
      <c r="F59" s="138"/>
      <c r="G59" s="138"/>
      <c r="H59" s="138"/>
      <c r="I59" s="138"/>
      <c r="J59" s="138"/>
      <c r="K59" s="138"/>
    </row>
    <row r="60" spans="1:11">
      <c r="B60" s="138"/>
      <c r="C60" s="138"/>
      <c r="D60" s="138"/>
      <c r="E60" s="138"/>
      <c r="F60" s="138"/>
      <c r="G60" s="138"/>
      <c r="H60" s="138"/>
      <c r="I60" s="138"/>
      <c r="J60" s="138"/>
      <c r="K60" s="138"/>
    </row>
    <row r="61" spans="1:11">
      <c r="A61" s="236" t="str">
        <f>"Gráfico N° 7: Participación de las RER en la Matriz de Generación del SEIN en "&amp;'1. Resumen'!Q4&amp;" "&amp;'1. Resumen'!Q5&amp;"."</f>
        <v>Gráfico N° 7: Participación de las RER en la Matriz de Generación del SEIN en octubre 2019.</v>
      </c>
      <c r="B61" s="138"/>
      <c r="C61" s="138"/>
      <c r="D61" s="138"/>
      <c r="E61" s="138"/>
      <c r="F61" s="138"/>
      <c r="G61" s="138"/>
      <c r="H61" s="138"/>
      <c r="I61" s="138"/>
      <c r="J61" s="138"/>
      <c r="K61" s="138"/>
    </row>
  </sheetData>
  <mergeCells count="7">
    <mergeCell ref="A34:K34"/>
    <mergeCell ref="A2:K2"/>
    <mergeCell ref="A4:A5"/>
    <mergeCell ref="B4:D4"/>
    <mergeCell ref="E4:F4"/>
    <mergeCell ref="G4:K4"/>
    <mergeCell ref="A14:K14"/>
  </mergeCells>
  <pageMargins left="0.62992125984251968" right="0.55118110236220474" top="1.0236220472440944" bottom="0.62992125984251968" header="0.31496062992125984" footer="0.31496062992125984"/>
  <pageSetup paperSize="9" scale="95" orientation="portrait" r:id="rId1"/>
  <headerFooter>
    <oddHeader>&amp;R&amp;7Informe de la Operación Mensual-Octubre 2019
INFSGI-MES-10-2019
18/10/2019
Versión: 01</oddHeader>
    <oddFooter>&amp;L&amp;7COES, 2019&amp;C5&amp;R&amp;7Dirección Ejecutiva
Sub Dirección de Gestión de Información</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tabColor theme="4"/>
  </sheetPr>
  <dimension ref="A2:Y64"/>
  <sheetViews>
    <sheetView showGridLines="0" view="pageBreakPreview" zoomScale="130" zoomScaleNormal="100" zoomScaleSheetLayoutView="130" zoomScalePageLayoutView="160" workbookViewId="0">
      <selection activeCell="M12" sqref="M12"/>
    </sheetView>
  </sheetViews>
  <sheetFormatPr defaultColWidth="9.33203125" defaultRowHeight="11.25"/>
  <cols>
    <col min="1" max="11" width="10.33203125" customWidth="1"/>
    <col min="12" max="12" width="21.1640625" style="799" bestFit="1" customWidth="1"/>
    <col min="13" max="14" width="9.33203125" style="799"/>
    <col min="15" max="15" width="11.83203125" style="799" customWidth="1"/>
    <col min="16" max="17" width="9.33203125" style="799"/>
    <col min="18" max="18" width="9.33203125" style="820"/>
    <col min="19" max="19" width="9.33203125" style="856"/>
    <col min="20" max="20" width="15" style="856" customWidth="1"/>
    <col min="21" max="22" width="9.33203125" style="856"/>
    <col min="23" max="24" width="9.33203125" style="612"/>
    <col min="25" max="25" width="17.83203125" style="612" bestFit="1" customWidth="1"/>
  </cols>
  <sheetData>
    <row r="2" spans="1:25" ht="11.25" customHeight="1">
      <c r="A2" s="916" t="s">
        <v>245</v>
      </c>
      <c r="B2" s="916"/>
      <c r="C2" s="916"/>
      <c r="D2" s="916"/>
      <c r="E2" s="916"/>
      <c r="F2" s="916"/>
      <c r="G2" s="916"/>
      <c r="H2" s="916"/>
      <c r="I2" s="916"/>
      <c r="J2" s="916"/>
      <c r="K2" s="916"/>
    </row>
    <row r="3" spans="1:25" ht="11.25" customHeight="1"/>
    <row r="4" spans="1:25" ht="11.25" customHeight="1">
      <c r="L4" s="800" t="s">
        <v>55</v>
      </c>
      <c r="M4" s="801" t="s">
        <v>31</v>
      </c>
      <c r="N4" s="800"/>
      <c r="O4" s="802"/>
      <c r="P4" s="803"/>
      <c r="Q4" s="803"/>
    </row>
    <row r="5" spans="1:25" ht="10.5" customHeight="1">
      <c r="A5" s="149"/>
      <c r="B5" s="138"/>
      <c r="C5" s="138"/>
      <c r="D5" s="138"/>
      <c r="E5" s="138"/>
      <c r="F5" s="138"/>
      <c r="G5" s="138"/>
      <c r="H5" s="138"/>
      <c r="I5" s="138"/>
      <c r="J5" s="138"/>
      <c r="K5" s="138"/>
      <c r="L5" s="800"/>
      <c r="M5" s="801"/>
      <c r="N5" s="800"/>
      <c r="O5" s="800" t="s">
        <v>56</v>
      </c>
      <c r="P5" s="800" t="s">
        <v>57</v>
      </c>
      <c r="Q5" s="800"/>
      <c r="U5" s="856">
        <v>2019</v>
      </c>
      <c r="V5" s="859">
        <v>2018</v>
      </c>
      <c r="W5" s="830"/>
    </row>
    <row r="6" spans="1:25" ht="10.5" customHeight="1">
      <c r="A6" s="111"/>
      <c r="B6" s="138"/>
      <c r="C6" s="138"/>
      <c r="D6" s="138"/>
      <c r="E6" s="138"/>
      <c r="F6" s="138"/>
      <c r="G6" s="138"/>
      <c r="H6" s="138"/>
      <c r="I6" s="138"/>
      <c r="J6" s="138"/>
      <c r="K6" s="138"/>
      <c r="L6" s="804" t="s">
        <v>469</v>
      </c>
      <c r="M6" s="804" t="s">
        <v>59</v>
      </c>
      <c r="N6" s="805">
        <v>19.605</v>
      </c>
      <c r="O6" s="806">
        <v>14.561900835000001</v>
      </c>
      <c r="P6" s="806">
        <v>0.99833957454072786</v>
      </c>
      <c r="Q6" s="806"/>
      <c r="S6" s="856" t="s">
        <v>581</v>
      </c>
      <c r="T6" s="856" t="s">
        <v>60</v>
      </c>
      <c r="U6" s="857">
        <v>1</v>
      </c>
      <c r="V6" s="858">
        <v>1</v>
      </c>
      <c r="W6" s="831"/>
      <c r="X6" s="856" t="s">
        <v>60</v>
      </c>
      <c r="Y6" s="857">
        <v>1.0103700673885234</v>
      </c>
    </row>
    <row r="7" spans="1:25" ht="10.5" customHeight="1">
      <c r="A7" s="136"/>
      <c r="B7" s="138"/>
      <c r="C7" s="138"/>
      <c r="D7" s="138"/>
      <c r="E7" s="138"/>
      <c r="F7" s="138"/>
      <c r="G7" s="138"/>
      <c r="H7" s="138"/>
      <c r="I7" s="138"/>
      <c r="J7" s="138"/>
      <c r="K7" s="138"/>
      <c r="L7" s="804" t="s">
        <v>60</v>
      </c>
      <c r="M7" s="804" t="s">
        <v>59</v>
      </c>
      <c r="N7" s="805">
        <v>15</v>
      </c>
      <c r="O7" s="806">
        <v>12.249863585</v>
      </c>
      <c r="P7" s="806">
        <v>1</v>
      </c>
      <c r="Q7" s="806"/>
      <c r="T7" s="856" t="s">
        <v>469</v>
      </c>
      <c r="U7" s="857">
        <v>0.9277130315227945</v>
      </c>
      <c r="V7" s="858">
        <v>0.92247543501106199</v>
      </c>
      <c r="W7" s="831"/>
      <c r="X7" s="856" t="s">
        <v>469</v>
      </c>
      <c r="Y7" s="857">
        <v>0.92247543501106199</v>
      </c>
    </row>
    <row r="8" spans="1:25" ht="10.5" customHeight="1">
      <c r="A8" s="136"/>
      <c r="B8" s="138"/>
      <c r="C8" s="138"/>
      <c r="D8" s="138"/>
      <c r="E8" s="138"/>
      <c r="F8" s="138"/>
      <c r="G8" s="138"/>
      <c r="H8" s="138"/>
      <c r="I8" s="138"/>
      <c r="J8" s="138"/>
      <c r="K8" s="138"/>
      <c r="L8" s="804" t="s">
        <v>64</v>
      </c>
      <c r="M8" s="804" t="s">
        <v>59</v>
      </c>
      <c r="N8" s="805">
        <v>19.899999999999999</v>
      </c>
      <c r="O8" s="806">
        <v>9.2458196400000006</v>
      </c>
      <c r="P8" s="806">
        <v>0.6244812530393905</v>
      </c>
      <c r="Q8" s="806"/>
      <c r="T8" s="856" t="s">
        <v>67</v>
      </c>
      <c r="U8" s="857">
        <v>0.8448903011050567</v>
      </c>
      <c r="V8" s="858">
        <v>0.79657670483503795</v>
      </c>
      <c r="W8" s="831"/>
      <c r="X8" s="856" t="s">
        <v>63</v>
      </c>
      <c r="Y8" s="857">
        <v>0.80760752342166986</v>
      </c>
    </row>
    <row r="9" spans="1:25" ht="10.5" customHeight="1">
      <c r="A9" s="136"/>
      <c r="B9" s="138"/>
      <c r="C9" s="138"/>
      <c r="D9" s="138"/>
      <c r="E9" s="138"/>
      <c r="F9" s="138"/>
      <c r="G9" s="138"/>
      <c r="H9" s="138"/>
      <c r="I9" s="138"/>
      <c r="J9" s="138"/>
      <c r="K9" s="138"/>
      <c r="L9" s="804" t="s">
        <v>493</v>
      </c>
      <c r="M9" s="807" t="s">
        <v>59</v>
      </c>
      <c r="N9" s="805">
        <v>20</v>
      </c>
      <c r="O9" s="806">
        <v>8.9568569525000008</v>
      </c>
      <c r="P9" s="806">
        <v>0.60193931132392475</v>
      </c>
      <c r="Q9" s="806"/>
      <c r="T9" s="856" t="s">
        <v>75</v>
      </c>
      <c r="U9" s="857">
        <v>0.81309153544178703</v>
      </c>
      <c r="V9" s="858">
        <v>0.72498013923557636</v>
      </c>
      <c r="W9" s="831"/>
      <c r="X9" s="856" t="s">
        <v>67</v>
      </c>
      <c r="Y9" s="857">
        <v>0.79657670483503795</v>
      </c>
    </row>
    <row r="10" spans="1:25" ht="10.5" customHeight="1">
      <c r="A10" s="136"/>
      <c r="B10" s="138"/>
      <c r="C10" s="138"/>
      <c r="D10" s="138"/>
      <c r="E10" s="138"/>
      <c r="F10" s="138"/>
      <c r="G10" s="138"/>
      <c r="H10" s="138"/>
      <c r="I10" s="138"/>
      <c r="J10" s="138"/>
      <c r="K10" s="138"/>
      <c r="L10" s="804" t="s">
        <v>58</v>
      </c>
      <c r="M10" s="807" t="s">
        <v>59</v>
      </c>
      <c r="N10" s="805">
        <v>19.966000000000001</v>
      </c>
      <c r="O10" s="806">
        <v>6.5979722525</v>
      </c>
      <c r="P10" s="806">
        <v>0.44416719797984522</v>
      </c>
      <c r="Q10" s="806"/>
      <c r="T10" s="856" t="s">
        <v>63</v>
      </c>
      <c r="U10" s="857">
        <v>0.79028453764766293</v>
      </c>
      <c r="V10" s="858">
        <v>0.80760752342166986</v>
      </c>
      <c r="W10" s="831"/>
      <c r="X10" s="856" t="s">
        <v>73</v>
      </c>
      <c r="Y10" s="857">
        <v>0.77809183084495981</v>
      </c>
    </row>
    <row r="11" spans="1:25" ht="10.5" customHeight="1">
      <c r="A11" s="136"/>
      <c r="B11" s="138"/>
      <c r="C11" s="138"/>
      <c r="D11" s="138"/>
      <c r="E11" s="138"/>
      <c r="F11" s="138"/>
      <c r="G11" s="138"/>
      <c r="H11" s="138"/>
      <c r="I11" s="138"/>
      <c r="J11" s="138"/>
      <c r="K11" s="138"/>
      <c r="L11" s="804" t="s">
        <v>482</v>
      </c>
      <c r="M11" s="807" t="s">
        <v>59</v>
      </c>
      <c r="N11" s="805">
        <v>20.16</v>
      </c>
      <c r="O11" s="806">
        <v>6.2114726250000007</v>
      </c>
      <c r="P11" s="806">
        <v>0.41412467897945471</v>
      </c>
      <c r="Q11" s="806"/>
      <c r="T11" s="856" t="s">
        <v>71</v>
      </c>
      <c r="U11" s="857">
        <v>0.70373506957827447</v>
      </c>
      <c r="V11" s="858">
        <v>0.72223784127470636</v>
      </c>
      <c r="W11" s="831"/>
      <c r="X11" s="856" t="s">
        <v>58</v>
      </c>
      <c r="Y11" s="857">
        <v>0.73547322570766127</v>
      </c>
    </row>
    <row r="12" spans="1:25" ht="10.5" customHeight="1">
      <c r="A12" s="136"/>
      <c r="B12" s="138"/>
      <c r="C12" s="138"/>
      <c r="D12" s="138"/>
      <c r="E12" s="138"/>
      <c r="F12" s="138"/>
      <c r="G12" s="138"/>
      <c r="H12" s="138"/>
      <c r="I12" s="138"/>
      <c r="J12" s="138"/>
      <c r="K12" s="138"/>
      <c r="L12" s="804" t="s">
        <v>483</v>
      </c>
      <c r="M12" s="804" t="s">
        <v>59</v>
      </c>
      <c r="N12" s="805">
        <v>20.16</v>
      </c>
      <c r="O12" s="806">
        <v>5.6433170725000004</v>
      </c>
      <c r="P12" s="806">
        <v>0.37624521786060972</v>
      </c>
      <c r="Q12" s="806"/>
      <c r="T12" s="856" t="s">
        <v>485</v>
      </c>
      <c r="U12" s="857">
        <v>0.68988177425986852</v>
      </c>
      <c r="V12" s="858">
        <v>0.62342523620559342</v>
      </c>
      <c r="W12" s="831"/>
      <c r="X12" s="856" t="s">
        <v>75</v>
      </c>
      <c r="Y12" s="857">
        <v>0.72498013923557636</v>
      </c>
    </row>
    <row r="13" spans="1:25" ht="10.5" customHeight="1">
      <c r="A13" s="136"/>
      <c r="B13" s="138"/>
      <c r="C13" s="138"/>
      <c r="D13" s="138"/>
      <c r="E13" s="138"/>
      <c r="F13" s="138"/>
      <c r="G13" s="138"/>
      <c r="H13" s="138"/>
      <c r="I13" s="138"/>
      <c r="J13" s="138"/>
      <c r="K13" s="138"/>
      <c r="L13" s="804" t="s">
        <v>67</v>
      </c>
      <c r="M13" s="804" t="s">
        <v>59</v>
      </c>
      <c r="N13" s="805">
        <v>7.7450000000000001</v>
      </c>
      <c r="O13" s="806">
        <v>5.3302760975000005</v>
      </c>
      <c r="P13" s="806">
        <v>0.92502899850406439</v>
      </c>
      <c r="Q13" s="806"/>
      <c r="T13" s="856" t="s">
        <v>72</v>
      </c>
      <c r="U13" s="857">
        <v>0.66272024552846265</v>
      </c>
      <c r="V13" s="858">
        <v>0.56406359479911206</v>
      </c>
      <c r="W13" s="831"/>
      <c r="X13" s="856" t="s">
        <v>74</v>
      </c>
      <c r="Y13" s="857">
        <v>0.72436166843439798</v>
      </c>
    </row>
    <row r="14" spans="1:25" ht="10.5" customHeight="1">
      <c r="A14" s="136"/>
      <c r="B14" s="138"/>
      <c r="C14" s="138"/>
      <c r="D14" s="138"/>
      <c r="E14" s="138"/>
      <c r="F14" s="138"/>
      <c r="G14" s="138"/>
      <c r="H14" s="138"/>
      <c r="I14" s="138"/>
      <c r="J14" s="138"/>
      <c r="K14" s="138"/>
      <c r="L14" s="804" t="s">
        <v>484</v>
      </c>
      <c r="M14" s="804" t="s">
        <v>59</v>
      </c>
      <c r="N14" s="805">
        <v>20.16</v>
      </c>
      <c r="O14" s="806">
        <v>5.1013568325000005</v>
      </c>
      <c r="P14" s="806">
        <v>0.34011222268225166</v>
      </c>
      <c r="Q14" s="806"/>
      <c r="T14" s="856" t="s">
        <v>493</v>
      </c>
      <c r="U14" s="857">
        <v>0.65202095319353059</v>
      </c>
      <c r="V14" s="858">
        <v>0</v>
      </c>
      <c r="W14" s="831"/>
      <c r="X14" s="856" t="s">
        <v>71</v>
      </c>
      <c r="Y14" s="857">
        <v>0.72223784127470636</v>
      </c>
    </row>
    <row r="15" spans="1:25" ht="11.25" customHeight="1">
      <c r="A15" s="136"/>
      <c r="B15" s="138"/>
      <c r="C15" s="138"/>
      <c r="D15" s="138"/>
      <c r="E15" s="138"/>
      <c r="F15" s="138"/>
      <c r="G15" s="138"/>
      <c r="H15" s="138"/>
      <c r="I15" s="138"/>
      <c r="J15" s="138"/>
      <c r="K15" s="138"/>
      <c r="L15" s="804" t="s">
        <v>63</v>
      </c>
      <c r="M15" s="804" t="s">
        <v>59</v>
      </c>
      <c r="N15" s="805">
        <v>9.9830000000000005</v>
      </c>
      <c r="O15" s="806">
        <v>4.9299513350000002</v>
      </c>
      <c r="P15" s="806">
        <v>0.66375625323803145</v>
      </c>
      <c r="Q15" s="806"/>
      <c r="T15" s="856" t="s">
        <v>70</v>
      </c>
      <c r="U15" s="857">
        <v>0.64653590530933969</v>
      </c>
      <c r="V15" s="858">
        <v>0.61858906865673069</v>
      </c>
      <c r="W15" s="831"/>
      <c r="X15" s="856" t="s">
        <v>65</v>
      </c>
      <c r="Y15" s="857">
        <v>0.6484942901428743</v>
      </c>
    </row>
    <row r="16" spans="1:25" ht="11.25" customHeight="1">
      <c r="A16" s="136"/>
      <c r="B16" s="138"/>
      <c r="C16" s="138"/>
      <c r="D16" s="138"/>
      <c r="E16" s="138"/>
      <c r="F16" s="138"/>
      <c r="G16" s="138"/>
      <c r="H16" s="138"/>
      <c r="I16" s="138"/>
      <c r="J16" s="138"/>
      <c r="K16" s="138"/>
      <c r="L16" s="804" t="s">
        <v>62</v>
      </c>
      <c r="M16" s="804" t="s">
        <v>59</v>
      </c>
      <c r="N16" s="805">
        <v>19.1995</v>
      </c>
      <c r="O16" s="806">
        <v>4.7817676999999996</v>
      </c>
      <c r="P16" s="806">
        <v>0.33475388023937669</v>
      </c>
      <c r="Q16" s="806"/>
      <c r="T16" s="856" t="s">
        <v>74</v>
      </c>
      <c r="U16" s="857">
        <v>0.6463665163883664</v>
      </c>
      <c r="V16" s="858">
        <v>0.72436166843439798</v>
      </c>
      <c r="W16" s="831"/>
      <c r="X16" s="856" t="s">
        <v>66</v>
      </c>
      <c r="Y16" s="857">
        <v>0.637441074937105</v>
      </c>
    </row>
    <row r="17" spans="1:25" ht="11.25" customHeight="1">
      <c r="A17" s="136"/>
      <c r="B17" s="138"/>
      <c r="C17" s="138"/>
      <c r="D17" s="138"/>
      <c r="E17" s="138"/>
      <c r="F17" s="138"/>
      <c r="G17" s="138"/>
      <c r="H17" s="138"/>
      <c r="I17" s="138"/>
      <c r="J17" s="138"/>
      <c r="K17" s="138"/>
      <c r="L17" s="804" t="s">
        <v>61</v>
      </c>
      <c r="M17" s="804" t="s">
        <v>59</v>
      </c>
      <c r="N17" s="805">
        <v>19.966999999999999</v>
      </c>
      <c r="O17" s="806">
        <v>4.6156257949999997</v>
      </c>
      <c r="P17" s="806">
        <v>0.31070256480989333</v>
      </c>
      <c r="Q17" s="806"/>
      <c r="T17" s="856" t="s">
        <v>500</v>
      </c>
      <c r="U17" s="857">
        <v>0.63047591693559779</v>
      </c>
      <c r="V17" s="858">
        <v>0</v>
      </c>
      <c r="W17" s="831"/>
      <c r="X17" s="856" t="s">
        <v>485</v>
      </c>
      <c r="Y17" s="857">
        <v>0.62342523620559342</v>
      </c>
    </row>
    <row r="18" spans="1:25">
      <c r="A18" s="136"/>
      <c r="B18" s="138"/>
      <c r="C18" s="138"/>
      <c r="D18" s="138"/>
      <c r="E18" s="138"/>
      <c r="F18" s="138"/>
      <c r="G18" s="138"/>
      <c r="H18" s="138"/>
      <c r="I18" s="138"/>
      <c r="J18" s="138"/>
      <c r="K18" s="138"/>
      <c r="L18" s="804" t="s">
        <v>70</v>
      </c>
      <c r="M18" s="804" t="s">
        <v>59</v>
      </c>
      <c r="N18" s="805">
        <v>9.5660000000000007</v>
      </c>
      <c r="O18" s="806">
        <v>4.1339973125</v>
      </c>
      <c r="P18" s="806">
        <v>0.58085385748191953</v>
      </c>
      <c r="Q18" s="806"/>
      <c r="T18" s="856" t="s">
        <v>58</v>
      </c>
      <c r="U18" s="857">
        <v>0.61923019014108505</v>
      </c>
      <c r="V18" s="858">
        <v>0.73547322570766127</v>
      </c>
      <c r="W18" s="831"/>
      <c r="X18" s="856" t="s">
        <v>70</v>
      </c>
      <c r="Y18" s="857">
        <v>0.61858906865673069</v>
      </c>
    </row>
    <row r="19" spans="1:25">
      <c r="A19" s="136"/>
      <c r="B19" s="138"/>
      <c r="C19" s="138"/>
      <c r="D19" s="138"/>
      <c r="E19" s="138"/>
      <c r="F19" s="138"/>
      <c r="G19" s="138"/>
      <c r="H19" s="138"/>
      <c r="I19" s="138"/>
      <c r="J19" s="138"/>
      <c r="K19" s="138"/>
      <c r="L19" s="804" t="s">
        <v>65</v>
      </c>
      <c r="M19" s="804" t="s">
        <v>59</v>
      </c>
      <c r="N19" s="805">
        <v>10.222</v>
      </c>
      <c r="O19" s="806">
        <v>3.2914324599999998</v>
      </c>
      <c r="P19" s="806">
        <v>0.43278892195412383</v>
      </c>
      <c r="Q19" s="806"/>
      <c r="T19" s="856" t="s">
        <v>64</v>
      </c>
      <c r="U19" s="857">
        <v>0.61411513230213588</v>
      </c>
      <c r="V19" s="858">
        <v>0.51199034231946461</v>
      </c>
      <c r="W19" s="831"/>
      <c r="X19" s="856" t="s">
        <v>62</v>
      </c>
      <c r="Y19" s="857">
        <v>0.58484118015668696</v>
      </c>
    </row>
    <row r="20" spans="1:25">
      <c r="A20" s="136"/>
      <c r="B20" s="138"/>
      <c r="C20" s="138"/>
      <c r="D20" s="138"/>
      <c r="E20" s="138"/>
      <c r="F20" s="138"/>
      <c r="G20" s="138"/>
      <c r="H20" s="138"/>
      <c r="I20" s="138"/>
      <c r="J20" s="138"/>
      <c r="K20" s="138"/>
      <c r="L20" s="804" t="s">
        <v>500</v>
      </c>
      <c r="M20" s="804" t="s">
        <v>59</v>
      </c>
      <c r="N20" s="805">
        <v>13.2</v>
      </c>
      <c r="O20" s="806">
        <v>3.2163367274999999</v>
      </c>
      <c r="P20" s="806">
        <v>0.32750251787023466</v>
      </c>
      <c r="Q20" s="806"/>
      <c r="T20" s="856" t="s">
        <v>62</v>
      </c>
      <c r="U20" s="857">
        <v>0.57804130789553076</v>
      </c>
      <c r="V20" s="858">
        <v>0.58484118015668696</v>
      </c>
      <c r="W20" s="831"/>
      <c r="X20" s="856" t="s">
        <v>61</v>
      </c>
      <c r="Y20" s="857">
        <v>0.57810204036152524</v>
      </c>
    </row>
    <row r="21" spans="1:25">
      <c r="A21" s="136"/>
      <c r="B21" s="138"/>
      <c r="C21" s="138"/>
      <c r="D21" s="138"/>
      <c r="E21" s="138"/>
      <c r="F21" s="138"/>
      <c r="G21" s="138"/>
      <c r="H21" s="138"/>
      <c r="I21" s="138"/>
      <c r="J21" s="138"/>
      <c r="K21" s="138"/>
      <c r="L21" s="804" t="s">
        <v>66</v>
      </c>
      <c r="M21" s="804" t="s">
        <v>59</v>
      </c>
      <c r="N21" s="805">
        <v>9.85</v>
      </c>
      <c r="O21" s="806">
        <v>3.2024353775000001</v>
      </c>
      <c r="P21" s="806">
        <v>0.43698970819005517</v>
      </c>
      <c r="Q21" s="806"/>
      <c r="T21" s="856" t="s">
        <v>65</v>
      </c>
      <c r="U21" s="857">
        <v>0.57220904999606348</v>
      </c>
      <c r="V21" s="858">
        <v>0.6484942901428743</v>
      </c>
      <c r="W21" s="831"/>
      <c r="X21" s="856" t="s">
        <v>72</v>
      </c>
      <c r="Y21" s="857">
        <v>0.56406359479911206</v>
      </c>
    </row>
    <row r="22" spans="1:25">
      <c r="A22" s="136"/>
      <c r="B22" s="138"/>
      <c r="C22" s="138"/>
      <c r="D22" s="138"/>
      <c r="E22" s="138"/>
      <c r="F22" s="138"/>
      <c r="G22" s="138"/>
      <c r="H22" s="138"/>
      <c r="I22" s="138"/>
      <c r="J22" s="138"/>
      <c r="K22" s="138"/>
      <c r="L22" s="804" t="s">
        <v>75</v>
      </c>
      <c r="M22" s="804" t="s">
        <v>59</v>
      </c>
      <c r="N22" s="805">
        <v>3.964</v>
      </c>
      <c r="O22" s="806">
        <v>2.4540999999999999</v>
      </c>
      <c r="P22" s="806">
        <v>0.8321194514067467</v>
      </c>
      <c r="Q22" s="806"/>
      <c r="T22" s="856" t="s">
        <v>66</v>
      </c>
      <c r="U22" s="857">
        <v>0.56510989378089094</v>
      </c>
      <c r="V22" s="858">
        <v>0.637441074937105</v>
      </c>
      <c r="W22" s="831"/>
      <c r="X22" s="856" t="s">
        <v>64</v>
      </c>
      <c r="Y22" s="857">
        <v>0.51199034231946461</v>
      </c>
    </row>
    <row r="23" spans="1:25">
      <c r="A23" s="136"/>
      <c r="B23" s="138"/>
      <c r="C23" s="138"/>
      <c r="D23" s="138"/>
      <c r="E23" s="138"/>
      <c r="F23" s="138"/>
      <c r="G23" s="138"/>
      <c r="H23" s="138"/>
      <c r="I23" s="138"/>
      <c r="J23" s="138"/>
      <c r="K23" s="138"/>
      <c r="L23" s="804" t="s">
        <v>72</v>
      </c>
      <c r="M23" s="804" t="s">
        <v>59</v>
      </c>
      <c r="N23" s="805">
        <v>5.67</v>
      </c>
      <c r="O23" s="806">
        <v>2.2023130950000001</v>
      </c>
      <c r="P23" s="806">
        <v>0.52206318271036023</v>
      </c>
      <c r="Q23" s="806"/>
      <c r="T23" s="856" t="s">
        <v>68</v>
      </c>
      <c r="U23" s="857">
        <v>0.518594176563002</v>
      </c>
      <c r="V23" s="858">
        <v>0.50913782063211288</v>
      </c>
      <c r="W23" s="831"/>
      <c r="X23" s="856" t="s">
        <v>68</v>
      </c>
      <c r="Y23" s="857">
        <v>0.50913782063211288</v>
      </c>
    </row>
    <row r="24" spans="1:25">
      <c r="A24" s="136"/>
      <c r="B24" s="138"/>
      <c r="C24" s="138"/>
      <c r="D24" s="138"/>
      <c r="E24" s="138"/>
      <c r="F24" s="138"/>
      <c r="G24" s="138"/>
      <c r="H24" s="138"/>
      <c r="I24" s="138"/>
      <c r="J24" s="138"/>
      <c r="K24" s="138"/>
      <c r="L24" s="804" t="s">
        <v>74</v>
      </c>
      <c r="M24" s="804" t="s">
        <v>59</v>
      </c>
      <c r="N24" s="805">
        <v>3.91621</v>
      </c>
      <c r="O24" s="806">
        <v>1.703283125</v>
      </c>
      <c r="P24" s="806">
        <v>0.58458536160688379</v>
      </c>
      <c r="Q24" s="806"/>
      <c r="T24" s="856" t="s">
        <v>69</v>
      </c>
      <c r="U24" s="857">
        <v>0.50451430756177074</v>
      </c>
      <c r="V24" s="858">
        <v>0.48711546219673935</v>
      </c>
      <c r="W24" s="831"/>
      <c r="X24" s="856" t="s">
        <v>69</v>
      </c>
      <c r="Y24" s="857">
        <v>0.48711546219673935</v>
      </c>
    </row>
    <row r="25" spans="1:25">
      <c r="A25" s="136"/>
      <c r="B25" s="138"/>
      <c r="C25" s="138"/>
      <c r="D25" s="138"/>
      <c r="E25" s="138"/>
      <c r="F25" s="138"/>
      <c r="G25" s="138"/>
      <c r="H25" s="138"/>
      <c r="I25" s="138"/>
      <c r="J25" s="138"/>
      <c r="K25" s="138"/>
      <c r="L25" s="804" t="s">
        <v>68</v>
      </c>
      <c r="M25" s="804" t="s">
        <v>59</v>
      </c>
      <c r="N25" s="805">
        <v>7.4240000000000004</v>
      </c>
      <c r="O25" s="806">
        <v>1.5336893574999999</v>
      </c>
      <c r="P25" s="806">
        <v>0.27766843032695471</v>
      </c>
      <c r="Q25" s="806"/>
      <c r="T25" s="856" t="s">
        <v>61</v>
      </c>
      <c r="U25" s="857">
        <v>0.49724945787056346</v>
      </c>
      <c r="V25" s="858">
        <v>0.57810204036152524</v>
      </c>
      <c r="W25" s="831"/>
      <c r="X25" s="856" t="s">
        <v>482</v>
      </c>
      <c r="Y25" s="857">
        <v>0.29723953650229384</v>
      </c>
    </row>
    <row r="26" spans="1:25">
      <c r="A26" s="136"/>
      <c r="B26" s="138"/>
      <c r="C26" s="138"/>
      <c r="D26" s="138"/>
      <c r="E26" s="138"/>
      <c r="F26" s="138"/>
      <c r="G26" s="138"/>
      <c r="H26" s="138"/>
      <c r="I26" s="138"/>
      <c r="J26" s="138"/>
      <c r="K26" s="138"/>
      <c r="L26" s="804" t="s">
        <v>69</v>
      </c>
      <c r="M26" s="804" t="s">
        <v>59</v>
      </c>
      <c r="N26" s="805">
        <v>6.9580000000000002</v>
      </c>
      <c r="O26" s="806">
        <v>1.3047591975000001</v>
      </c>
      <c r="P26" s="806">
        <v>0.25204205214002912</v>
      </c>
      <c r="Q26" s="806"/>
      <c r="T26" s="856" t="s">
        <v>73</v>
      </c>
      <c r="U26" s="857">
        <v>0.48030503665211005</v>
      </c>
      <c r="V26" s="858">
        <v>0.77809183084495981</v>
      </c>
      <c r="W26" s="831"/>
      <c r="X26" s="856" t="s">
        <v>483</v>
      </c>
      <c r="Y26" s="857">
        <v>0.29465895389791719</v>
      </c>
    </row>
    <row r="27" spans="1:25">
      <c r="A27" s="136"/>
      <c r="B27" s="138"/>
      <c r="C27" s="138"/>
      <c r="D27" s="138"/>
      <c r="E27" s="138"/>
      <c r="F27" s="138"/>
      <c r="G27" s="138"/>
      <c r="H27" s="138"/>
      <c r="I27" s="138"/>
      <c r="J27" s="138"/>
      <c r="K27" s="138"/>
      <c r="L27" s="804" t="s">
        <v>71</v>
      </c>
      <c r="M27" s="804" t="s">
        <v>59</v>
      </c>
      <c r="N27" s="805">
        <v>5.1890000000000001</v>
      </c>
      <c r="O27" s="806">
        <v>1.2097734025000002</v>
      </c>
      <c r="P27" s="806">
        <v>0.3133627904199745</v>
      </c>
      <c r="Q27" s="806"/>
      <c r="T27" s="856" t="s">
        <v>482</v>
      </c>
      <c r="U27" s="857">
        <v>0.42427745190001365</v>
      </c>
      <c r="V27" s="858">
        <v>0.29723953650229384</v>
      </c>
      <c r="W27" s="831"/>
      <c r="X27" s="856" t="s">
        <v>484</v>
      </c>
      <c r="Y27" s="857">
        <v>0.22657863612265891</v>
      </c>
    </row>
    <row r="28" spans="1:25">
      <c r="A28" s="136"/>
      <c r="B28" s="138"/>
      <c r="C28" s="138"/>
      <c r="D28" s="138"/>
      <c r="E28" s="138"/>
      <c r="F28" s="138"/>
      <c r="G28" s="138"/>
      <c r="H28" s="138"/>
      <c r="I28" s="138"/>
      <c r="J28" s="138"/>
      <c r="K28" s="138"/>
      <c r="L28" s="804" t="s">
        <v>73</v>
      </c>
      <c r="M28" s="804" t="s">
        <v>59</v>
      </c>
      <c r="N28" s="805">
        <v>3.48</v>
      </c>
      <c r="O28" s="806">
        <v>0.90890776249999994</v>
      </c>
      <c r="P28" s="806">
        <v>0.35104891333735017</v>
      </c>
      <c r="Q28" s="806"/>
      <c r="T28" s="856" t="s">
        <v>483</v>
      </c>
      <c r="U28" s="857">
        <v>0.41678017506058984</v>
      </c>
      <c r="V28" s="858">
        <v>0.29465895389791719</v>
      </c>
      <c r="W28" s="831"/>
      <c r="X28" s="856" t="s">
        <v>76</v>
      </c>
      <c r="Y28" s="857">
        <v>0.16094468812693202</v>
      </c>
    </row>
    <row r="29" spans="1:25">
      <c r="A29" s="136"/>
      <c r="B29" s="138"/>
      <c r="C29" s="138"/>
      <c r="D29" s="138"/>
      <c r="E29" s="138"/>
      <c r="F29" s="138"/>
      <c r="G29" s="138"/>
      <c r="H29" s="138"/>
      <c r="I29" s="138"/>
      <c r="J29" s="138"/>
      <c r="K29" s="138"/>
      <c r="L29" s="804" t="s">
        <v>485</v>
      </c>
      <c r="M29" s="804" t="s">
        <v>59</v>
      </c>
      <c r="N29" s="805">
        <v>0.7</v>
      </c>
      <c r="O29" s="806">
        <v>0.43065744</v>
      </c>
      <c r="P29" s="806">
        <v>0.82691520737327195</v>
      </c>
      <c r="Q29" s="806"/>
      <c r="T29" s="856" t="s">
        <v>484</v>
      </c>
      <c r="U29" s="857">
        <v>0.36887424165815469</v>
      </c>
      <c r="V29" s="858">
        <v>0.22657863612265891</v>
      </c>
      <c r="W29" s="831"/>
      <c r="X29" s="856" t="s">
        <v>515</v>
      </c>
      <c r="Y29" s="857">
        <v>0.60836863533119623</v>
      </c>
    </row>
    <row r="30" spans="1:25">
      <c r="A30" s="136"/>
      <c r="B30" s="138"/>
      <c r="C30" s="138"/>
      <c r="D30" s="138"/>
      <c r="E30" s="138"/>
      <c r="F30" s="138"/>
      <c r="G30" s="138"/>
      <c r="H30" s="138"/>
      <c r="I30" s="138"/>
      <c r="J30" s="138"/>
      <c r="K30" s="138"/>
      <c r="L30" s="804" t="s">
        <v>76</v>
      </c>
      <c r="M30" s="804" t="s">
        <v>59</v>
      </c>
      <c r="N30" s="805">
        <v>1.714</v>
      </c>
      <c r="O30" s="806">
        <v>0.2409587225</v>
      </c>
      <c r="P30" s="806">
        <v>0.18895522209570773</v>
      </c>
      <c r="Q30" s="806"/>
      <c r="T30" s="856" t="s">
        <v>76</v>
      </c>
      <c r="U30" s="857">
        <v>0.13394654317386234</v>
      </c>
      <c r="V30" s="858">
        <v>0.16094468812693202</v>
      </c>
      <c r="W30" s="831"/>
      <c r="X30" s="856" t="s">
        <v>77</v>
      </c>
      <c r="Y30" s="857">
        <v>0.54521277505042276</v>
      </c>
    </row>
    <row r="31" spans="1:25">
      <c r="A31" s="136"/>
      <c r="B31" s="138"/>
      <c r="C31" s="138"/>
      <c r="D31" s="138"/>
      <c r="E31" s="138"/>
      <c r="F31" s="138"/>
      <c r="G31" s="138"/>
      <c r="H31" s="138"/>
      <c r="I31" s="138"/>
      <c r="J31" s="138"/>
      <c r="K31" s="138"/>
      <c r="L31" s="804" t="s">
        <v>515</v>
      </c>
      <c r="M31" s="804" t="s">
        <v>224</v>
      </c>
      <c r="N31" s="805">
        <v>132.30000000000001</v>
      </c>
      <c r="O31" s="806">
        <v>57.365420159999999</v>
      </c>
      <c r="P31" s="806">
        <v>0.58279712286348229</v>
      </c>
      <c r="Q31" s="806"/>
      <c r="S31" s="856" t="s">
        <v>552</v>
      </c>
      <c r="T31" s="856" t="s">
        <v>79</v>
      </c>
      <c r="U31" s="857">
        <v>0.58047248119688866</v>
      </c>
      <c r="V31" s="858">
        <v>0.53260400750411185</v>
      </c>
      <c r="W31" s="831"/>
      <c r="X31" s="856" t="s">
        <v>79</v>
      </c>
      <c r="Y31" s="857">
        <v>0.53260400750411185</v>
      </c>
    </row>
    <row r="32" spans="1:25">
      <c r="A32" s="136"/>
      <c r="B32" s="138"/>
      <c r="C32" s="138"/>
      <c r="D32" s="138"/>
      <c r="E32" s="138"/>
      <c r="F32" s="138"/>
      <c r="G32" s="138"/>
      <c r="H32" s="138"/>
      <c r="I32" s="138"/>
      <c r="J32" s="138"/>
      <c r="K32" s="138"/>
      <c r="L32" s="804" t="s">
        <v>77</v>
      </c>
      <c r="M32" s="804" t="s">
        <v>224</v>
      </c>
      <c r="N32" s="805">
        <v>97.15</v>
      </c>
      <c r="O32" s="806">
        <v>44.209399752500005</v>
      </c>
      <c r="P32" s="806">
        <v>0.61164422260914553</v>
      </c>
      <c r="Q32" s="806"/>
      <c r="T32" s="856" t="s">
        <v>77</v>
      </c>
      <c r="U32" s="857">
        <v>0.55925986658345617</v>
      </c>
      <c r="V32" s="858">
        <v>0.54521277505042276</v>
      </c>
      <c r="W32" s="831"/>
      <c r="X32" s="856" t="s">
        <v>80</v>
      </c>
      <c r="Y32" s="857">
        <v>0.43988691334965641</v>
      </c>
    </row>
    <row r="33" spans="1:25">
      <c r="A33" s="136"/>
      <c r="B33" s="138"/>
      <c r="C33" s="138"/>
      <c r="D33" s="138"/>
      <c r="E33" s="138"/>
      <c r="F33" s="138"/>
      <c r="G33" s="138"/>
      <c r="H33" s="138"/>
      <c r="I33" s="138"/>
      <c r="J33" s="138"/>
      <c r="K33" s="138"/>
      <c r="L33" s="804" t="s">
        <v>78</v>
      </c>
      <c r="M33" s="804" t="s">
        <v>224</v>
      </c>
      <c r="N33" s="805">
        <v>83.15</v>
      </c>
      <c r="O33" s="806">
        <v>31.639017800000001</v>
      </c>
      <c r="P33" s="806">
        <v>0.51143188886518076</v>
      </c>
      <c r="Q33" s="806"/>
      <c r="T33" s="856" t="s">
        <v>515</v>
      </c>
      <c r="U33" s="857">
        <v>0.50630471276519251</v>
      </c>
      <c r="V33" s="858">
        <v>0.60836863533119623</v>
      </c>
      <c r="W33" s="831"/>
      <c r="X33" s="856" t="s">
        <v>78</v>
      </c>
      <c r="Y33" s="857">
        <v>0.38215264612163208</v>
      </c>
    </row>
    <row r="34" spans="1:25">
      <c r="B34" s="138"/>
      <c r="C34" s="138"/>
      <c r="D34" s="138"/>
      <c r="E34" s="138"/>
      <c r="F34" s="138"/>
      <c r="G34" s="138"/>
      <c r="H34" s="138"/>
      <c r="I34" s="138"/>
      <c r="J34" s="138"/>
      <c r="K34" s="138"/>
      <c r="L34" s="804" t="s">
        <v>79</v>
      </c>
      <c r="M34" s="804" t="s">
        <v>224</v>
      </c>
      <c r="N34" s="805">
        <v>32</v>
      </c>
      <c r="O34" s="806">
        <v>15.26119701</v>
      </c>
      <c r="P34" s="806">
        <v>0.64101129914314514</v>
      </c>
      <c r="Q34" s="806"/>
      <c r="T34" s="856" t="s">
        <v>80</v>
      </c>
      <c r="U34" s="857">
        <v>0.45328315114959244</v>
      </c>
      <c r="V34" s="858">
        <v>0.43988691334965641</v>
      </c>
      <c r="W34" s="831"/>
      <c r="X34" s="856" t="s">
        <v>82</v>
      </c>
      <c r="Y34" s="857">
        <v>0.33041765537195034</v>
      </c>
    </row>
    <row r="35" spans="1:25">
      <c r="A35" s="136"/>
      <c r="B35" s="138"/>
      <c r="C35" s="138"/>
      <c r="D35" s="138"/>
      <c r="E35" s="138"/>
      <c r="F35" s="138"/>
      <c r="G35" s="138"/>
      <c r="H35" s="138"/>
      <c r="I35" s="138"/>
      <c r="J35" s="138"/>
      <c r="K35" s="138"/>
      <c r="L35" s="804" t="s">
        <v>80</v>
      </c>
      <c r="M35" s="804" t="s">
        <v>224</v>
      </c>
      <c r="N35" s="805">
        <v>30.86</v>
      </c>
      <c r="O35" s="806">
        <v>13.5659147975</v>
      </c>
      <c r="P35" s="806">
        <v>0.5908540650762375</v>
      </c>
      <c r="Q35" s="806"/>
      <c r="T35" s="856" t="s">
        <v>78</v>
      </c>
      <c r="U35" s="857">
        <v>0.43507429522169161</v>
      </c>
      <c r="V35" s="858">
        <v>0.38215264612163208</v>
      </c>
      <c r="W35" s="831"/>
      <c r="X35" s="856" t="s">
        <v>516</v>
      </c>
      <c r="Y35" s="857">
        <v>0.28797747650705646</v>
      </c>
    </row>
    <row r="36" spans="1:25">
      <c r="A36" s="136"/>
      <c r="B36" s="138"/>
      <c r="C36" s="138"/>
      <c r="D36" s="138"/>
      <c r="E36" s="138"/>
      <c r="F36" s="138"/>
      <c r="G36" s="138"/>
      <c r="H36" s="138"/>
      <c r="I36" s="138"/>
      <c r="J36" s="138"/>
      <c r="K36" s="138"/>
      <c r="L36" s="804" t="s">
        <v>516</v>
      </c>
      <c r="M36" s="804" t="s">
        <v>81</v>
      </c>
      <c r="N36" s="805">
        <v>144.47999999999999</v>
      </c>
      <c r="O36" s="806">
        <v>44.026813802500001</v>
      </c>
      <c r="P36" s="806">
        <v>0.4095779692923604</v>
      </c>
      <c r="Q36" s="806"/>
      <c r="S36" s="856" t="s">
        <v>537</v>
      </c>
      <c r="T36" s="856" t="s">
        <v>82</v>
      </c>
      <c r="U36" s="857">
        <v>0.32639194372344421</v>
      </c>
      <c r="V36" s="858">
        <v>0.33041765537195034</v>
      </c>
      <c r="W36" s="831"/>
      <c r="X36" s="856" t="s">
        <v>243</v>
      </c>
      <c r="Y36" s="857">
        <v>0.28720138065378292</v>
      </c>
    </row>
    <row r="37" spans="1:25">
      <c r="A37" s="136"/>
      <c r="B37" s="138"/>
      <c r="C37" s="138"/>
      <c r="D37" s="138"/>
      <c r="E37" s="138"/>
      <c r="F37" s="138"/>
      <c r="G37" s="138"/>
      <c r="H37" s="138"/>
      <c r="I37" s="138"/>
      <c r="J37" s="138"/>
      <c r="K37" s="138"/>
      <c r="L37" s="804" t="s">
        <v>517</v>
      </c>
      <c r="M37" s="804" t="s">
        <v>81</v>
      </c>
      <c r="N37" s="805">
        <v>44.54</v>
      </c>
      <c r="O37" s="806">
        <v>10.98026924</v>
      </c>
      <c r="P37" s="806">
        <v>0.33135218675010014</v>
      </c>
      <c r="Q37" s="806"/>
      <c r="T37" s="856" t="s">
        <v>516</v>
      </c>
      <c r="U37" s="857">
        <v>0.31882706975858138</v>
      </c>
      <c r="V37" s="858">
        <v>0.28797747650705646</v>
      </c>
      <c r="W37" s="831"/>
      <c r="X37" s="856" t="s">
        <v>242</v>
      </c>
      <c r="Y37" s="857">
        <v>0.26609428714364036</v>
      </c>
    </row>
    <row r="38" spans="1:25" ht="11.25" customHeight="1">
      <c r="A38" s="136"/>
      <c r="B38" s="138"/>
      <c r="C38" s="138"/>
      <c r="D38" s="138"/>
      <c r="E38" s="138"/>
      <c r="F38" s="138"/>
      <c r="G38" s="138"/>
      <c r="H38" s="138"/>
      <c r="I38" s="138"/>
      <c r="J38" s="138"/>
      <c r="K38" s="138"/>
      <c r="L38" s="808" t="s">
        <v>243</v>
      </c>
      <c r="M38" s="809" t="s">
        <v>81</v>
      </c>
      <c r="N38" s="805">
        <v>20</v>
      </c>
      <c r="O38" s="806">
        <v>5.0934307200000006</v>
      </c>
      <c r="P38" s="806">
        <v>0.34230045161290323</v>
      </c>
      <c r="Q38" s="808"/>
      <c r="T38" s="856" t="s">
        <v>243</v>
      </c>
      <c r="U38" s="857">
        <v>0.28309870516378843</v>
      </c>
      <c r="V38" s="858">
        <v>0.28720138065378292</v>
      </c>
      <c r="W38" s="831"/>
      <c r="X38" s="856" t="s">
        <v>517</v>
      </c>
      <c r="Y38" s="857">
        <v>0.2568725257194126</v>
      </c>
    </row>
    <row r="39" spans="1:25">
      <c r="A39" s="136"/>
      <c r="B39" s="138"/>
      <c r="C39" s="138"/>
      <c r="D39" s="138"/>
      <c r="E39" s="138"/>
      <c r="F39" s="138"/>
      <c r="G39" s="138"/>
      <c r="H39" s="138"/>
      <c r="I39" s="138"/>
      <c r="J39" s="138"/>
      <c r="K39" s="138"/>
      <c r="L39" s="799" t="s">
        <v>82</v>
      </c>
      <c r="M39" s="810" t="s">
        <v>81</v>
      </c>
      <c r="N39" s="805">
        <v>16</v>
      </c>
      <c r="O39" s="806">
        <v>4.6652179999999994</v>
      </c>
      <c r="P39" s="806">
        <v>0.39190339381720429</v>
      </c>
      <c r="T39" s="856" t="s">
        <v>242</v>
      </c>
      <c r="U39" s="857">
        <v>0.26080528387129931</v>
      </c>
      <c r="V39" s="858">
        <v>0.26609428714364036</v>
      </c>
      <c r="W39" s="831"/>
      <c r="X39" s="856" t="s">
        <v>244</v>
      </c>
      <c r="Y39" s="857">
        <v>0.2482084762369792</v>
      </c>
    </row>
    <row r="40" spans="1:25">
      <c r="A40" s="136"/>
      <c r="B40" s="138"/>
      <c r="C40" s="138"/>
      <c r="D40" s="138"/>
      <c r="E40" s="138"/>
      <c r="F40" s="138"/>
      <c r="G40" s="138"/>
      <c r="H40" s="138"/>
      <c r="I40" s="138"/>
      <c r="J40" s="138"/>
      <c r="K40" s="138"/>
      <c r="L40" s="799" t="s">
        <v>242</v>
      </c>
      <c r="M40" s="810" t="s">
        <v>81</v>
      </c>
      <c r="N40" s="805">
        <v>20</v>
      </c>
      <c r="O40" s="806">
        <v>4.4378233575000001</v>
      </c>
      <c r="P40" s="806">
        <v>0.29824081703629035</v>
      </c>
      <c r="T40" s="856" t="s">
        <v>517</v>
      </c>
      <c r="U40" s="857">
        <v>0.25753480639568999</v>
      </c>
      <c r="V40" s="858">
        <v>0.2568725257194126</v>
      </c>
      <c r="W40" s="831"/>
      <c r="X40" s="856" t="s">
        <v>83</v>
      </c>
      <c r="Y40" s="857">
        <v>0.22903059376713267</v>
      </c>
    </row>
    <row r="41" spans="1:25">
      <c r="A41" s="136"/>
      <c r="B41" s="138"/>
      <c r="C41" s="138"/>
      <c r="D41" s="138"/>
      <c r="E41" s="138"/>
      <c r="F41" s="138"/>
      <c r="G41" s="138"/>
      <c r="H41" s="138"/>
      <c r="I41" s="138"/>
      <c r="J41" s="138"/>
      <c r="K41" s="138"/>
      <c r="L41" s="799" t="s">
        <v>244</v>
      </c>
      <c r="M41" s="810" t="s">
        <v>81</v>
      </c>
      <c r="N41" s="805">
        <v>20</v>
      </c>
      <c r="O41" s="806">
        <v>3.9791125000000003</v>
      </c>
      <c r="P41" s="806">
        <v>0.26741347446236563</v>
      </c>
      <c r="T41" s="856" t="s">
        <v>244</v>
      </c>
      <c r="U41" s="857">
        <v>0.24868255595531796</v>
      </c>
      <c r="V41" s="858">
        <v>0.2482084762369792</v>
      </c>
      <c r="W41" s="831"/>
      <c r="X41" s="856" t="s">
        <v>85</v>
      </c>
      <c r="Y41" s="857">
        <v>0.8229553828555074</v>
      </c>
    </row>
    <row r="42" spans="1:25">
      <c r="A42" s="136"/>
      <c r="B42" s="138"/>
      <c r="C42" s="138"/>
      <c r="D42" s="138"/>
      <c r="E42" s="138"/>
      <c r="F42" s="138"/>
      <c r="G42" s="138"/>
      <c r="H42" s="138"/>
      <c r="I42" s="138"/>
      <c r="J42" s="138"/>
      <c r="K42" s="138"/>
      <c r="L42" s="799" t="s">
        <v>83</v>
      </c>
      <c r="M42" s="799" t="s">
        <v>81</v>
      </c>
      <c r="N42" s="805">
        <v>20</v>
      </c>
      <c r="O42" s="806">
        <v>3.8874629825000002</v>
      </c>
      <c r="P42" s="806">
        <v>0.26125423269489251</v>
      </c>
      <c r="T42" s="856" t="s">
        <v>83</v>
      </c>
      <c r="U42" s="857">
        <v>0.24356213481702299</v>
      </c>
      <c r="V42" s="858">
        <v>0.22903059376713267</v>
      </c>
      <c r="W42" s="831"/>
      <c r="X42" s="856" t="s">
        <v>84</v>
      </c>
      <c r="Y42" s="857">
        <v>0.80327685703305374</v>
      </c>
    </row>
    <row r="43" spans="1:25" ht="36" customHeight="1">
      <c r="A43" s="913" t="str">
        <f>"Gráfico N° 8: Producción de energía eléctrica (GWh) y factor de planta de las centrales con recursos energético renovables por tipo de generación en "&amp;'1. Resumen'!Q4&amp;" "&amp;'1. Resumen'!Q5&amp;".
Nota: Son consideradas las centrales con operación comercial"</f>
        <v>Gráfico N° 8: Producción de energía eléctrica (GWh) y factor de planta de las centrales con recursos energético renovables por tipo de generación en octubre 2019.
Nota: Son consideradas las centrales con operación comercial</v>
      </c>
      <c r="B43" s="913"/>
      <c r="C43" s="913"/>
      <c r="D43" s="913"/>
      <c r="E43" s="913"/>
      <c r="F43" s="913"/>
      <c r="G43" s="913"/>
      <c r="H43" s="913"/>
      <c r="I43" s="913"/>
      <c r="J43" s="913"/>
      <c r="K43" s="913"/>
      <c r="L43" s="799" t="s">
        <v>84</v>
      </c>
      <c r="M43" s="799" t="s">
        <v>463</v>
      </c>
      <c r="N43" s="805">
        <v>12.74105</v>
      </c>
      <c r="O43" s="806">
        <v>8.5392450775000004</v>
      </c>
      <c r="P43" s="806">
        <v>0.90082685044610489</v>
      </c>
      <c r="S43" s="856" t="s">
        <v>538</v>
      </c>
      <c r="T43" s="856" t="s">
        <v>85</v>
      </c>
      <c r="U43" s="857">
        <v>0.90856390276920274</v>
      </c>
      <c r="V43" s="858">
        <v>0.8229553828555074</v>
      </c>
      <c r="W43" s="831"/>
      <c r="X43" s="856" t="s">
        <v>86</v>
      </c>
      <c r="Y43" s="857">
        <v>0.47584996213862607</v>
      </c>
    </row>
    <row r="44" spans="1:25" ht="18" customHeight="1">
      <c r="A44" s="136"/>
      <c r="B44" s="138"/>
      <c r="C44" s="138"/>
      <c r="D44" s="138"/>
      <c r="E44" s="138"/>
      <c r="F44" s="138"/>
      <c r="G44" s="138"/>
      <c r="H44" s="138"/>
      <c r="I44" s="138"/>
      <c r="J44" s="138"/>
      <c r="K44" s="138"/>
      <c r="L44" s="799" t="s">
        <v>85</v>
      </c>
      <c r="M44" s="799" t="s">
        <v>463</v>
      </c>
      <c r="N44" s="805">
        <v>4.2625000000000002</v>
      </c>
      <c r="O44" s="806">
        <v>2.9997862500000001</v>
      </c>
      <c r="P44" s="806">
        <v>0.94591689527953837</v>
      </c>
      <c r="T44" s="856" t="s">
        <v>84</v>
      </c>
      <c r="U44" s="857">
        <v>0.85171654507460615</v>
      </c>
      <c r="V44" s="858">
        <v>0.80327685703305374</v>
      </c>
      <c r="W44" s="831"/>
      <c r="X44" s="856" t="s">
        <v>518</v>
      </c>
      <c r="Y44" s="857">
        <v>0.19177316509046055</v>
      </c>
    </row>
    <row r="45" spans="1:25" ht="12">
      <c r="A45" s="136"/>
      <c r="B45" s="138"/>
      <c r="C45" s="917" t="str">
        <f>"Factor de planta de las centrales RER  Acumulado al "&amp;'1. Resumen'!Q7&amp;" de "&amp;'1. Resumen'!Q4</f>
        <v>Factor de planta de las centrales RER  Acumulado al 31 de octubre</v>
      </c>
      <c r="D45" s="917"/>
      <c r="E45" s="917"/>
      <c r="F45" s="917"/>
      <c r="G45" s="917"/>
      <c r="H45" s="917"/>
      <c r="I45" s="917"/>
      <c r="J45" s="138"/>
      <c r="K45" s="138"/>
      <c r="L45" s="799" t="s">
        <v>86</v>
      </c>
      <c r="M45" s="799" t="s">
        <v>463</v>
      </c>
      <c r="N45" s="805">
        <v>2.9537</v>
      </c>
      <c r="O45" s="806">
        <v>2.0256033499999999</v>
      </c>
      <c r="P45" s="806">
        <v>0.92175412122065958</v>
      </c>
      <c r="T45" s="856" t="s">
        <v>86</v>
      </c>
      <c r="U45" s="857">
        <v>0.69686170406475001</v>
      </c>
      <c r="V45" s="858">
        <v>0.47584996213862607</v>
      </c>
      <c r="W45" s="831"/>
    </row>
    <row r="46" spans="1:25" ht="9.75" customHeight="1">
      <c r="A46" s="136"/>
      <c r="B46" s="138"/>
      <c r="C46" s="138"/>
      <c r="D46" s="138"/>
      <c r="E46" s="138"/>
      <c r="F46" s="138"/>
      <c r="G46" s="138"/>
      <c r="H46" s="138"/>
      <c r="I46" s="138"/>
      <c r="J46" s="138"/>
      <c r="K46" s="138"/>
      <c r="L46" s="799" t="s">
        <v>518</v>
      </c>
      <c r="M46" s="799" t="s">
        <v>463</v>
      </c>
      <c r="N46" s="805">
        <v>2.4</v>
      </c>
      <c r="O46" s="806">
        <v>1.061873675</v>
      </c>
      <c r="P46" s="806">
        <v>0.59468731798835128</v>
      </c>
      <c r="T46" s="856" t="s">
        <v>518</v>
      </c>
      <c r="U46" s="857">
        <v>0.68783994968704343</v>
      </c>
      <c r="V46" s="858">
        <v>0.19177316509046055</v>
      </c>
      <c r="W46" s="831"/>
    </row>
    <row r="47" spans="1:25" ht="9.75" customHeight="1">
      <c r="A47" s="136"/>
      <c r="B47" s="138"/>
      <c r="C47" s="138"/>
      <c r="D47" s="138"/>
      <c r="E47" s="138"/>
      <c r="F47" s="138"/>
      <c r="G47" s="138"/>
      <c r="H47" s="138"/>
      <c r="I47" s="138"/>
      <c r="J47" s="138"/>
      <c r="K47" s="138"/>
      <c r="N47" s="805"/>
      <c r="O47" s="806"/>
      <c r="P47" s="806"/>
    </row>
    <row r="48" spans="1:25" ht="9.75" customHeight="1">
      <c r="A48" s="136"/>
      <c r="B48" s="138"/>
      <c r="C48" s="138"/>
      <c r="D48" s="138"/>
      <c r="E48" s="138"/>
      <c r="F48" s="138"/>
      <c r="G48" s="138"/>
      <c r="H48" s="138"/>
      <c r="I48" s="138"/>
      <c r="J48" s="138"/>
      <c r="K48" s="138"/>
    </row>
    <row r="49" spans="1:11" ht="9.75" customHeight="1">
      <c r="A49" s="136"/>
      <c r="B49" s="138"/>
      <c r="C49" s="138"/>
      <c r="D49" s="138"/>
      <c r="E49" s="138"/>
      <c r="F49" s="138"/>
      <c r="G49" s="138"/>
      <c r="H49" s="138"/>
      <c r="I49" s="138"/>
      <c r="J49" s="138"/>
      <c r="K49" s="138"/>
    </row>
    <row r="50" spans="1:11" ht="9.75" customHeight="1">
      <c r="A50" s="136"/>
      <c r="B50" s="138"/>
      <c r="C50" s="138"/>
      <c r="D50" s="138"/>
      <c r="E50" s="138"/>
      <c r="F50" s="138"/>
      <c r="G50" s="138"/>
      <c r="H50" s="138"/>
      <c r="I50" s="138"/>
      <c r="J50" s="138"/>
      <c r="K50" s="138"/>
    </row>
    <row r="51" spans="1:11" ht="9.75" customHeight="1">
      <c r="A51" s="136"/>
      <c r="B51" s="138"/>
      <c r="C51" s="138"/>
      <c r="D51" s="138"/>
      <c r="E51" s="138"/>
      <c r="F51" s="138"/>
      <c r="G51" s="138"/>
      <c r="H51" s="138"/>
      <c r="I51" s="138"/>
      <c r="J51" s="138"/>
      <c r="K51" s="138"/>
    </row>
    <row r="52" spans="1:11" ht="9.75" customHeight="1">
      <c r="A52" s="136"/>
      <c r="B52" s="138"/>
      <c r="C52" s="138"/>
      <c r="D52" s="138"/>
      <c r="E52" s="138"/>
      <c r="F52" s="138"/>
      <c r="G52" s="138"/>
      <c r="H52" s="138"/>
      <c r="I52" s="138"/>
      <c r="J52" s="138"/>
      <c r="K52" s="138"/>
    </row>
    <row r="53" spans="1:11" ht="9.75" customHeight="1">
      <c r="B53" s="138"/>
      <c r="C53" s="138"/>
      <c r="D53" s="138"/>
      <c r="E53" s="138"/>
      <c r="F53" s="138"/>
      <c r="G53" s="138"/>
      <c r="H53" s="138"/>
      <c r="I53" s="138"/>
      <c r="J53" s="138"/>
      <c r="K53" s="138"/>
    </row>
    <row r="54" spans="1:11" ht="9.75" customHeight="1"/>
    <row r="55" spans="1:11" ht="9.75" customHeight="1"/>
    <row r="56" spans="1:11" ht="9.75" customHeight="1"/>
    <row r="57" spans="1:11" ht="9.75" customHeight="1"/>
    <row r="58" spans="1:11" ht="9.75" customHeight="1"/>
    <row r="59" spans="1:11" ht="9.75" customHeight="1"/>
    <row r="60" spans="1:11" ht="9.75" customHeight="1"/>
    <row r="61" spans="1:11" ht="9.75" customHeight="1"/>
    <row r="62" spans="1:11" ht="9.75" customHeight="1"/>
    <row r="64" spans="1:11" ht="26.25" customHeight="1">
      <c r="A64" s="913" t="str">
        <f>"Gráfico N° 9: factor de planta de las centrales con recursos energético renovables en el SEIN en "&amp;'1. Resumen'!Q4&amp;".
Nota: Son consideradas las centrales con operación comercial"</f>
        <v>Gráfico N° 9: factor de planta de las centrales con recursos energético renovables en el SEIN en octubre.
Nota: Son consideradas las centrales con operación comercial</v>
      </c>
      <c r="B64" s="913"/>
      <c r="C64" s="913"/>
      <c r="D64" s="913"/>
      <c r="E64" s="913"/>
      <c r="F64" s="913"/>
      <c r="G64" s="913"/>
      <c r="H64" s="913"/>
      <c r="I64" s="913"/>
      <c r="J64" s="913"/>
      <c r="K64" s="913"/>
    </row>
  </sheetData>
  <mergeCells count="4">
    <mergeCell ref="A43:K43"/>
    <mergeCell ref="A2:K2"/>
    <mergeCell ref="C45:I45"/>
    <mergeCell ref="A64:K64"/>
  </mergeCells>
  <pageMargins left="0.70866141732283472" right="0.59055118110236227" top="1.0236220472440944" bottom="0.62992125984251968" header="0.31496062992125984" footer="0.31496062992125984"/>
  <pageSetup paperSize="9" scale="95" orientation="portrait" r:id="rId1"/>
  <headerFooter>
    <oddHeader>&amp;R&amp;7Informe de la Operación Mensual-Octubre 2019
INFSGI-MES-10-2019
18/10/2019
Versión: 01</oddHeader>
    <oddFooter>&amp;L&amp;7COES, 2019&amp;C6&amp;R&amp;7Dirección Ejecutiva
Sub Dirección de Gestión de Información</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tabColor theme="4"/>
  </sheetPr>
  <dimension ref="A1:N73"/>
  <sheetViews>
    <sheetView showGridLines="0" view="pageBreakPreview" topLeftCell="A34" zoomScale="115" zoomScaleNormal="100" zoomScaleSheetLayoutView="115" zoomScalePageLayoutView="85" workbookViewId="0">
      <selection activeCell="M12" sqref="M12"/>
    </sheetView>
  </sheetViews>
  <sheetFormatPr defaultColWidth="9.33203125" defaultRowHeight="11.25"/>
  <cols>
    <col min="1" max="1" width="30.1640625" customWidth="1"/>
    <col min="2" max="3" width="9.5" bestFit="1" customWidth="1"/>
    <col min="4" max="4" width="10.1640625" bestFit="1" customWidth="1"/>
    <col min="10" max="10" width="9.33203125" customWidth="1"/>
    <col min="11" max="11" width="22.83203125" customWidth="1"/>
    <col min="12" max="12" width="19.1640625" customWidth="1"/>
    <col min="13" max="14" width="9.5" bestFit="1" customWidth="1"/>
  </cols>
  <sheetData>
    <row r="1" spans="1:14" ht="11.25" customHeight="1"/>
    <row r="2" spans="1:14" ht="11.25" customHeight="1">
      <c r="A2" s="914" t="s">
        <v>246</v>
      </c>
      <c r="B2" s="914"/>
      <c r="C2" s="914"/>
      <c r="D2" s="914"/>
      <c r="E2" s="914"/>
      <c r="F2" s="914"/>
      <c r="G2" s="914"/>
      <c r="H2" s="914"/>
      <c r="I2" s="914"/>
      <c r="J2" s="17"/>
    </row>
    <row r="3" spans="1:14" ht="6" customHeight="1">
      <c r="A3" s="17"/>
      <c r="B3" s="17"/>
      <c r="C3" s="17"/>
      <c r="D3" s="17"/>
      <c r="E3" s="17"/>
      <c r="F3" s="17"/>
      <c r="G3" s="17"/>
      <c r="H3" s="17"/>
      <c r="I3" s="17"/>
      <c r="J3" s="17"/>
      <c r="K3" s="351"/>
      <c r="L3" s="351"/>
    </row>
    <row r="4" spans="1:14" ht="11.25" customHeight="1">
      <c r="A4" s="920" t="s">
        <v>256</v>
      </c>
      <c r="B4" s="921" t="str">
        <f>+'1. Resumen'!Q4</f>
        <v>octubre</v>
      </c>
      <c r="C4" s="922"/>
      <c r="D4" s="922"/>
      <c r="E4" s="138"/>
      <c r="F4" s="138"/>
      <c r="G4" s="923" t="s">
        <v>502</v>
      </c>
      <c r="H4" s="923"/>
      <c r="I4" s="923"/>
      <c r="J4" s="138"/>
      <c r="L4" s="352"/>
      <c r="M4" s="353">
        <v>2019</v>
      </c>
      <c r="N4" s="353">
        <v>2018</v>
      </c>
    </row>
    <row r="5" spans="1:14" ht="11.25" customHeight="1">
      <c r="A5" s="920"/>
      <c r="B5" s="522">
        <f>+'1. Resumen'!Q5</f>
        <v>2019</v>
      </c>
      <c r="C5" s="523">
        <f>+B5-1</f>
        <v>2018</v>
      </c>
      <c r="D5" s="523" t="s">
        <v>35</v>
      </c>
      <c r="E5" s="138"/>
      <c r="F5" s="138"/>
      <c r="G5" s="138"/>
      <c r="H5" s="138"/>
      <c r="I5" s="138"/>
      <c r="J5" s="138"/>
      <c r="K5" s="354"/>
      <c r="L5" s="358" t="s">
        <v>122</v>
      </c>
      <c r="M5" s="356">
        <v>0</v>
      </c>
      <c r="N5" s="356">
        <v>0</v>
      </c>
    </row>
    <row r="6" spans="1:14" ht="10.5" customHeight="1">
      <c r="A6" s="415" t="s">
        <v>478</v>
      </c>
      <c r="B6" s="432">
        <v>778.58826709750008</v>
      </c>
      <c r="C6" s="433">
        <v>582.23254020499996</v>
      </c>
      <c r="D6" s="416">
        <f>IF(C6=0,"",B6/C6-1)</f>
        <v>0.33724622609269606</v>
      </c>
      <c r="E6" s="138"/>
      <c r="F6" s="138"/>
      <c r="G6" s="138"/>
      <c r="H6" s="138"/>
      <c r="I6" s="138"/>
      <c r="J6" s="138"/>
      <c r="K6" s="357"/>
      <c r="L6" s="358" t="s">
        <v>595</v>
      </c>
      <c r="M6" s="356">
        <v>0.2409587225</v>
      </c>
      <c r="N6" s="356">
        <v>0.15833426499999997</v>
      </c>
    </row>
    <row r="7" spans="1:14" ht="10.5" customHeight="1">
      <c r="A7" s="417" t="s">
        <v>88</v>
      </c>
      <c r="B7" s="434">
        <v>669.62592800750008</v>
      </c>
      <c r="C7" s="434">
        <v>544.46834497000009</v>
      </c>
      <c r="D7" s="418">
        <f t="shared" ref="D7:D62" si="0">IF(C7=0,"",B7/C7-1)</f>
        <v>0.22987118386909366</v>
      </c>
      <c r="E7" s="428"/>
      <c r="F7" s="138"/>
      <c r="G7" s="138"/>
      <c r="H7" s="138"/>
      <c r="I7" s="138"/>
      <c r="J7" s="138"/>
      <c r="L7" s="356" t="s">
        <v>255</v>
      </c>
      <c r="M7" s="356">
        <v>0.38157293249999996</v>
      </c>
      <c r="N7" s="356">
        <v>0</v>
      </c>
    </row>
    <row r="8" spans="1:14" ht="10.5" customHeight="1">
      <c r="A8" s="415" t="s">
        <v>89</v>
      </c>
      <c r="B8" s="433">
        <v>599.47107346249982</v>
      </c>
      <c r="C8" s="433">
        <v>515.00266392499987</v>
      </c>
      <c r="D8" s="416">
        <f t="shared" si="0"/>
        <v>0.16401548080108785</v>
      </c>
      <c r="E8" s="138"/>
      <c r="F8" s="138"/>
      <c r="G8" s="138"/>
      <c r="H8" s="138"/>
      <c r="I8" s="138"/>
      <c r="J8" s="138"/>
      <c r="L8" s="358" t="s">
        <v>481</v>
      </c>
      <c r="M8" s="356">
        <v>0.410327</v>
      </c>
      <c r="N8" s="356">
        <v>0.39752925</v>
      </c>
    </row>
    <row r="9" spans="1:14" ht="10.5" customHeight="1">
      <c r="A9" s="417" t="s">
        <v>90</v>
      </c>
      <c r="B9" s="434">
        <v>572.44090935000008</v>
      </c>
      <c r="C9" s="434">
        <v>628.97198311750003</v>
      </c>
      <c r="D9" s="418">
        <f t="shared" si="0"/>
        <v>-8.9878524457168374E-2</v>
      </c>
      <c r="E9" s="138"/>
      <c r="F9" s="138"/>
      <c r="G9" s="138"/>
      <c r="H9" s="138"/>
      <c r="I9" s="138"/>
      <c r="J9" s="138"/>
      <c r="L9" s="358" t="s">
        <v>120</v>
      </c>
      <c r="M9" s="356">
        <v>0.75443277499999994</v>
      </c>
      <c r="N9" s="356">
        <v>7.4071750000000007E-4</v>
      </c>
    </row>
    <row r="10" spans="1:14" ht="10.5" customHeight="1">
      <c r="A10" s="415" t="s">
        <v>250</v>
      </c>
      <c r="B10" s="433">
        <v>347.31674387500004</v>
      </c>
      <c r="C10" s="433">
        <v>397.157616625</v>
      </c>
      <c r="D10" s="416">
        <f t="shared" si="0"/>
        <v>-0.1254939365724419</v>
      </c>
      <c r="E10" s="138"/>
      <c r="F10" s="138"/>
      <c r="G10" s="138"/>
      <c r="H10" s="138"/>
      <c r="I10" s="138"/>
      <c r="J10" s="138"/>
      <c r="K10" s="354"/>
      <c r="L10" s="356" t="s">
        <v>118</v>
      </c>
      <c r="M10" s="356">
        <v>0.90890776249999994</v>
      </c>
      <c r="N10" s="356">
        <v>1.4034282500000002</v>
      </c>
    </row>
    <row r="11" spans="1:14" ht="10.5" customHeight="1">
      <c r="A11" s="417" t="s">
        <v>91</v>
      </c>
      <c r="B11" s="434">
        <v>166.49714083750001</v>
      </c>
      <c r="C11" s="434">
        <v>187.43257640750002</v>
      </c>
      <c r="D11" s="418">
        <f t="shared" si="0"/>
        <v>-0.11169582135222833</v>
      </c>
      <c r="E11" s="138"/>
      <c r="F11" s="138"/>
      <c r="G11" s="138"/>
      <c r="H11" s="138"/>
      <c r="I11" s="138"/>
      <c r="J11" s="138"/>
      <c r="K11" s="357"/>
      <c r="L11" s="356" t="s">
        <v>119</v>
      </c>
      <c r="M11" s="356">
        <v>0.90991176250000005</v>
      </c>
      <c r="N11" s="356">
        <v>0.34828148500000006</v>
      </c>
    </row>
    <row r="12" spans="1:14" ht="10.5" customHeight="1">
      <c r="A12" s="415" t="s">
        <v>101</v>
      </c>
      <c r="B12" s="433">
        <v>121.10620091999999</v>
      </c>
      <c r="C12" s="433">
        <v>210.78325315999999</v>
      </c>
      <c r="D12" s="416">
        <f t="shared" si="0"/>
        <v>-0.42544676057318709</v>
      </c>
      <c r="E12" s="138"/>
      <c r="F12" s="138"/>
      <c r="G12" s="138"/>
      <c r="H12" s="138"/>
      <c r="I12" s="138"/>
      <c r="J12" s="138"/>
      <c r="K12" s="357"/>
      <c r="L12" s="356" t="s">
        <v>115</v>
      </c>
      <c r="M12" s="356">
        <v>1.2097734025000002</v>
      </c>
      <c r="N12" s="356">
        <v>1.2215764099999999</v>
      </c>
    </row>
    <row r="13" spans="1:14" ht="10.5" customHeight="1">
      <c r="A13" s="417" t="s">
        <v>252</v>
      </c>
      <c r="B13" s="434">
        <v>120.613389375</v>
      </c>
      <c r="C13" s="434">
        <v>124.66290317000002</v>
      </c>
      <c r="D13" s="419">
        <f t="shared" si="0"/>
        <v>-3.248371160968222E-2</v>
      </c>
      <c r="E13" s="138"/>
      <c r="F13" s="138"/>
      <c r="G13" s="138"/>
      <c r="H13" s="138"/>
      <c r="I13" s="138"/>
      <c r="J13" s="138"/>
      <c r="K13" s="357"/>
      <c r="L13" s="358" t="s">
        <v>247</v>
      </c>
      <c r="M13" s="356">
        <v>1.293120155</v>
      </c>
      <c r="N13" s="356">
        <v>0</v>
      </c>
    </row>
    <row r="14" spans="1:14" ht="10.5" customHeight="1">
      <c r="A14" s="415" t="s">
        <v>248</v>
      </c>
      <c r="B14" s="433">
        <v>113.63428374</v>
      </c>
      <c r="C14" s="433">
        <v>207.48678108999999</v>
      </c>
      <c r="D14" s="416">
        <f t="shared" si="0"/>
        <v>-0.45233000799839052</v>
      </c>
      <c r="E14" s="138"/>
      <c r="F14" s="138"/>
      <c r="G14" s="138"/>
      <c r="H14" s="138"/>
      <c r="I14" s="138"/>
      <c r="J14" s="138"/>
      <c r="K14" s="357"/>
      <c r="L14" s="358" t="s">
        <v>116</v>
      </c>
      <c r="M14" s="356">
        <v>1.703283125</v>
      </c>
      <c r="N14" s="356">
        <v>1.8358720900000001</v>
      </c>
    </row>
    <row r="15" spans="1:14" ht="10.5" customHeight="1">
      <c r="A15" s="417" t="s">
        <v>99</v>
      </c>
      <c r="B15" s="434">
        <v>101.3922339625</v>
      </c>
      <c r="C15" s="434">
        <v>98.1267117525</v>
      </c>
      <c r="D15" s="418">
        <f t="shared" si="0"/>
        <v>3.3278626702955894E-2</v>
      </c>
      <c r="E15" s="138"/>
      <c r="F15" s="138"/>
      <c r="G15" s="138"/>
      <c r="H15" s="138"/>
      <c r="I15" s="138"/>
      <c r="J15" s="138"/>
      <c r="K15" s="357"/>
      <c r="L15" s="356" t="s">
        <v>254</v>
      </c>
      <c r="M15" s="356">
        <v>1.7925342850000001</v>
      </c>
      <c r="N15" s="356">
        <v>2.0731304999999998E-2</v>
      </c>
    </row>
    <row r="16" spans="1:14" ht="10.5" customHeight="1">
      <c r="A16" s="415" t="s">
        <v>93</v>
      </c>
      <c r="B16" s="433">
        <v>88.806342247499998</v>
      </c>
      <c r="C16" s="433">
        <v>108.7631830725</v>
      </c>
      <c r="D16" s="416">
        <f t="shared" si="0"/>
        <v>-0.18348893680039735</v>
      </c>
      <c r="E16" s="138"/>
      <c r="F16" s="138"/>
      <c r="G16" s="138"/>
      <c r="H16" s="138"/>
      <c r="I16" s="138"/>
      <c r="J16" s="138" t="s">
        <v>8</v>
      </c>
      <c r="K16" s="357"/>
      <c r="L16" s="356" t="s">
        <v>117</v>
      </c>
      <c r="M16" s="356">
        <v>2.4540999999999999</v>
      </c>
      <c r="N16" s="356">
        <v>2.3235999999999999</v>
      </c>
    </row>
    <row r="17" spans="1:14" ht="10.5" customHeight="1">
      <c r="A17" s="417" t="s">
        <v>92</v>
      </c>
      <c r="B17" s="434">
        <v>78.907008152499984</v>
      </c>
      <c r="C17" s="434">
        <v>80.122486187500002</v>
      </c>
      <c r="D17" s="418">
        <f t="shared" si="0"/>
        <v>-1.5170248613548987E-2</v>
      </c>
      <c r="E17" s="138"/>
      <c r="F17" s="138"/>
      <c r="G17" s="138"/>
      <c r="H17" s="138"/>
      <c r="I17" s="138"/>
      <c r="J17" s="138"/>
      <c r="K17" s="357"/>
      <c r="L17" s="356" t="s">
        <v>494</v>
      </c>
      <c r="M17" s="356">
        <v>3.2163367274999999</v>
      </c>
      <c r="N17" s="356"/>
    </row>
    <row r="18" spans="1:14" ht="10.5" customHeight="1">
      <c r="A18" s="415" t="s">
        <v>94</v>
      </c>
      <c r="B18" s="433">
        <v>69.585147019999994</v>
      </c>
      <c r="C18" s="433">
        <v>107.82387637999999</v>
      </c>
      <c r="D18" s="416">
        <f t="shared" si="0"/>
        <v>-0.35464064772849158</v>
      </c>
      <c r="E18" s="138"/>
      <c r="F18" s="138"/>
      <c r="G18" s="138"/>
      <c r="H18" s="138"/>
      <c r="I18" s="138"/>
      <c r="J18" s="138"/>
      <c r="K18" s="360"/>
      <c r="L18" s="356" t="s">
        <v>113</v>
      </c>
      <c r="M18" s="356">
        <v>3.8874629825000002</v>
      </c>
      <c r="N18" s="356">
        <v>3.9441989975</v>
      </c>
    </row>
    <row r="19" spans="1:14" ht="10.5" customHeight="1">
      <c r="A19" s="417" t="s">
        <v>97</v>
      </c>
      <c r="B19" s="434">
        <v>64.667762552499994</v>
      </c>
      <c r="C19" s="434">
        <v>60.860229275000002</v>
      </c>
      <c r="D19" s="418">
        <f t="shared" si="0"/>
        <v>6.2561927926617855E-2</v>
      </c>
      <c r="E19" s="138"/>
      <c r="F19" s="138"/>
      <c r="G19" s="138"/>
      <c r="H19" s="138"/>
      <c r="I19" s="138"/>
      <c r="J19" s="138"/>
      <c r="K19" s="357"/>
      <c r="L19" s="358" t="s">
        <v>112</v>
      </c>
      <c r="M19" s="356">
        <v>3.9791125000000003</v>
      </c>
      <c r="N19" s="356">
        <v>4.0927147899999996</v>
      </c>
    </row>
    <row r="20" spans="1:14" ht="10.5" customHeight="1">
      <c r="A20" s="415" t="s">
        <v>96</v>
      </c>
      <c r="B20" s="433">
        <v>60.646513262500001</v>
      </c>
      <c r="C20" s="433">
        <v>59.925941157500006</v>
      </c>
      <c r="D20" s="416">
        <f t="shared" si="0"/>
        <v>1.2024376940633408E-2</v>
      </c>
      <c r="E20" s="138"/>
      <c r="F20" s="138"/>
      <c r="G20" s="138"/>
      <c r="H20" s="138"/>
      <c r="I20" s="138"/>
      <c r="J20" s="138"/>
      <c r="K20" s="357"/>
      <c r="L20" s="356" t="s">
        <v>110</v>
      </c>
      <c r="M20" s="356">
        <v>4.4378233575000001</v>
      </c>
      <c r="N20" s="356">
        <v>4.1696904450000005</v>
      </c>
    </row>
    <row r="21" spans="1:14" ht="10.5" customHeight="1">
      <c r="A21" s="417" t="s">
        <v>95</v>
      </c>
      <c r="B21" s="434">
        <v>59.264519217500002</v>
      </c>
      <c r="C21" s="434">
        <v>54.221362575000001</v>
      </c>
      <c r="D21" s="418">
        <f t="shared" si="0"/>
        <v>9.3010511042104671E-2</v>
      </c>
      <c r="E21" s="138"/>
      <c r="F21" s="138"/>
      <c r="G21" s="138"/>
      <c r="H21" s="138"/>
      <c r="I21" s="138"/>
      <c r="J21" s="138"/>
      <c r="K21" s="357"/>
      <c r="L21" s="358" t="s">
        <v>111</v>
      </c>
      <c r="M21" s="356">
        <v>4.6652179999999994</v>
      </c>
      <c r="N21" s="356">
        <v>4.5210780399999999</v>
      </c>
    </row>
    <row r="22" spans="1:14" ht="10.5" customHeight="1">
      <c r="A22" s="415" t="s">
        <v>106</v>
      </c>
      <c r="B22" s="433">
        <v>49.544273907499999</v>
      </c>
      <c r="C22" s="433">
        <v>14.149995952499999</v>
      </c>
      <c r="D22" s="416">
        <f t="shared" si="0"/>
        <v>2.501363115142559</v>
      </c>
      <c r="E22" s="138"/>
      <c r="F22" s="138"/>
      <c r="G22" s="138"/>
      <c r="H22" s="138"/>
      <c r="I22" s="138"/>
      <c r="J22" s="138"/>
      <c r="K22" s="360"/>
      <c r="L22" s="356" t="s">
        <v>105</v>
      </c>
      <c r="M22" s="356">
        <v>4.7817676999999996</v>
      </c>
      <c r="N22" s="356">
        <v>3.7095689250000001</v>
      </c>
    </row>
    <row r="23" spans="1:14" ht="10.5" customHeight="1">
      <c r="A23" s="417" t="s">
        <v>519</v>
      </c>
      <c r="B23" s="434">
        <v>46.583902307499997</v>
      </c>
      <c r="C23" s="434">
        <v>57.817511275000001</v>
      </c>
      <c r="D23" s="418">
        <f t="shared" si="0"/>
        <v>-0.19429423231430853</v>
      </c>
      <c r="E23" s="138"/>
      <c r="F23" s="138"/>
      <c r="G23" s="138"/>
      <c r="H23" s="138"/>
      <c r="I23" s="138"/>
      <c r="J23" s="138"/>
      <c r="K23" s="357"/>
      <c r="L23" s="358" t="s">
        <v>108</v>
      </c>
      <c r="M23" s="356">
        <v>5.0934307200000006</v>
      </c>
      <c r="N23" s="356">
        <v>4.9485728049999995</v>
      </c>
    </row>
    <row r="24" spans="1:14" ht="10.5" customHeight="1">
      <c r="A24" s="415" t="s">
        <v>98</v>
      </c>
      <c r="B24" s="433">
        <v>45.204932597500004</v>
      </c>
      <c r="C24" s="433">
        <v>38.743805764999998</v>
      </c>
      <c r="D24" s="416">
        <f t="shared" si="0"/>
        <v>0.16676541462369188</v>
      </c>
      <c r="E24" s="138"/>
      <c r="F24" s="138"/>
      <c r="G24" s="138"/>
      <c r="H24" s="138"/>
      <c r="I24" s="138"/>
      <c r="J24" s="138"/>
      <c r="K24" s="357"/>
      <c r="L24" s="358" t="s">
        <v>520</v>
      </c>
      <c r="M24" s="356">
        <v>5.2313902500000005</v>
      </c>
      <c r="N24" s="356"/>
    </row>
    <row r="25" spans="1:14" ht="10.5" customHeight="1">
      <c r="A25" s="417" t="s">
        <v>100</v>
      </c>
      <c r="B25" s="434">
        <v>44.209399752500005</v>
      </c>
      <c r="C25" s="434">
        <v>40.9515070725</v>
      </c>
      <c r="D25" s="418">
        <f t="shared" si="0"/>
        <v>7.9554890964874003E-2</v>
      </c>
      <c r="E25" s="138"/>
      <c r="F25" s="138"/>
      <c r="G25" s="138"/>
      <c r="H25" s="138"/>
      <c r="I25" s="138"/>
      <c r="J25" s="138"/>
      <c r="K25" s="357"/>
      <c r="L25" s="358" t="s">
        <v>479</v>
      </c>
      <c r="M25" s="356">
        <v>6.0872632749999998</v>
      </c>
      <c r="N25" s="356">
        <v>5.6186687375000002</v>
      </c>
    </row>
    <row r="26" spans="1:14" ht="10.5" customHeight="1">
      <c r="A26" s="415" t="s">
        <v>249</v>
      </c>
      <c r="B26" s="433">
        <v>36.550209789999997</v>
      </c>
      <c r="C26" s="433">
        <v>34.508522935000002</v>
      </c>
      <c r="D26" s="416">
        <f t="shared" si="0"/>
        <v>5.9164712985418255E-2</v>
      </c>
      <c r="E26" s="138"/>
      <c r="F26" s="138"/>
      <c r="G26" s="138"/>
      <c r="H26" s="138"/>
      <c r="I26" s="138"/>
      <c r="J26" s="138"/>
      <c r="K26" s="357"/>
      <c r="L26" s="356" t="s">
        <v>618</v>
      </c>
      <c r="M26" s="356">
        <v>6.3284610624999997</v>
      </c>
      <c r="N26" s="356"/>
    </row>
    <row r="27" spans="1:14" ht="10.5" customHeight="1">
      <c r="A27" s="417" t="s">
        <v>109</v>
      </c>
      <c r="B27" s="434">
        <v>22.286422627499999</v>
      </c>
      <c r="C27" s="434">
        <v>16.316552032499999</v>
      </c>
      <c r="D27" s="418">
        <f t="shared" si="0"/>
        <v>0.36587819430900348</v>
      </c>
      <c r="E27" s="138"/>
      <c r="F27" s="138"/>
      <c r="G27" s="138"/>
      <c r="H27" s="138"/>
      <c r="I27" s="138"/>
      <c r="J27" s="138"/>
      <c r="K27" s="357"/>
      <c r="L27" s="358" t="s">
        <v>559</v>
      </c>
      <c r="M27" s="356">
        <v>8.3398417474999995</v>
      </c>
      <c r="N27" s="356"/>
    </row>
    <row r="28" spans="1:14" ht="10.5" customHeight="1">
      <c r="A28" s="420" t="s">
        <v>751</v>
      </c>
      <c r="B28" s="433">
        <v>20.545914439999997</v>
      </c>
      <c r="C28" s="433">
        <v>37.101784379999998</v>
      </c>
      <c r="D28" s="416">
        <f t="shared" si="0"/>
        <v>-0.44622840158934696</v>
      </c>
      <c r="E28" s="138"/>
      <c r="F28" s="138"/>
      <c r="G28" s="138"/>
      <c r="H28" s="138"/>
      <c r="I28" s="138"/>
      <c r="J28" s="138"/>
      <c r="K28" s="357"/>
      <c r="L28" s="358" t="s">
        <v>107</v>
      </c>
      <c r="M28" s="356">
        <v>8.5392450775000004</v>
      </c>
      <c r="N28" s="356">
        <v>8.2844029750000008</v>
      </c>
    </row>
    <row r="29" spans="1:14" ht="10.5" customHeight="1">
      <c r="A29" s="421" t="s">
        <v>103</v>
      </c>
      <c r="B29" s="434">
        <v>19.022962199999998</v>
      </c>
      <c r="C29" s="434">
        <v>4.7543686950000001</v>
      </c>
      <c r="D29" s="418">
        <f t="shared" si="0"/>
        <v>3.0011541847828855</v>
      </c>
      <c r="E29" s="138"/>
      <c r="F29" s="138"/>
      <c r="G29" s="138"/>
      <c r="H29" s="138"/>
      <c r="I29" s="138"/>
      <c r="J29" s="138"/>
      <c r="K29" s="357"/>
      <c r="L29" s="358" t="s">
        <v>489</v>
      </c>
      <c r="M29" s="356">
        <v>8.9568569525000008</v>
      </c>
      <c r="N29" s="356">
        <v>0.38860980499999997</v>
      </c>
    </row>
    <row r="30" spans="1:14" ht="10.5" customHeight="1">
      <c r="A30" s="422" t="s">
        <v>114</v>
      </c>
      <c r="B30" s="433">
        <v>16.7957603975</v>
      </c>
      <c r="C30" s="433">
        <v>2.6621430650000004</v>
      </c>
      <c r="D30" s="416">
        <f t="shared" si="0"/>
        <v>5.3091126161921718</v>
      </c>
      <c r="E30" s="138"/>
      <c r="F30" s="138"/>
      <c r="G30" s="138"/>
      <c r="H30" s="138"/>
      <c r="I30" s="138"/>
      <c r="J30" s="138"/>
      <c r="K30" s="357"/>
      <c r="L30" s="356" t="s">
        <v>121</v>
      </c>
      <c r="M30" s="356">
        <v>9.2458196400000006</v>
      </c>
      <c r="N30" s="356">
        <v>4.3972217100000002</v>
      </c>
    </row>
    <row r="31" spans="1:14" ht="10.5" customHeight="1">
      <c r="A31" s="421" t="s">
        <v>253</v>
      </c>
      <c r="B31" s="434">
        <v>15.26119701</v>
      </c>
      <c r="C31" s="434">
        <v>13.949160585</v>
      </c>
      <c r="D31" s="418">
        <f t="shared" si="0"/>
        <v>9.4058450112824543E-2</v>
      </c>
      <c r="E31" s="138"/>
      <c r="F31" s="138"/>
      <c r="G31" s="138"/>
      <c r="H31" s="138"/>
      <c r="I31" s="138"/>
      <c r="J31" s="138"/>
      <c r="K31" s="357"/>
      <c r="L31" s="356" t="s">
        <v>102</v>
      </c>
      <c r="M31" s="356">
        <v>9.6892305249999993</v>
      </c>
      <c r="N31" s="356">
        <v>22.334061364999997</v>
      </c>
    </row>
    <row r="32" spans="1:14" ht="10.5" customHeight="1">
      <c r="A32" s="422" t="s">
        <v>462</v>
      </c>
      <c r="B32" s="433">
        <v>14.561900835000001</v>
      </c>
      <c r="C32" s="433">
        <v>13.25724941</v>
      </c>
      <c r="D32" s="416">
        <f t="shared" si="0"/>
        <v>9.841041566404396E-2</v>
      </c>
      <c r="E32" s="138"/>
      <c r="F32" s="138"/>
      <c r="G32" s="138"/>
      <c r="H32" s="138"/>
      <c r="I32" s="138"/>
      <c r="J32" s="138"/>
      <c r="K32" s="357"/>
      <c r="L32" s="356" t="s">
        <v>501</v>
      </c>
      <c r="M32" s="356">
        <v>9.7229389099999999</v>
      </c>
      <c r="N32" s="356">
        <v>13.167072175000001</v>
      </c>
    </row>
    <row r="33" spans="1:14">
      <c r="A33" s="789" t="s">
        <v>104</v>
      </c>
      <c r="B33" s="434">
        <v>12.9292788775</v>
      </c>
      <c r="C33" s="434">
        <v>13.050101999999999</v>
      </c>
      <c r="D33" s="418">
        <f t="shared" si="0"/>
        <v>-9.2584044553827294E-3</v>
      </c>
      <c r="E33" s="138"/>
      <c r="F33" s="138"/>
      <c r="G33" s="138"/>
      <c r="H33" s="138"/>
      <c r="I33" s="138"/>
      <c r="J33" s="138"/>
      <c r="K33" s="357"/>
      <c r="L33" s="358" t="s">
        <v>251</v>
      </c>
      <c r="M33" s="356">
        <v>12.249863585</v>
      </c>
      <c r="N33" s="356">
        <v>11.997897917500001</v>
      </c>
    </row>
    <row r="34" spans="1:14" ht="10.5" customHeight="1">
      <c r="A34" s="583" t="s">
        <v>251</v>
      </c>
      <c r="B34" s="433">
        <v>12.249863585</v>
      </c>
      <c r="C34" s="433">
        <v>11.997897917500001</v>
      </c>
      <c r="D34" s="416">
        <f t="shared" si="0"/>
        <v>2.1000817745955747E-2</v>
      </c>
      <c r="E34" s="138"/>
      <c r="F34" s="138"/>
      <c r="G34" s="138"/>
      <c r="H34" s="138"/>
      <c r="I34" s="138"/>
      <c r="J34" s="138"/>
      <c r="K34" s="361"/>
      <c r="L34" s="358" t="s">
        <v>104</v>
      </c>
      <c r="M34" s="356">
        <v>12.9292788775</v>
      </c>
      <c r="N34" s="356">
        <v>13.050101999999999</v>
      </c>
    </row>
    <row r="35" spans="1:14" ht="18">
      <c r="A35" s="789" t="s">
        <v>501</v>
      </c>
      <c r="B35" s="434">
        <v>9.7229389099999999</v>
      </c>
      <c r="C35" s="434">
        <v>13.167072175000001</v>
      </c>
      <c r="D35" s="418">
        <f t="shared" si="0"/>
        <v>-0.26157168573430423</v>
      </c>
      <c r="E35" s="138"/>
      <c r="F35" s="138"/>
      <c r="G35" s="138"/>
      <c r="H35" s="138"/>
      <c r="I35" s="138"/>
      <c r="J35" s="138"/>
      <c r="K35" s="361"/>
      <c r="L35" s="358" t="s">
        <v>462</v>
      </c>
      <c r="M35" s="356">
        <v>14.561900835000001</v>
      </c>
      <c r="N35" s="356">
        <v>13.25724941</v>
      </c>
    </row>
    <row r="36" spans="1:14" ht="11.25" customHeight="1">
      <c r="A36" s="583" t="s">
        <v>102</v>
      </c>
      <c r="B36" s="433">
        <v>9.6892305249999993</v>
      </c>
      <c r="C36" s="433">
        <v>22.334061364999997</v>
      </c>
      <c r="D36" s="416">
        <f t="shared" si="0"/>
        <v>-0.56616799933288797</v>
      </c>
      <c r="E36" s="138"/>
      <c r="F36" s="138"/>
      <c r="G36" s="138"/>
      <c r="H36" s="138"/>
      <c r="I36" s="138"/>
      <c r="J36" s="138"/>
      <c r="K36" s="360"/>
      <c r="L36" s="358" t="s">
        <v>253</v>
      </c>
      <c r="M36" s="356">
        <v>15.26119701</v>
      </c>
      <c r="N36" s="356">
        <v>13.949160585</v>
      </c>
    </row>
    <row r="37" spans="1:14" ht="10.5" customHeight="1">
      <c r="A37" s="421" t="s">
        <v>121</v>
      </c>
      <c r="B37" s="434">
        <v>9.2458196400000006</v>
      </c>
      <c r="C37" s="434">
        <v>4.3972217100000002</v>
      </c>
      <c r="D37" s="418">
        <f t="shared" si="0"/>
        <v>1.1026503209909788</v>
      </c>
      <c r="E37" s="138"/>
      <c r="F37" s="138"/>
      <c r="G37" s="138"/>
      <c r="H37" s="138"/>
      <c r="I37" s="138"/>
      <c r="J37" s="138"/>
      <c r="K37" s="360"/>
      <c r="L37" s="356" t="s">
        <v>114</v>
      </c>
      <c r="M37" s="356">
        <v>16.7957603975</v>
      </c>
      <c r="N37" s="356">
        <v>2.6621430650000004</v>
      </c>
    </row>
    <row r="38" spans="1:14" ht="10.5" customHeight="1">
      <c r="A38" s="583" t="s">
        <v>489</v>
      </c>
      <c r="B38" s="433">
        <v>8.9568569525000008</v>
      </c>
      <c r="C38" s="433">
        <v>0.38860980499999997</v>
      </c>
      <c r="D38" s="416">
        <f t="shared" si="0"/>
        <v>22.048458472374367</v>
      </c>
      <c r="E38" s="138"/>
      <c r="F38" s="138"/>
      <c r="G38" s="138"/>
      <c r="H38" s="138"/>
      <c r="I38" s="138"/>
      <c r="J38" s="138"/>
      <c r="K38" s="360"/>
      <c r="L38" s="358" t="s">
        <v>103</v>
      </c>
      <c r="M38" s="356">
        <v>19.022962199999998</v>
      </c>
      <c r="N38" s="356">
        <v>4.7543686950000001</v>
      </c>
    </row>
    <row r="39" spans="1:14" ht="18" customHeight="1">
      <c r="A39" s="789" t="s">
        <v>107</v>
      </c>
      <c r="B39" s="434">
        <v>8.5392450775000004</v>
      </c>
      <c r="C39" s="434">
        <v>8.2844029750000008</v>
      </c>
      <c r="D39" s="418">
        <f t="shared" si="0"/>
        <v>3.0761673867029549E-2</v>
      </c>
      <c r="E39" s="138"/>
      <c r="F39" s="138"/>
      <c r="G39" s="138"/>
      <c r="H39" s="138"/>
      <c r="I39" s="138"/>
      <c r="J39" s="138"/>
      <c r="K39" s="361"/>
      <c r="L39" s="356" t="s">
        <v>605</v>
      </c>
      <c r="M39" s="356">
        <v>20.545914439999997</v>
      </c>
      <c r="N39" s="356">
        <v>37.101784379999998</v>
      </c>
    </row>
    <row r="40" spans="1:14" ht="10.5" customHeight="1">
      <c r="A40" s="583" t="s">
        <v>559</v>
      </c>
      <c r="B40" s="433">
        <v>8.3398417474999995</v>
      </c>
      <c r="C40" s="433"/>
      <c r="D40" s="416" t="str">
        <f t="shared" si="0"/>
        <v/>
      </c>
      <c r="E40" s="138"/>
      <c r="F40" s="138"/>
      <c r="G40" s="138"/>
      <c r="H40" s="138"/>
      <c r="I40" s="138"/>
      <c r="J40" s="138"/>
      <c r="K40" s="361"/>
      <c r="L40" s="358" t="s">
        <v>109</v>
      </c>
      <c r="M40" s="356">
        <v>22.286422627499999</v>
      </c>
      <c r="N40" s="356">
        <v>16.316552032499999</v>
      </c>
    </row>
    <row r="41" spans="1:14" ht="10.5" customHeight="1">
      <c r="A41" s="421" t="s">
        <v>755</v>
      </c>
      <c r="B41" s="434">
        <v>6.3284610624999997</v>
      </c>
      <c r="C41" s="434"/>
      <c r="D41" s="418" t="str">
        <f t="shared" si="0"/>
        <v/>
      </c>
      <c r="E41" s="138"/>
      <c r="F41" s="138"/>
      <c r="G41" s="138"/>
      <c r="H41" s="138"/>
      <c r="I41" s="138"/>
      <c r="J41" s="138"/>
      <c r="K41" s="361"/>
      <c r="L41" s="356" t="s">
        <v>249</v>
      </c>
      <c r="M41" s="356">
        <v>36.550209789999997</v>
      </c>
      <c r="N41" s="356">
        <v>34.508522935000002</v>
      </c>
    </row>
    <row r="42" spans="1:14" ht="10.5" customHeight="1">
      <c r="A42" s="422" t="s">
        <v>479</v>
      </c>
      <c r="B42" s="433">
        <v>6.0872632749999998</v>
      </c>
      <c r="C42" s="433">
        <v>5.6186687375000002</v>
      </c>
      <c r="D42" s="416">
        <f t="shared" si="0"/>
        <v>8.3399566586390028E-2</v>
      </c>
      <c r="E42" s="138"/>
      <c r="F42" s="138"/>
      <c r="G42" s="138"/>
      <c r="H42" s="138"/>
      <c r="I42" s="138"/>
      <c r="J42" s="138"/>
      <c r="L42" s="358" t="s">
        <v>100</v>
      </c>
      <c r="M42" s="356">
        <v>44.209399752500005</v>
      </c>
      <c r="N42" s="356">
        <v>40.9515070725</v>
      </c>
    </row>
    <row r="43" spans="1:14" ht="10.5" customHeight="1">
      <c r="A43" s="421" t="s">
        <v>520</v>
      </c>
      <c r="B43" s="434">
        <v>5.2313902500000005</v>
      </c>
      <c r="C43" s="434"/>
      <c r="D43" s="418" t="str">
        <f t="shared" si="0"/>
        <v/>
      </c>
      <c r="E43" s="138"/>
      <c r="F43" s="138"/>
      <c r="G43" s="138"/>
      <c r="H43" s="138"/>
      <c r="I43" s="138"/>
      <c r="J43" s="138"/>
      <c r="L43" s="358" t="s">
        <v>98</v>
      </c>
      <c r="M43" s="356">
        <v>45.204932597500004</v>
      </c>
      <c r="N43" s="356">
        <v>38.743805764999998</v>
      </c>
    </row>
    <row r="44" spans="1:14" ht="10.5" customHeight="1">
      <c r="A44" s="422" t="s">
        <v>108</v>
      </c>
      <c r="B44" s="433">
        <v>5.0934307200000006</v>
      </c>
      <c r="C44" s="433">
        <v>4.9485728049999995</v>
      </c>
      <c r="D44" s="416">
        <f t="shared" si="0"/>
        <v>2.9272665212409787E-2</v>
      </c>
      <c r="E44" s="138"/>
      <c r="F44" s="138"/>
      <c r="G44" s="138"/>
      <c r="H44" s="138"/>
      <c r="I44" s="138"/>
      <c r="J44" s="138"/>
      <c r="L44" s="359" t="s">
        <v>519</v>
      </c>
      <c r="M44" s="356">
        <v>46.583902307499997</v>
      </c>
      <c r="N44" s="356">
        <v>57.817511275000001</v>
      </c>
    </row>
    <row r="45" spans="1:14" ht="10.5" customHeight="1">
      <c r="A45" s="421" t="s">
        <v>105</v>
      </c>
      <c r="B45" s="434">
        <v>4.7817676999999996</v>
      </c>
      <c r="C45" s="434">
        <v>3.7095689250000001</v>
      </c>
      <c r="D45" s="418">
        <f t="shared" si="0"/>
        <v>0.28903594910289998</v>
      </c>
      <c r="E45" s="138"/>
      <c r="F45" s="138"/>
      <c r="G45" s="138"/>
      <c r="H45" s="138"/>
      <c r="I45" s="138"/>
      <c r="J45" s="138"/>
      <c r="L45" s="358" t="s">
        <v>106</v>
      </c>
      <c r="M45" s="356">
        <v>49.544273907499999</v>
      </c>
      <c r="N45" s="356">
        <v>14.149995952499999</v>
      </c>
    </row>
    <row r="46" spans="1:14" ht="10.5" customHeight="1">
      <c r="A46" s="422" t="s">
        <v>111</v>
      </c>
      <c r="B46" s="433">
        <v>4.6652179999999994</v>
      </c>
      <c r="C46" s="433">
        <v>4.5210780399999999</v>
      </c>
      <c r="D46" s="416">
        <f t="shared" si="0"/>
        <v>3.1881767738740407E-2</v>
      </c>
      <c r="E46" s="138"/>
      <c r="F46" s="138"/>
      <c r="G46" s="138"/>
      <c r="H46" s="138"/>
      <c r="I46" s="138"/>
      <c r="J46" s="138"/>
      <c r="L46" s="358" t="s">
        <v>95</v>
      </c>
      <c r="M46" s="356">
        <v>59.264519217500002</v>
      </c>
      <c r="N46" s="356">
        <v>54.221362575000001</v>
      </c>
    </row>
    <row r="47" spans="1:14" ht="10.5" customHeight="1">
      <c r="A47" s="421" t="s">
        <v>110</v>
      </c>
      <c r="B47" s="434">
        <v>4.4378233575000001</v>
      </c>
      <c r="C47" s="434">
        <v>4.1696904450000005</v>
      </c>
      <c r="D47" s="418">
        <f t="shared" si="0"/>
        <v>6.4305232255676303E-2</v>
      </c>
      <c r="E47" s="138"/>
      <c r="F47" s="138"/>
      <c r="G47" s="138"/>
      <c r="H47" s="138"/>
      <c r="I47" s="138"/>
      <c r="J47" s="138"/>
      <c r="L47" s="358" t="s">
        <v>96</v>
      </c>
      <c r="M47" s="356">
        <v>60.646513262500001</v>
      </c>
      <c r="N47" s="356">
        <v>59.925941157500006</v>
      </c>
    </row>
    <row r="48" spans="1:14" ht="10.5" customHeight="1">
      <c r="A48" s="422" t="s">
        <v>112</v>
      </c>
      <c r="B48" s="433">
        <v>3.9791125000000003</v>
      </c>
      <c r="C48" s="433">
        <v>4.0927147899999996</v>
      </c>
      <c r="D48" s="416">
        <f t="shared" si="0"/>
        <v>-2.7757196831201481E-2</v>
      </c>
      <c r="E48" s="138"/>
      <c r="F48" s="138"/>
      <c r="G48" s="138"/>
      <c r="H48" s="138"/>
      <c r="I48" s="138"/>
      <c r="J48" s="138"/>
      <c r="L48" s="356" t="s">
        <v>97</v>
      </c>
      <c r="M48" s="356">
        <v>64.667762552499994</v>
      </c>
      <c r="N48" s="356">
        <v>60.860229275000002</v>
      </c>
    </row>
    <row r="49" spans="1:14" ht="10.5" customHeight="1">
      <c r="A49" s="421" t="s">
        <v>113</v>
      </c>
      <c r="B49" s="434">
        <v>3.8874629825000002</v>
      </c>
      <c r="C49" s="434">
        <v>3.9441989975</v>
      </c>
      <c r="D49" s="418">
        <f t="shared" si="0"/>
        <v>-1.4384673551197991E-2</v>
      </c>
      <c r="E49" s="138"/>
      <c r="F49" s="138"/>
      <c r="G49" s="138"/>
      <c r="H49" s="138"/>
      <c r="I49" s="138"/>
      <c r="J49" s="138"/>
      <c r="L49" s="355" t="s">
        <v>94</v>
      </c>
      <c r="M49" s="356">
        <v>69.585147019999994</v>
      </c>
      <c r="N49" s="356">
        <v>107.82387637999999</v>
      </c>
    </row>
    <row r="50" spans="1:14" ht="10.5" customHeight="1">
      <c r="A50" s="422" t="s">
        <v>494</v>
      </c>
      <c r="B50" s="433">
        <v>3.2163367274999999</v>
      </c>
      <c r="C50" s="433"/>
      <c r="D50" s="416" t="str">
        <f t="shared" si="0"/>
        <v/>
      </c>
      <c r="E50" s="138"/>
      <c r="F50" s="138"/>
      <c r="G50" s="138"/>
      <c r="H50" s="138"/>
      <c r="I50" s="138"/>
      <c r="J50" s="138"/>
      <c r="L50" s="358" t="s">
        <v>92</v>
      </c>
      <c r="M50" s="356">
        <v>78.907008152499984</v>
      </c>
      <c r="N50" s="356">
        <v>80.122486187500002</v>
      </c>
    </row>
    <row r="51" spans="1:14" ht="10.5" customHeight="1">
      <c r="A51" s="421" t="s">
        <v>117</v>
      </c>
      <c r="B51" s="434">
        <v>2.4540999999999999</v>
      </c>
      <c r="C51" s="434">
        <v>2.3235999999999999</v>
      </c>
      <c r="D51" s="418">
        <f t="shared" si="0"/>
        <v>5.6162850748838089E-2</v>
      </c>
      <c r="E51" s="138"/>
      <c r="F51" s="138"/>
      <c r="G51" s="138"/>
      <c r="H51" s="138"/>
      <c r="I51" s="138"/>
      <c r="J51" s="138"/>
      <c r="L51" s="358" t="s">
        <v>93</v>
      </c>
      <c r="M51" s="356">
        <v>88.806342247499998</v>
      </c>
      <c r="N51" s="356">
        <v>108.7631830725</v>
      </c>
    </row>
    <row r="52" spans="1:14" ht="10.5" customHeight="1">
      <c r="A52" s="422" t="s">
        <v>254</v>
      </c>
      <c r="B52" s="433">
        <v>1.7925342850000001</v>
      </c>
      <c r="C52" s="433">
        <v>2.0731304999999998E-2</v>
      </c>
      <c r="D52" s="416">
        <f t="shared" si="0"/>
        <v>85.465096384429259</v>
      </c>
      <c r="E52" s="138"/>
      <c r="F52" s="138"/>
      <c r="G52" s="138"/>
      <c r="H52" s="138"/>
      <c r="I52" s="138"/>
      <c r="J52" s="138"/>
      <c r="L52" s="358" t="s">
        <v>99</v>
      </c>
      <c r="M52" s="356">
        <v>101.3922339625</v>
      </c>
      <c r="N52" s="356">
        <v>98.1267117525</v>
      </c>
    </row>
    <row r="53" spans="1:14" ht="10.5" customHeight="1">
      <c r="A53" s="421" t="s">
        <v>116</v>
      </c>
      <c r="B53" s="434">
        <v>1.703283125</v>
      </c>
      <c r="C53" s="434">
        <v>1.8358720900000001</v>
      </c>
      <c r="D53" s="418">
        <f t="shared" si="0"/>
        <v>-7.2221243365598542E-2</v>
      </c>
      <c r="E53" s="138"/>
      <c r="F53" s="138"/>
      <c r="G53" s="138"/>
      <c r="H53" s="138"/>
      <c r="I53" s="138"/>
      <c r="J53" s="138"/>
      <c r="L53" s="358" t="s">
        <v>248</v>
      </c>
      <c r="M53" s="356">
        <v>113.63428374</v>
      </c>
      <c r="N53" s="356">
        <v>207.48678108999999</v>
      </c>
    </row>
    <row r="54" spans="1:14" ht="10.5" customHeight="1">
      <c r="A54" s="422" t="s">
        <v>247</v>
      </c>
      <c r="B54" s="433">
        <v>1.293120155</v>
      </c>
      <c r="C54" s="433">
        <v>0</v>
      </c>
      <c r="D54" s="416" t="str">
        <f t="shared" si="0"/>
        <v/>
      </c>
      <c r="E54" s="138"/>
      <c r="F54" s="138"/>
      <c r="G54" s="138"/>
      <c r="H54" s="138"/>
      <c r="I54" s="138"/>
      <c r="J54" s="138"/>
      <c r="L54" s="358" t="s">
        <v>252</v>
      </c>
      <c r="M54" s="356">
        <v>120.613389375</v>
      </c>
      <c r="N54" s="356">
        <v>124.66290317000002</v>
      </c>
    </row>
    <row r="55" spans="1:14" ht="10.5" customHeight="1">
      <c r="A55" s="421" t="s">
        <v>115</v>
      </c>
      <c r="B55" s="434">
        <v>1.2097734025000002</v>
      </c>
      <c r="C55" s="434">
        <v>1.2215764099999999</v>
      </c>
      <c r="D55" s="418">
        <f t="shared" si="0"/>
        <v>-9.6621115170353322E-3</v>
      </c>
      <c r="E55" s="138"/>
      <c r="F55" s="138"/>
      <c r="G55" s="138"/>
      <c r="H55" s="138"/>
      <c r="I55" s="138"/>
      <c r="J55" s="138"/>
      <c r="L55" s="358" t="s">
        <v>101</v>
      </c>
      <c r="M55" s="356">
        <v>121.10620091999999</v>
      </c>
      <c r="N55" s="356">
        <v>210.78325315999999</v>
      </c>
    </row>
    <row r="56" spans="1:14" ht="10.5" customHeight="1">
      <c r="A56" s="583" t="s">
        <v>119</v>
      </c>
      <c r="B56" s="433">
        <v>0.90991176250000005</v>
      </c>
      <c r="C56" s="433">
        <v>0.34828148500000006</v>
      </c>
      <c r="D56" s="416">
        <f t="shared" si="0"/>
        <v>1.6125757517658452</v>
      </c>
      <c r="E56" s="138"/>
      <c r="F56" s="138"/>
      <c r="G56" s="138"/>
      <c r="H56" s="138"/>
      <c r="I56" s="138"/>
      <c r="J56" s="138"/>
      <c r="L56" s="356" t="s">
        <v>91</v>
      </c>
      <c r="M56" s="356">
        <v>166.49714083750001</v>
      </c>
      <c r="N56" s="356">
        <v>187.43257640750002</v>
      </c>
    </row>
    <row r="57" spans="1:14" ht="10.5" customHeight="1">
      <c r="A57" s="421" t="s">
        <v>118</v>
      </c>
      <c r="B57" s="434">
        <v>0.90890776249999994</v>
      </c>
      <c r="C57" s="434">
        <v>1.4034282500000002</v>
      </c>
      <c r="D57" s="418">
        <f t="shared" si="0"/>
        <v>-0.35236606324548492</v>
      </c>
      <c r="E57" s="138"/>
      <c r="F57" s="138"/>
      <c r="G57" s="138"/>
      <c r="H57" s="138"/>
      <c r="I57" s="138"/>
      <c r="J57" s="138"/>
      <c r="L57" s="358" t="s">
        <v>250</v>
      </c>
      <c r="M57" s="356">
        <v>347.31674387500004</v>
      </c>
      <c r="N57" s="356">
        <v>397.157616625</v>
      </c>
    </row>
    <row r="58" spans="1:14" ht="10.5" customHeight="1">
      <c r="A58" s="422" t="s">
        <v>120</v>
      </c>
      <c r="B58" s="433">
        <v>0.75443277499999994</v>
      </c>
      <c r="C58" s="433">
        <v>7.4071750000000007E-4</v>
      </c>
      <c r="D58" s="416">
        <f t="shared" si="0"/>
        <v>1017.5162021958437</v>
      </c>
      <c r="E58" s="138"/>
      <c r="F58" s="138"/>
      <c r="G58" s="138"/>
      <c r="H58" s="138"/>
      <c r="I58" s="138"/>
      <c r="J58" s="138"/>
      <c r="L58" s="358" t="s">
        <v>90</v>
      </c>
      <c r="M58" s="356">
        <v>572.44090935000008</v>
      </c>
      <c r="N58" s="356">
        <v>628.97198311750003</v>
      </c>
    </row>
    <row r="59" spans="1:14" ht="10.5" customHeight="1">
      <c r="A59" s="421" t="s">
        <v>481</v>
      </c>
      <c r="B59" s="434">
        <v>0.410327</v>
      </c>
      <c r="C59" s="434">
        <v>0.39752925</v>
      </c>
      <c r="D59" s="418">
        <f t="shared" si="0"/>
        <v>3.219322854859108E-2</v>
      </c>
      <c r="E59" s="138"/>
      <c r="F59" s="138"/>
      <c r="G59" s="138"/>
      <c r="H59" s="138"/>
      <c r="I59" s="138"/>
      <c r="J59" s="138"/>
      <c r="L59" s="356" t="s">
        <v>89</v>
      </c>
      <c r="M59" s="356">
        <v>599.47107346249982</v>
      </c>
      <c r="N59" s="356">
        <v>515.00266392499987</v>
      </c>
    </row>
    <row r="60" spans="1:14" ht="10.5" customHeight="1">
      <c r="A60" s="422" t="s">
        <v>255</v>
      </c>
      <c r="B60" s="435">
        <v>0.38157293249999996</v>
      </c>
      <c r="C60" s="435">
        <v>0</v>
      </c>
      <c r="D60" s="423" t="str">
        <f t="shared" si="0"/>
        <v/>
      </c>
      <c r="E60" s="138"/>
      <c r="F60" s="138"/>
      <c r="G60" s="138"/>
      <c r="H60" s="138"/>
      <c r="I60" s="138"/>
      <c r="J60" s="138"/>
      <c r="L60" s="358" t="s">
        <v>88</v>
      </c>
      <c r="M60" s="356">
        <v>669.62592800750008</v>
      </c>
      <c r="N60" s="356">
        <v>544.46834497000009</v>
      </c>
    </row>
    <row r="61" spans="1:14" ht="10.5" customHeight="1">
      <c r="A61" s="424" t="s">
        <v>752</v>
      </c>
      <c r="B61" s="434">
        <v>0.2409587225</v>
      </c>
      <c r="C61" s="434">
        <v>0.15833426499999997</v>
      </c>
      <c r="D61" s="418">
        <f t="shared" si="0"/>
        <v>0.52183560835678899</v>
      </c>
      <c r="E61" s="138"/>
      <c r="F61" s="138"/>
      <c r="G61" s="138"/>
      <c r="H61" s="138"/>
      <c r="I61" s="138"/>
      <c r="J61" s="138"/>
      <c r="L61" s="358" t="s">
        <v>478</v>
      </c>
      <c r="M61" s="356">
        <v>778.58826709750008</v>
      </c>
      <c r="N61" s="356">
        <v>582.23254020499996</v>
      </c>
    </row>
    <row r="62" spans="1:14" s="819" customFormat="1" ht="10.5" customHeight="1">
      <c r="A62" s="422" t="s">
        <v>122</v>
      </c>
      <c r="B62" s="435">
        <v>0</v>
      </c>
      <c r="C62" s="435">
        <v>0</v>
      </c>
      <c r="D62" s="423" t="str">
        <f t="shared" si="0"/>
        <v/>
      </c>
      <c r="E62" s="138"/>
      <c r="F62" s="138"/>
      <c r="G62" s="138"/>
      <c r="H62" s="138"/>
      <c r="I62" s="138"/>
      <c r="J62" s="138"/>
      <c r="L62" s="358"/>
      <c r="M62" s="356"/>
      <c r="N62" s="356"/>
    </row>
    <row r="63" spans="1:14" ht="10.5" customHeight="1">
      <c r="A63" s="837" t="s">
        <v>43</v>
      </c>
      <c r="B63" s="838">
        <f>+SUM(B6:B62)</f>
        <v>4482.5706027574997</v>
      </c>
      <c r="C63" s="838">
        <f>+SUM(C6:C62)</f>
        <v>4354.5890086975014</v>
      </c>
      <c r="D63" s="389">
        <f>IF(C63=0,"",B63/C63-1)</f>
        <v>2.93900512320171E-2</v>
      </c>
      <c r="E63" s="138"/>
      <c r="F63" s="138"/>
      <c r="G63" s="138"/>
      <c r="H63" s="138"/>
      <c r="I63" s="138"/>
      <c r="J63" s="138"/>
      <c r="L63" s="358"/>
      <c r="M63" s="356"/>
      <c r="N63" s="356"/>
    </row>
    <row r="64" spans="1:14" ht="40.5" customHeight="1">
      <c r="A64" s="925" t="str">
        <f>"Cuadro N° 6: Participación de las empresas generadoras del COES en la producción de energía eléctrica (GWh) en "&amp;'1. Resumen'!Q4</f>
        <v>Cuadro N° 6: Participación de las empresas generadoras del COES en la producción de energía eléctrica (GWh) en octubre</v>
      </c>
      <c r="B64" s="925"/>
      <c r="C64" s="925"/>
      <c r="D64" s="578"/>
      <c r="E64" s="924" t="str">
        <f>"Gráfico N° 10: Comparación de producción energética (GWh) de las empresas generadoras del COES en "&amp;'1. Resumen'!Q4</f>
        <v>Gráfico N° 10: Comparación de producción energética (GWh) de las empresas generadoras del COES en octubre</v>
      </c>
      <c r="F64" s="924"/>
      <c r="G64" s="924"/>
      <c r="H64" s="924"/>
      <c r="I64" s="924"/>
      <c r="J64" s="924"/>
    </row>
    <row r="65" spans="1:10" ht="24" customHeight="1">
      <c r="A65" s="927" t="s">
        <v>591</v>
      </c>
      <c r="B65" s="927"/>
      <c r="C65" s="927"/>
      <c r="D65" s="927"/>
      <c r="E65" s="927"/>
      <c r="F65" s="927"/>
      <c r="G65" s="927"/>
      <c r="H65" s="927"/>
      <c r="I65" s="927"/>
      <c r="J65" s="927"/>
    </row>
    <row r="66" spans="1:10" ht="12.75" customHeight="1">
      <c r="A66" s="926" t="s">
        <v>589</v>
      </c>
      <c r="B66" s="926"/>
      <c r="C66" s="926"/>
      <c r="D66" s="926"/>
      <c r="E66" s="926"/>
      <c r="F66" s="926"/>
      <c r="G66" s="926"/>
      <c r="H66" s="926"/>
      <c r="I66" s="926"/>
      <c r="J66" s="926"/>
    </row>
    <row r="67" spans="1:10" s="819" customFormat="1" ht="12.75" customHeight="1">
      <c r="A67" s="864" t="s">
        <v>753</v>
      </c>
      <c r="B67" s="835"/>
      <c r="C67" s="835"/>
      <c r="D67" s="835"/>
      <c r="E67" s="835"/>
      <c r="F67" s="835"/>
      <c r="G67" s="835"/>
      <c r="H67" s="835"/>
      <c r="I67" s="835"/>
      <c r="J67" s="835"/>
    </row>
    <row r="68" spans="1:10" ht="12.75" customHeight="1">
      <c r="A68" s="835"/>
      <c r="B68" s="835"/>
      <c r="C68" s="835"/>
      <c r="D68" s="835"/>
      <c r="E68" s="835"/>
      <c r="F68" s="835"/>
      <c r="G68" s="835"/>
      <c r="H68" s="835"/>
      <c r="I68" s="835"/>
      <c r="J68" s="835"/>
    </row>
    <row r="69" spans="1:10">
      <c r="A69" s="926"/>
      <c r="B69" s="926"/>
      <c r="C69" s="926"/>
      <c r="D69" s="926"/>
      <c r="E69" s="926"/>
      <c r="F69" s="926"/>
      <c r="G69" s="926"/>
      <c r="H69" s="926"/>
      <c r="I69" s="926"/>
      <c r="J69" s="926"/>
    </row>
    <row r="70" spans="1:10">
      <c r="A70" s="918"/>
      <c r="B70" s="918"/>
      <c r="C70" s="918"/>
      <c r="D70" s="918"/>
      <c r="E70" s="918"/>
      <c r="F70" s="918"/>
      <c r="G70" s="918"/>
      <c r="H70" s="918"/>
      <c r="I70" s="918"/>
      <c r="J70" s="918"/>
    </row>
    <row r="71" spans="1:10">
      <c r="A71" s="919"/>
      <c r="B71" s="919"/>
      <c r="C71" s="919"/>
      <c r="D71" s="919"/>
      <c r="E71" s="919"/>
      <c r="F71" s="919"/>
      <c r="G71" s="919"/>
      <c r="H71" s="919"/>
      <c r="I71" s="919"/>
      <c r="J71" s="919"/>
    </row>
    <row r="72" spans="1:10">
      <c r="A72" s="918"/>
      <c r="B72" s="918"/>
      <c r="C72" s="918"/>
      <c r="D72" s="918"/>
      <c r="E72" s="918"/>
      <c r="F72" s="918"/>
      <c r="G72" s="918"/>
      <c r="H72" s="918"/>
      <c r="I72" s="918"/>
      <c r="J72" s="918"/>
    </row>
    <row r="73" spans="1:10">
      <c r="A73" s="919"/>
      <c r="B73" s="919"/>
      <c r="C73" s="919"/>
      <c r="D73" s="919"/>
      <c r="E73" s="919"/>
      <c r="F73" s="919"/>
      <c r="G73" s="919"/>
      <c r="H73" s="919"/>
      <c r="I73" s="919"/>
      <c r="J73" s="919"/>
    </row>
  </sheetData>
  <mergeCells count="13">
    <mergeCell ref="A70:J70"/>
    <mergeCell ref="A71:J71"/>
    <mergeCell ref="A72:J72"/>
    <mergeCell ref="A73:J73"/>
    <mergeCell ref="A2:I2"/>
    <mergeCell ref="A4:A5"/>
    <mergeCell ref="B4:D4"/>
    <mergeCell ref="G4:I4"/>
    <mergeCell ref="E64:J64"/>
    <mergeCell ref="A64:C64"/>
    <mergeCell ref="A69:J69"/>
    <mergeCell ref="A66:J66"/>
    <mergeCell ref="A65:J65"/>
  </mergeCells>
  <pageMargins left="0.70866141732283472" right="0.59055118110236227" top="1.0236220472440944" bottom="0.62992125984251968" header="0.31496062992125984" footer="0.31496062992125984"/>
  <pageSetup paperSize="9" scale="95" orientation="portrait" r:id="rId1"/>
  <headerFooter>
    <oddHeader>&amp;R&amp;7Informe de la Operación Mensual-Octubre 2019
INFSGI-MES-10-2019
18/10/2019
Versión: 01</oddHeader>
    <oddFooter>&amp;L&amp;7COES, 2019&amp;C7&amp;R&amp;7Dirección Ejecutiva
Sub Dirección de Gestión de Información</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30</vt:i4>
      </vt:variant>
      <vt:variant>
        <vt:lpstr>Named Ranges</vt:lpstr>
      </vt:variant>
      <vt:variant>
        <vt:i4>21</vt:i4>
      </vt:variant>
    </vt:vector>
  </HeadingPairs>
  <TitlesOfParts>
    <vt:vector size="51" baseType="lpstr">
      <vt:lpstr>Portada </vt:lpstr>
      <vt:lpstr>Índice</vt:lpstr>
      <vt:lpstr>1. Resumen</vt:lpstr>
      <vt:lpstr>2. Oferta de generación</vt:lpstr>
      <vt:lpstr>3. Tipo Generación</vt:lpstr>
      <vt:lpstr>4. Tipo Recurso</vt:lpstr>
      <vt:lpstr>5. RER</vt:lpstr>
      <vt:lpstr>6. FP RER</vt:lpstr>
      <vt:lpstr>7. Generacion empresa</vt:lpstr>
      <vt:lpstr>8. Max Potencia</vt:lpstr>
      <vt:lpstr>9. Pot. Empresa</vt:lpstr>
      <vt:lpstr>10. Volúmenes</vt:lpstr>
      <vt:lpstr>11. Volúmenes</vt:lpstr>
      <vt:lpstr>12.Caudales</vt:lpstr>
      <vt:lpstr>13.Caudales</vt:lpstr>
      <vt:lpstr>14. CMg</vt:lpstr>
      <vt:lpstr>15. Mapa CMg</vt:lpstr>
      <vt:lpstr>16. Congestiones</vt:lpstr>
      <vt:lpstr>17. Eventos</vt:lpstr>
      <vt:lpstr>18. ANEXOI-1</vt:lpstr>
      <vt:lpstr>19. ANEXOI-2</vt:lpstr>
      <vt:lpstr>20. ANEXOI-3</vt:lpstr>
      <vt:lpstr>21. ANEXOII-1</vt:lpstr>
      <vt:lpstr>22. ANEXOII-2</vt:lpstr>
      <vt:lpstr>23. ANEXOII-3</vt:lpstr>
      <vt:lpstr>24. ANEXOII-4</vt:lpstr>
      <vt:lpstr>25.ANEXO III -1</vt:lpstr>
      <vt:lpstr>26.ANEXO III -2</vt:lpstr>
      <vt:lpstr>27.ANEXO III - 3</vt:lpstr>
      <vt:lpstr>Contraportada</vt:lpstr>
      <vt:lpstr>'1. Resumen'!Print_Area</vt:lpstr>
      <vt:lpstr>'10. Volúmenes'!Print_Area</vt:lpstr>
      <vt:lpstr>'11. Volúmenes'!Print_Area</vt:lpstr>
      <vt:lpstr>'12.Caudales'!Print_Area</vt:lpstr>
      <vt:lpstr>'13.Caudales'!Print_Area</vt:lpstr>
      <vt:lpstr>'14. CMg'!Print_Area</vt:lpstr>
      <vt:lpstr>'15. Mapa CMg'!Print_Area</vt:lpstr>
      <vt:lpstr>'2. Oferta de generación'!Print_Area</vt:lpstr>
      <vt:lpstr>'20. ANEXOI-3'!Print_Area</vt:lpstr>
      <vt:lpstr>'21. ANEXOII-1'!Print_Area</vt:lpstr>
      <vt:lpstr>'23. ANEXOII-3'!Print_Area</vt:lpstr>
      <vt:lpstr>'25.ANEXO III -1'!Print_Area</vt:lpstr>
      <vt:lpstr>'26.ANEXO III -2'!Print_Area</vt:lpstr>
      <vt:lpstr>'27.ANEXO III - 3'!Print_Area</vt:lpstr>
      <vt:lpstr>'5. RER'!Print_Area</vt:lpstr>
      <vt:lpstr>'6. FP RER'!Print_Area</vt:lpstr>
      <vt:lpstr>'7. Generacion empresa'!Print_Area</vt:lpstr>
      <vt:lpstr>'8. Max Potencia'!Print_Area</vt:lpstr>
      <vt:lpstr>'9. Pot. Empresa'!Print_Area</vt:lpstr>
      <vt:lpstr>Índice!Print_Area</vt:lpstr>
      <vt:lpstr>'Portada '!Print_Area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Ricardo Varas Barrios</dc:creator>
  <cp:lastModifiedBy>Edgar Egusquiza</cp:lastModifiedBy>
  <cp:lastPrinted>2019-11-18T21:39:23Z</cp:lastPrinted>
  <dcterms:created xsi:type="dcterms:W3CDTF">2018-02-13T14:18:17Z</dcterms:created>
  <dcterms:modified xsi:type="dcterms:W3CDTF">2019-11-18T21:45:13Z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 id">
    <vt:lpwstr>d1255f35-ff42-4844-87ef-0f26ccf0211b</vt:lpwstr>
  </property>
  <property fmtid="{D5CDD505-2E9C-101B-9397-08002B2CF9AE}" pid="3" name="Workbook type">
    <vt:lpwstr>Custom</vt:lpwstr>
  </property>
  <property fmtid="{D5CDD505-2E9C-101B-9397-08002B2CF9AE}" pid="4" name="Workbook version">
    <vt:lpwstr>Custom</vt:lpwstr>
  </property>
</Properties>
</file>