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0\"/>
    </mc:Choice>
  </mc:AlternateContent>
  <xr:revisionPtr revIDLastSave="0" documentId="13_ncr:1_{55EE0CC3-C56B-4B20-BF82-AEE2356101AD}" xr6:coauthVersionLast="45" xr6:coauthVersionMax="45" xr10:uidLastSave="{00000000-0000-0000-0000-000000000000}"/>
  <bookViews>
    <workbookView xWindow="-120" yWindow="-120" windowWidth="29040" windowHeight="15840"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Contraportada" sheetId="59" r:id="rId29"/>
  </sheets>
  <definedNames>
    <definedName name="_xlnm._FilterDatabase" localSheetId="7" hidden="1">'6. FP RER'!$T$53:$V$54</definedName>
    <definedName name="_xlnm._FilterDatabase" localSheetId="8" hidden="1">'7. Generacion empresa'!$L$4:$N$61</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generación'!$A$1:$J$49</definedName>
    <definedName name="_xlnm.Print_Area" localSheetId="21">'20. ANEXOI-3'!$A$1:$G$56</definedName>
    <definedName name="_xlnm.Print_Area" localSheetId="22">'21. ANEXOII-1'!$A$1:$F$79</definedName>
    <definedName name="_xlnm.Print_Area" localSheetId="24">'23. ANEXOII-3'!$A$1:$F$62</definedName>
    <definedName name="_xlnm.Print_Area" localSheetId="26">'25.ANEXO III -1'!$A$1:$F$15</definedName>
    <definedName name="_xlnm.Print_Area" localSheetId="27">'26.ANEXO III-2'!$A$1:$F$10</definedName>
    <definedName name="_xlnm.Print_Area" localSheetId="6">'5. RER'!$A$1:$K$61</definedName>
    <definedName name="_xlnm.Print_Area" localSheetId="7">'6. FP RER'!$A$1:$K$64</definedName>
    <definedName name="_xlnm.Print_Area" localSheetId="8">'7. Generacion empresa'!$A$1:$J$69</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9" i="22" l="1"/>
  <c r="D31" i="6" l="1"/>
  <c r="D30" i="6"/>
  <c r="I10" i="6" l="1"/>
  <c r="H10" i="6"/>
  <c r="F43" i="45" l="1"/>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F72" i="45"/>
  <c r="E10" i="21" l="1"/>
  <c r="F10" i="21"/>
  <c r="C12" i="22" l="1"/>
  <c r="D12" i="22"/>
  <c r="E12" i="22"/>
  <c r="F12" i="22"/>
  <c r="G12" i="22"/>
  <c r="H12" i="22"/>
  <c r="B12" i="22"/>
  <c r="J12" i="22"/>
  <c r="I10" i="22"/>
  <c r="I11" i="22"/>
  <c r="E34" i="6" l="1"/>
  <c r="G10" i="21" l="1"/>
  <c r="B16" i="7" l="1"/>
  <c r="C16" i="7"/>
  <c r="D16" i="7"/>
  <c r="E16" i="7"/>
  <c r="F10" i="46" l="1"/>
  <c r="F9" i="46"/>
  <c r="E5" i="36"/>
  <c r="E4" i="36"/>
  <c r="F42" i="38"/>
  <c r="G42" i="38"/>
  <c r="C66" i="13" l="1"/>
  <c r="C65" i="11"/>
  <c r="B65" i="11"/>
  <c r="B66" i="13"/>
  <c r="D64" i="11"/>
  <c r="G12" i="7" l="1"/>
  <c r="D12" i="7"/>
  <c r="F46" i="46" l="1"/>
  <c r="D6" i="11"/>
  <c r="E2" i="46" l="1"/>
  <c r="D2" i="46"/>
  <c r="C2" i="46"/>
  <c r="E2" i="45"/>
  <c r="D2" i="45"/>
  <c r="C2" i="45"/>
  <c r="D58" i="11" l="1"/>
  <c r="D34" i="11"/>
  <c r="C47" i="46" l="1"/>
  <c r="C49" i="46" s="1"/>
  <c r="D47"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D63" i="11" l="1"/>
  <c r="J16" i="7" l="1"/>
  <c r="H16" i="7"/>
  <c r="G16" i="7"/>
  <c r="D10" i="21" l="1"/>
  <c r="H10" i="21" l="1"/>
  <c r="F44" i="46"/>
  <c r="F43" i="46"/>
  <c r="F42" i="46"/>
  <c r="F41" i="46"/>
  <c r="F40" i="46"/>
  <c r="F39" i="46"/>
  <c r="F38" i="46"/>
  <c r="F37" i="46"/>
  <c r="F36" i="46"/>
  <c r="F35" i="46"/>
  <c r="F34" i="46"/>
  <c r="F33" i="46"/>
  <c r="F32" i="46"/>
  <c r="F26" i="46"/>
  <c r="F25" i="46"/>
  <c r="F24" i="46"/>
  <c r="F23" i="46"/>
  <c r="F22" i="46"/>
  <c r="F21" i="46"/>
  <c r="F20" i="46"/>
  <c r="F19" i="46"/>
  <c r="F18" i="46"/>
  <c r="F17" i="46"/>
  <c r="F16" i="46"/>
  <c r="F15" i="46"/>
  <c r="F14" i="46"/>
  <c r="F13" i="46"/>
  <c r="F12" i="46"/>
  <c r="F11" i="46"/>
  <c r="F8" i="46"/>
  <c r="F7" i="46"/>
  <c r="F6" i="46"/>
  <c r="F5" i="46"/>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F49" i="46" l="1"/>
  <c r="I8" i="22" l="1"/>
  <c r="I12" i="22" s="1"/>
  <c r="E4" i="45" l="1"/>
  <c r="E4" i="46" s="1"/>
  <c r="B14" i="12" l="1"/>
  <c r="F14" i="8"/>
  <c r="A64" i="10" l="1"/>
  <c r="A43" i="10"/>
  <c r="N14" i="18" l="1"/>
  <c r="J11" i="9" l="1"/>
  <c r="H11" i="9"/>
  <c r="G11" i="9"/>
  <c r="D6" i="16" l="1"/>
  <c r="C28" i="14" l="1"/>
  <c r="A37" i="22" l="1"/>
  <c r="F6" i="36" l="1"/>
  <c r="A66" i="11" l="1"/>
  <c r="F22" i="8" l="1"/>
  <c r="B19" i="8"/>
  <c r="C19" i="8"/>
  <c r="D19" i="8"/>
  <c r="E19" i="8"/>
  <c r="E12" i="9" s="1"/>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2"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3" i="22" l="1"/>
  <c r="B58" i="18"/>
  <c r="B40" i="18"/>
  <c r="B21" i="18"/>
  <c r="A58" i="12"/>
  <c r="F67" i="13"/>
  <c r="B18" i="12" l="1"/>
  <c r="B20" i="12" s="1"/>
  <c r="C18" i="12"/>
  <c r="D18" i="12"/>
  <c r="D20" i="12" s="1"/>
  <c r="E18" i="12"/>
  <c r="E20" i="12" s="1"/>
  <c r="G18" i="12"/>
  <c r="G20" i="12" s="1"/>
  <c r="H18" i="12"/>
  <c r="H20" i="12" s="1"/>
  <c r="J18" i="12"/>
  <c r="J20" i="12" s="1"/>
  <c r="F31" i="6" l="1"/>
  <c r="F33" i="6"/>
  <c r="F11" i="14" l="1"/>
  <c r="F32" i="6" l="1"/>
  <c r="F30" i="6"/>
  <c r="A58" i="7" l="1"/>
  <c r="E29" i="6"/>
  <c r="E66" i="11" l="1"/>
  <c r="C45" i="10"/>
  <c r="D3" i="36" l="1"/>
  <c r="C3" i="36"/>
  <c r="F2" i="37"/>
  <c r="F3" i="23"/>
  <c r="C2" i="23"/>
  <c r="C1" i="37" s="1"/>
  <c r="C1" i="38" s="1"/>
  <c r="E16" i="22"/>
  <c r="A16" i="22"/>
  <c r="A13" i="22"/>
  <c r="A11" i="21"/>
  <c r="F6" i="21"/>
  <c r="E6" i="21"/>
  <c r="D6" i="21"/>
  <c r="B47" i="18"/>
  <c r="B28" i="18"/>
  <c r="B10" i="18"/>
  <c r="C31" i="16"/>
  <c r="E6" i="16"/>
  <c r="A67" i="13"/>
  <c r="B3" i="13"/>
  <c r="B5" i="11"/>
  <c r="C5" i="11" s="1"/>
  <c r="B4" i="11"/>
  <c r="G6" i="7"/>
  <c r="G4" i="8" s="1"/>
  <c r="G4" i="9" s="1"/>
  <c r="D7" i="7"/>
  <c r="E7" i="7" s="1"/>
  <c r="A49" i="6"/>
  <c r="B35"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9" i="6"/>
  <c r="D34" i="6"/>
  <c r="C5" i="9" l="1"/>
  <c r="F39" i="9"/>
  <c r="F34"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H19" i="8"/>
  <c r="J19" i="8"/>
  <c r="I12" i="7"/>
  <c r="E5" i="8"/>
  <c r="I19" i="8" l="1"/>
  <c r="E5" i="9"/>
  <c r="I20" i="12"/>
  <c r="K20" i="12"/>
  <c r="F40" i="9"/>
  <c r="M39" i="9" s="1"/>
  <c r="F20" i="12"/>
  <c r="K19" i="8"/>
  <c r="J12" i="9"/>
  <c r="G12" i="9"/>
  <c r="K12" i="7"/>
  <c r="I11" i="9"/>
  <c r="H12" i="9"/>
  <c r="F11" i="9"/>
  <c r="K11" i="9"/>
  <c r="D65" i="11"/>
</calcChain>
</file>

<file path=xl/sharedStrings.xml><?xml version="1.0" encoding="utf-8"?>
<sst xmlns="http://schemas.openxmlformats.org/spreadsheetml/2006/main" count="1535" uniqueCount="684">
  <si>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</si>
  <si>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</si>
  <si>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</si>
  <si>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</si>
  <si>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</si>
  <si>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</si>
  <si>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</si>
  <si>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</si>
  <si>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</si>
  <si>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</si>
  <si>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</si>
  <si>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</si>
  <si>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</si>
  <si>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</si>
  <si>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</si>
  <si>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</si>
  <si>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</si>
  <si>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</si>
  <si>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</si>
  <si>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</si>
  <si>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</si>
  <si>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</si>
  <si>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</si>
  <si>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</si>
  <si>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</si>
  <si>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</si>
  <si>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</si>
  <si>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</si>
  <si>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</si>
  <si>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</si>
  <si>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</si>
  <si>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</si>
  <si>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</si>
  <si>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</si>
  <si>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</si>
  <si>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</si>
  <si>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</si>
  <si>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</si>
  <si>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</si>
  <si>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</si>
  <si>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</si>
  <si>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</si>
  <si>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</si>
  <si>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</si>
  <si>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</si>
  <si>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</si>
  <si>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</si>
  <si>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</si>
  <si>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</si>
  <si>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</si>
  <si>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</si>
  <si>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</si>
  <si>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</si>
  <si>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</si>
  <si>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</si>
  <si>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</si>
  <si>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</si>
  <si>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</si>
  <si>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</si>
  <si>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</si>
  <si>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</si>
  <si>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</si>
  <si>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</si>
  <si>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</si>
  <si>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</si>
  <si>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</si>
  <si>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</si>
  <si>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</si>
  <si>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</si>
  <si>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</si>
  <si>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</si>
  <si>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</si>
  <si>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</si>
  <si>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</si>
  <si>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</si>
  <si>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</si>
  <si>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</si>
  <si>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</si>
  <si>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</si>
  <si>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</si>
  <si>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</si>
  <si>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</si>
  <si>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</si>
  <si>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</si>
  <si>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</si>
  <si>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</si>
  <si>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</si>
  <si>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</si>
  <si>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</si>
  <si>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</si>
  <si>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</si>
  <si>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</si>
  <si>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</si>
  <si>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</si>
  <si>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</si>
  <si>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</si>
  <si>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</si>
  <si>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</si>
  <si>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</si>
  <si>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</si>
  <si>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</si>
  <si>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</si>
  <si>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</si>
  <si>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</si>
  <si>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</si>
  <si>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</si>
  <si>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</si>
  <si>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</si>
  <si>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</si>
  <si>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</si>
  <si>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</si>
  <si>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</si>
  <si>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</si>
  <si>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</si>
  <si>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</si>
  <si>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</si>
  <si>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</si>
  <si>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</si>
  <si>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</si>
  <si>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</si>
  <si>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</si>
  <si>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</si>
  <si>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</si>
  <si>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</si>
  <si>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</si>
  <si>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</si>
  <si>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</si>
  <si>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</si>
  <si>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</si>
  <si>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</si>
  <si>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</si>
  <si>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</si>
  <si>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</si>
  <si>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</si>
  <si>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</si>
  <si>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</si>
  <si>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</si>
  <si>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</si>
  <si>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</si>
  <si>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</si>
  <si>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</si>
  <si>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</si>
  <si>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</si>
  <si>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</si>
  <si>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</si>
  <si>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</si>
  <si>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</si>
  <si>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</si>
  <si>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</si>
  <si>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</si>
  <si>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</si>
  <si>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</si>
  <si>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</si>
  <si>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</si>
  <si>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</si>
  <si>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</si>
  <si>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</si>
  <si>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</si>
  <si>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</si>
  <si>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</si>
  <si>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</si>
  <si>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</si>
  <si>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</si>
  <si>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</si>
  <si>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</si>
  <si>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</si>
  <si>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</si>
  <si>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</si>
  <si>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</si>
  <si>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</si>
  <si>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</si>
  <si>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</si>
  <si>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</si>
  <si>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</si>
  <si>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</si>
  <si>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</si>
  <si>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</si>
  <si>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</si>
  <si>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</si>
  <si>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</si>
  <si>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</si>
  <si>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</si>
  <si>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</si>
  <si>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</si>
  <si>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</si>
  <si>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</si>
  <si>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</si>
  <si>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</si>
  <si>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</si>
  <si>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</si>
  <si>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</si>
  <si>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</si>
  <si>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</si>
  <si>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</si>
  <si>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</si>
  <si>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</si>
  <si>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</si>
  <si>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</si>
  <si>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</si>
  <si>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</si>
  <si>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</si>
  <si>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</si>
  <si>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</si>
  <si>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</si>
  <si>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</si>
  <si>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</si>
  <si>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</si>
  <si>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</si>
  <si>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</si>
  <si>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</si>
  <si>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</si>
  <si>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</si>
  <si>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</si>
  <si>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</si>
  <si>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</si>
  <si>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</si>
  <si>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</si>
  <si>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</si>
  <si>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</si>
  <si>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</si>
  <si>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</si>
  <si>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</si>
  <si>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</si>
  <si>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</si>
  <si>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</si>
  <si>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</si>
  <si>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</si>
  <si>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</si>
  <si>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</si>
  <si>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</si>
  <si>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</si>
  <si>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</si>
  <si>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</si>
  <si>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</si>
  <si>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</si>
  <si>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</si>
  <si>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</si>
  <si>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</si>
  <si>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</si>
  <si>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</si>
  <si>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</si>
  <si>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</si>
  <si>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</si>
  <si>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</si>
  <si>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</si>
  <si>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</si>
  <si>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</si>
  <si>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</si>
  <si>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</si>
  <si>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</si>
  <si>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</si>
  <si>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</si>
  <si>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</si>
  <si>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</si>
  <si>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</si>
  <si>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</si>
  <si>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</si>
  <si>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</si>
  <si>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</si>
  <si>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</si>
  <si>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</si>
  <si>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</si>
  <si>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</si>
  <si>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</si>
  <si>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</si>
  <si>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</si>
  <si>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</si>
  <si>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</si>
  <si>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</si>
  <si>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</si>
  <si>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</si>
  <si>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</si>
  <si>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</si>
  <si>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</si>
  <si>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</si>
  <si>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</si>
  <si>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</si>
  <si>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</si>
  <si>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</si>
  <si>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</si>
  <si>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</si>
  <si>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</si>
  <si>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</si>
  <si>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</si>
  <si>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</si>
  <si>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</si>
  <si>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</si>
  <si>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</si>
  <si>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</si>
  <si>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</si>
  <si>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</si>
  <si>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</si>
  <si>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</si>
  <si>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</si>
  <si>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</si>
  <si>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</si>
  <si>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</si>
  <si>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</si>
  <si>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</si>
  <si>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</si>
  <si>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</si>
  <si>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</si>
  <si>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</si>
  <si>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</si>
  <si>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</si>
  <si>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</si>
  <si>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</si>
  <si>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</si>
  <si>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</si>
  <si>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</si>
  <si>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</si>
  <si>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</si>
  <si>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</si>
  <si>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</si>
  <si>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</si>
  <si>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</si>
  <si>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</si>
  <si>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</si>
  <si>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</si>
  <si>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</si>
  <si>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</si>
  <si>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</si>
  <si>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</si>
  <si>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</si>
  <si>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</si>
  <si>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</si>
  <si>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</si>
  <si>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</si>
  <si>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</si>
  <si>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</si>
  <si>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</si>
  <si>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</si>
  <si>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</si>
  <si>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</si>
  <si>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</si>
  <si>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</si>
  <si>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</si>
  <si>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</si>
  <si>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</si>
  <si>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</si>
  <si>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</si>
  <si>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</si>
  <si>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</si>
  <si>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</si>
  <si>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</si>
  <si>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</si>
  <si>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</si>
  <si>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</si>
  <si>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</si>
  <si>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</si>
  <si>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</si>
  <si>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</si>
  <si>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</si>
  <si>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</si>
  <si>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</si>
  <si>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</si>
  <si>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</si>
  <si>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</si>
  <si>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</si>
  <si>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</si>
  <si>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</si>
  <si>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</si>
  <si>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</si>
  <si>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</si>
  <si>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</si>
  <si>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</si>
  <si>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</si>
  <si>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</si>
  <si>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</si>
  <si>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</si>
  <si>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</si>
  <si>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</si>
  <si>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</si>
  <si>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</si>
  <si>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</si>
  <si>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</si>
  <si>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</si>
  <si>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</si>
  <si>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</si>
  <si>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</si>
  <si>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</si>
  <si>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</si>
  <si>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</si>
  <si>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</si>
  <si>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</si>
  <si>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</si>
  <si>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</si>
  <si>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</si>
  <si>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</si>
  <si>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</si>
  <si>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</si>
  <si>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</si>
  <si>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</si>
  <si>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</si>
  <si>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</si>
  <si>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</si>
  <si>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</si>
  <si>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</si>
  <si>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</si>
  <si>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</si>
  <si>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</si>
  <si>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</si>
  <si>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</si>
  <si>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</si>
  <si>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</si>
  <si>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</si>
  <si>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</si>
  <si>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</si>
  <si>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</si>
  <si>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</si>
  <si>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</si>
  <si>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</si>
  <si>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</si>
  <si>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</si>
  <si>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</si>
  <si>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</si>
  <si>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</si>
  <si>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</si>
  <si>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</si>
  <si>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</si>
  <si>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</si>
  <si>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</si>
  <si>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</si>
  <si>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</si>
  <si>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</si>
  <si>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</si>
  <si>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</si>
  <si>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</si>
  <si>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</si>
  <si>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</si>
  <si>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</si>
  <si>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</si>
  <si>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</si>
  <si>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</si>
  <si>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</si>
  <si>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</si>
  <si>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</si>
  <si>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</si>
  <si>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</si>
  <si>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</si>
  <si>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</si>
  <si>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</si>
  <si>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</si>
  <si>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</si>
  <si>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</si>
  <si>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</si>
  <si>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</si>
  <si>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</si>
  <si>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</si>
  <si>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</si>
  <si>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</si>
  <si>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</si>
  <si>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</si>
  <si>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ELECTRICA SANTA ROSA / ATRIA</t>
  </si>
  <si>
    <t>TOTAL (CONSIDERANDO LA IMPORTACIÓN)</t>
  </si>
  <si>
    <t>EMGE JUNÍN / SANTA CRUZ</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</si>
  <si>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</si>
  <si>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</si>
  <si>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</si>
  <si>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</si>
  <si>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</si>
  <si>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</si>
  <si>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</si>
  <si>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</si>
  <si>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</si>
  <si>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</si>
  <si>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</si>
  <si>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</si>
  <si>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2. MODIFICACIÓN DE LA OFERTA DE GENERACIÓN ELÉCTRICA DEL SEIN EN EL 2020</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</si>
  <si>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</si>
  <si>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</si>
  <si>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</si>
  <si>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</si>
  <si>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</si>
  <si>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</si>
  <si>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</si>
  <si>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</si>
  <si>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</si>
  <si>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</si>
  <si>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</si>
  <si>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</si>
  <si>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</si>
  <si>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</si>
  <si>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19:15</t>
  </si>
  <si>
    <t>19:00</t>
  </si>
  <si>
    <t>12:30</t>
  </si>
  <si>
    <t>INVERSION DE ENERGÍA RENOVABLES</t>
  </si>
  <si>
    <t>AGROAURORA Total</t>
  </si>
  <si>
    <t>AGUA AZUL Total</t>
  </si>
  <si>
    <t>AIPSA Total</t>
  </si>
  <si>
    <t>ANDEAN POWER Total</t>
  </si>
  <si>
    <t>BIOENERGIA Total</t>
  </si>
  <si>
    <t>CELEPSA Total</t>
  </si>
  <si>
    <t>CERRO VERDE Total</t>
  </si>
  <si>
    <t>CHINANGO Total</t>
  </si>
  <si>
    <t>EGASA Total</t>
  </si>
  <si>
    <t>EGECSAC Total</t>
  </si>
  <si>
    <t>EGEMSA Total</t>
  </si>
  <si>
    <t>EGESUR Total</t>
  </si>
  <si>
    <t>ELECTRICA SANTA ROSA / ATRIA Total</t>
  </si>
  <si>
    <t>ELECTRICA YANAPAMPA Total</t>
  </si>
  <si>
    <t>ELECTRO ZAÑA Total</t>
  </si>
  <si>
    <t>ELECTROPERU Total</t>
  </si>
  <si>
    <t>EMGE HUALLAGA Total</t>
  </si>
  <si>
    <t>EMGE HUANZA Total</t>
  </si>
  <si>
    <t>EMGE JUNÍN / SANTA CRUZ Total</t>
  </si>
  <si>
    <t>ENEL GENERACION PERU Total</t>
  </si>
  <si>
    <t>ENEL GENERACION PIURA Total</t>
  </si>
  <si>
    <t>ENEL GREEN POWER PERU Total</t>
  </si>
  <si>
    <t>ENERGÍA EÓLICA Total</t>
  </si>
  <si>
    <t>ENGIE Total</t>
  </si>
  <si>
    <t>FENIX POWER Total</t>
  </si>
  <si>
    <t>GENERACIÓN ANDINA Total</t>
  </si>
  <si>
    <t>GEPSA Total</t>
  </si>
  <si>
    <t>GTS MAJES Total</t>
  </si>
  <si>
    <t>GTS REPARTICION Total</t>
  </si>
  <si>
    <t>HIDROCAÑETE Total</t>
  </si>
  <si>
    <t>HIDROELECTRICA HUANCHOR Total</t>
  </si>
  <si>
    <t>HIDROMARAÑON/ CELEPSA RENOVABLES Total</t>
  </si>
  <si>
    <t>HUAURA POWER Total</t>
  </si>
  <si>
    <t>HYDRO PATAPO Total</t>
  </si>
  <si>
    <t>INLAND Total</t>
  </si>
  <si>
    <t>INVERSION DE ENERGÍA RENOVABLES Total</t>
  </si>
  <si>
    <t>IYEPSA Total</t>
  </si>
  <si>
    <t>KALLPA Total</t>
  </si>
  <si>
    <t>MAJA ENERGIA Total</t>
  </si>
  <si>
    <t>MOQUEGUA FV Total</t>
  </si>
  <si>
    <t>ORAZUL ENERGY PERÚ Total</t>
  </si>
  <si>
    <t>P.E. MARCONA Total</t>
  </si>
  <si>
    <t>P.E. TRES HERMANAS Total</t>
  </si>
  <si>
    <t>PANAMERICANA SOLAR Total</t>
  </si>
  <si>
    <t>PETRAMAS Total</t>
  </si>
  <si>
    <t>PLANTA  ETEN Total</t>
  </si>
  <si>
    <t>RIO BAÑOS Total</t>
  </si>
  <si>
    <t>RIO DOBLE Total</t>
  </si>
  <si>
    <t>SAMAY I Total</t>
  </si>
  <si>
    <t>SAN GABAN Total</t>
  </si>
  <si>
    <t>SAN JACINTO Total</t>
  </si>
  <si>
    <t>SANTA ANA Total</t>
  </si>
  <si>
    <t>SDF ENERGIA Total</t>
  </si>
  <si>
    <t>SHOUGESA Total</t>
  </si>
  <si>
    <t>SINERSA Total</t>
  </si>
  <si>
    <t>STATKRAFT Total</t>
  </si>
  <si>
    <t>TACNA SOLAR Total</t>
  </si>
  <si>
    <t>TERMOCHILCA Total</t>
  </si>
  <si>
    <t>TERMOSELVA Total</t>
  </si>
  <si>
    <t>12:00</t>
  </si>
  <si>
    <t>12:15</t>
  </si>
  <si>
    <t>14:45</t>
  </si>
  <si>
    <t>18:45</t>
  </si>
  <si>
    <t>00:15</t>
  </si>
  <si>
    <t>Empresa</t>
  </si>
  <si>
    <t>Recurso Energético</t>
  </si>
  <si>
    <t>Tipo de Tecnologia</t>
  </si>
  <si>
    <t>Central</t>
  </si>
  <si>
    <t>Unidad</t>
  </si>
  <si>
    <t>Tensión  
(kV)</t>
  </si>
  <si>
    <t>Potencia Instalada (MW)</t>
  </si>
  <si>
    <t xml:space="preserve">Potencia Efectiva  (MW) </t>
  </si>
  <si>
    <t>Operación Comercial</t>
  </si>
  <si>
    <t>Central Solar</t>
  </si>
  <si>
    <t>Central Hidroeléctrica</t>
  </si>
  <si>
    <t>Turbina de Vapor</t>
  </si>
  <si>
    <t>Central Eólica</t>
  </si>
  <si>
    <t>Central a Biogás</t>
  </si>
  <si>
    <t>MCI</t>
  </si>
  <si>
    <t>C.H. Callao</t>
  </si>
  <si>
    <t>G1 ; G2</t>
  </si>
  <si>
    <t>13.07.2020</t>
  </si>
  <si>
    <t>PERUANA DE INVERSIONES EN ENERGÍAS RENOVABLES</t>
  </si>
  <si>
    <t>16.07.2020</t>
  </si>
  <si>
    <t>C.H. Manta</t>
  </si>
  <si>
    <t>Pelton</t>
  </si>
  <si>
    <t>Nota: Los valores de potencia efectiva de C.H. Callao y C.H. Manta corresponden a lo presentado en su ficha técnica para su operación comercial.</t>
  </si>
  <si>
    <t>11:30</t>
  </si>
  <si>
    <t>20:00</t>
  </si>
  <si>
    <t>11:45</t>
  </si>
  <si>
    <t>21:15</t>
  </si>
  <si>
    <t>(1) Inicio de operación comercial de la C.T. Callao propiedad de PETRAMÁS S.A. a las 00:00 horas del 13.07.2020</t>
  </si>
  <si>
    <t>C.T. CALLAO  (1)</t>
  </si>
  <si>
    <t>C.H. MANTA I  (2)</t>
  </si>
  <si>
    <t>L-2011</t>
  </si>
  <si>
    <t>SAN JUAN - SANTA ROSA N.</t>
  </si>
  <si>
    <t>C.T. CALLAO</t>
  </si>
  <si>
    <t>C.H. MANTA</t>
  </si>
  <si>
    <t>(2) Inicio de operación comercial de la C.H. Manta propiedad de PERUANA DE INVERSIÓN EN ENERGÍAS RENOVABLES S.A. a las 00:00 horas del 16.07.2020</t>
  </si>
  <si>
    <t>1.1. Producción de energía eléctrica en agosto 2020 en comparación al mismo mes del año anterior</t>
  </si>
  <si>
    <t>NEXA RESOURCES PERÚ S.A.A.</t>
  </si>
  <si>
    <t>L. PARAGSHA II - MILPO - LINEA L-1146</t>
  </si>
  <si>
    <t>RED DE ENERGIA DEL PERU S.A.</t>
  </si>
  <si>
    <t>S.E. TOCACHE - TRAFO3D T35-121</t>
  </si>
  <si>
    <t>ELECTRONOROESTE S.A.</t>
  </si>
  <si>
    <t>L. LA HUACA - SULLANA - LINEA L-6662A</t>
  </si>
  <si>
    <t>L. PIURA OESTE - EJIDOS - LINEA L-6657</t>
  </si>
  <si>
    <t xml:space="preserve">ELECTRO DUNAS </t>
  </si>
  <si>
    <t>S.E. NAZCA - TRAFO3D T1-60/22.9/10</t>
  </si>
  <si>
    <t>C.H. CHARCANI I - CH CENTRAL</t>
  </si>
  <si>
    <t>CONCESIONARIA LINEA DE TRANSMISION CCNCM S.A.C.</t>
  </si>
  <si>
    <t>L. CAJAMARCA NORTE - CARHUAQUERO - LINEA L-2190</t>
  </si>
  <si>
    <t xml:space="preserve">SINERSA </t>
  </si>
  <si>
    <t>L. POECHOS - SULLANA - LINEA L-6668</t>
  </si>
  <si>
    <t>L. INDEPENDENCIA - PISCO - LINEA L-6605</t>
  </si>
  <si>
    <t>L. ARICOTA 1 - SARITA - LINEA L-6667</t>
  </si>
  <si>
    <t>L. MACHUPICCHU - CACHIMAYO - LINEA L-1001</t>
  </si>
  <si>
    <t>ATN 2 S.A.</t>
  </si>
  <si>
    <t>L. COTARUSE - LAS BAMBAS - LINEA L-2055</t>
  </si>
  <si>
    <t>L. VILLACURI - HUARANGO - LINEA L-6507</t>
  </si>
  <si>
    <t>L. BELAUNDE TERRY - MOYOBAMBA - LINEA L-1049</t>
  </si>
  <si>
    <t>S.E. COMBAPATA - CELDA CL0630</t>
  </si>
  <si>
    <t>SOUTHERN PERU CC</t>
  </si>
  <si>
    <t>L. MOQUEGUA - BOTIFLACA - LINEA L-1382</t>
  </si>
  <si>
    <t>Desconectó la línea L-1146 (Paragsha II - Milpo) en 138 kV por falla monofásica en la fase "S" cuya causa no fue informada por el propietario de la línea. Como consecuencia se interrumpió el suministro de la S.E. Milpo en 13,35 MW aproximadamente. A las 12:17 h, la línea se puso en servicio y se coordinó recuperar el suministro interrumpido.</t>
  </si>
  <si>
    <t>Desconectó el transformador T35-121 de 138/22.9 kV con 3.2 MW , provocado por un error de lectura del sensor de temperatura el cual activó el relé de disparo y bloqueo (86). El transformador T66-121 de 138/22.9 kV quedó en servicio atendiendo la carga de los clientes regulados. Como consecuencia desconectó la línea L-1043 (Tocache - Industrias El Espino) en 22.9 kV por el esquema de desconexión implementado actualmente, la carga del cliente Industrias El Espino aproximadamente era 2.1 MW. A las 18:50 h se coordinó con San Gaban, suministrador de Industrias El Espino recuperar 0.5 MW,el flujo por el transformador T66-121 era de 6.3 MVA. A las 20:16 h se energizó la línea L-1043, a las 20:55 h se coordinó recuperar hasta 0.7 MW, a las 21:21 h, se coordinó recuperar hasta 1.4 MW. A las 21:32 h entró en servicio el transformador T35-121 y a las 21:33 h se coordinó recuperar toda la carga interrumpida.</t>
  </si>
  <si>
    <t>Desconectó la línea L-6662A (Sullana – La Huaca) de 60 kV por causas no informadas por ENOSA propietario de la línea. Como consecuencia se desconectaron las C.H. Poechos 1 (8 MW) y Poechos 2 (6 MW) y se interrumpió el suministro de Sullana, Poechos y Quiroz en total 20.83 MW. A las 07:30 h, se energizó la línea L-6698 desde la SE Piura Oeste. A las 07:36 h se conectó la L-6698 en Sullana y se procedió a normalizar el suministro interrumpido. A las 07:46 h, se conectó la línea L-6662A.</t>
  </si>
  <si>
    <t>Desconectó la línea en 60 kV L-6657 (Piura Oeste -Ejidos) por falla monofásica en la fase "T" a una distancia de 19.6 km de la S.E. Piura Oeste, cuya causa no fue informada por Enosa, titular de la línea. Como consecuencia se interrumpió el suministro de las SS.EE. Ejidos, Chulucanas, Morropón y Loma Larga con un total de 23.83 MW aproximadamente. A las 21:48 h, se puso en servicio la línea y se coordinó recuperar los suministros interrumpidos.</t>
  </si>
  <si>
    <t>Desconectó la línea L-6657 (Piura Oeste - Ejidos) de 60 kV por falla en la fase "T" provocado por desprendimiento de cable de tierra de acuerdo a lo informado por Enosa, titular de la línea. Como consecuencia se interrumpió el suministro de las SS.EE. Ejidos, Chulucanas, Morropón y Loma Larga en total 18.46 MW. A la 01:51 h, se energizó la línea. A las 02:23 h, se culminó con la normalización de los suministros interrumpidos.</t>
  </si>
  <si>
    <t>Se registró un movimiento sísmico de magnitud 5.6 en Nazca. Como consecuencia desconectó el transformador de 60/22.9/10 kV, 15 MVA, interrumpiendo el suministro de Nazca en total 4.43 MW, de acuerdo a lo informado por ELECTRODUNAS, el sistema de protección señalizó disparo por nivel mínimo nivel de aceite en el conmutador. A las 17:35 h, se conectó el transformador y se procedió a normalizar el suministro interrumpido.</t>
  </si>
  <si>
    <t>Desconectó la linea L-2190 (CAJAMARCA NORTE - CARHUAQUERO) de 220 kV, por falla bifásica a tierra entre las fases R y S a una distancia de 86 km de la S.E. Carhuaquero, provocado por fuertes vientos, según informe de CONCESIONARIA L.T. CCNCM S.A.C, propietario de la línea. Como consecuencia Minera Yanacocha redujo su carga en la S.E. La Quinua en 15.01 MW y la S.E. La Pajuela en 3.04 MW. A las 11:13 se coordinó recuperar toda su carga de Minera Yanacocha, Cerro Corona redujo su carga en 11.5 MW, a las 11:16 h, se coordinó recuperar toda la carga de Cerro Corona, Sider Perú redujo su carga en 5 MW, a las 11:42h, se coordinó recuperar toda la carga de Sider Perú. A las 11:13 h, se declaró disponible la línea L-2190. A las 11:15 h se conectó al línea L-2190 con el SEIN.</t>
  </si>
  <si>
    <t>Desconexión de la línea L-6668 (Poechos-Sullana) 60 kV por falla a tierra en la fase "S" a 25.5 de la C.H. Poechos, de acuerdo a lo informado por Sinersa, propietaria de la línea. Como consecuencia se interrumpió suministro de Enosa con un total de 5.74 MW de carga. La línea quedó fuera de servicio. A las 06:58 h, la línea entró en servicio y se inició el restablecimiento del suministro interrumpido, a las 07:06 h se inició la sincronización de las unidades de generación desconectadas.</t>
  </si>
  <si>
    <t>Desconectó la línea L-6605 (Independencia - Pisco) de 60 kV por falla en la fase "R" a 35 km desde la S.E. Independencia, las causas de la falla no fueron informadas por informó Electro Dunas, titular del línea. Como consecuencia se interrumpieron los suministros de Pisco, Alto La Luna y Creditex en total 10.44 MW. A las 08:35 h, se conectó la línea L-6605 y se coordinó la normalización del suministro interrumpido.</t>
  </si>
  <si>
    <t>Desconectó la línea L-6657A (Piura Oeste – Los Ejidos) de 60 kV por falla en la fase "S" originada por contacto de ave con el conductor de la línea (estructura T-05), según informó ENOSA, titular de la línea. Como consecuencia se interrumpió el suministro de Los Ejidos, Chulucanas, Morropón y Loma Larga en total 27.79 MW. A las 07:55 h, se conectó la línea L-6657A y se procedió a normalizar el suministro interrumpido.</t>
  </si>
  <si>
    <t>Desconectó la línea L-6657A (Piura Oeste – Los Ejidos) de 60 kV por falla en la fase "S" originada por causa de desprendimiento de conductor de puesta a tierra, según informó ENOSA, titular de la línea. Como consecuencia se interrumpió el suministro de Los Ejidos, Chulucanas, Morropón y Loma Larga en total 31.31 MW. A las 10:25 h, se conectó la línea L-6657A y se procedió a normalizar el suministro interrumpido.</t>
  </si>
  <si>
    <t>Desconectó la línea L-6667 (Aricota 1 - Sarita) de 66 kV por falla en la línea (Sarita –Caserío Aricota -Candarave – El Ayro) de 33 kV propiedad de Electro Sur; informado por EGESUR, titular de la línea L-6667. Como consecuencia se interrumpió el suministro de Tarata, Candarave y El Ayrocon un total de 0.25 MW. A las 14:58 h, se conectó la línea L-6667 y se procedió a normalizar el suministro interrumpido.</t>
  </si>
  <si>
    <t>Desconecto la línea L-6667 (Aricota 1 - Sarita) de 66 kV por falla en la línea (Sarita – Candarave – El Ayro) de 33 kV, propiedad de Electro Sur; informado por EGSUR, titular de la línea L-6667. Como consecuencia se interrumpió el suministro de Tarata, Candarave y El Ayrocon un total de0.30 MW. A las 17:09 h, se conectó la línea L-6667 y se procedió a normalizar el suministro interrumpido.</t>
  </si>
  <si>
    <t>Desconecto la línea L-6667 (Aricota 1 - Sarita) de 66 kV por falla en la línea (Sarita – Candarave – El Ayro) de 33 kV, propiedad de Electro Sur; informado por EGESUR, titular de la línea L-6667. Como consecuencia se interrumpió el suministro de Tarata, Candarave y El Ayro con un total de total 0.30 MW. A las 17:15 h, se conectó la línea L-6667 y se procedió a normalizar el suministro interrumpido.</t>
  </si>
  <si>
    <t>Se produjo la desconexión de la línea L-1001 (Machupicchu - Cachimayo) de 138 KV por falla bifásica entre las fases "R" y "T", ubicada a 6.9 km de la C.H. Machupicchu, debido a causas que se investigan según informó EGEMSA titular de la línea. Como consecuencia el usuario libre INCASAC disminuyó su carga de 22.65 MW a 21 MW por actuación de sus protecciones propias. A las 13:02 h, el usuario INCASAC inició la normalización de su carga. A las 13:19 h, se conectó la línea.</t>
  </si>
  <si>
    <t xml:space="preserve">Desconectó la línea L-2055 (Cotaruse - Las Bambas) de 220 kV por falla monofásica en la fase "S", según lo informado por ATN 2, titular de las líneas. Como consecuencia Minera Las Bambas redujo su carga en 15 MW. A las 06:31 h se coordinó energizar la linea en el extremo de la S.E. Cotaruse sin éxito. La línea quedó indisponible para su inspección. </t>
  </si>
  <si>
    <t>Desconectó la líneaL-6507 (Villacurí - Huarango)de 60 kV, por falla bifásica entre las fases "R" y "T" cuya causano fue informada por Electro Dunas, titular de la línea. Como consecuencia se interrumpió el suministro de la S.E. Huarango con 5.4 MW . A las 08:36 h, se puso en servicio la línea y se procedió a recuperar los suministros interrumpidos.</t>
  </si>
  <si>
    <t>Abrió el interruptor IN-4103 de la línea L-1049 (Moyobamba - Belaunde Terry) de 138 kV en la SE Belaunde Terry por error de personal del CC-CCNCM (Concesionaria Línea de Transmisión CCNCM S.A.) durante trabajos no programados en el sistema SCADA de la SE Belaunde Terry (la apertura del interruptor se produjo al cancelar una orden de apertura). Como consecuencia se interrumpió el suministro de la S.E. Moyobamba en total 17.17 MW. A las 08:43 h se energizó la línea L-1049 desde la SE Belaunde y se coordinó con el CC-EOR normalizar el suministro interrumpido.</t>
  </si>
  <si>
    <t>Desconectó la línea L-6001 (Combapata - Sicuani) de 60 kV debido a una falla monofásica en la fase "R". Como consecuencia se interrumpió 0.31 MW en la SE Sicuani. A las 12:25 h, el CC-REP energizó la línea L-6001, con lo cual el CC-ESE inició con la normalización de los suministros interrumpidos.</t>
  </si>
  <si>
    <t>Desconectó la línea L-1382 (Moquegua - Botiflaca) de 138 kV, por falla en el circuito de corriente de la protección diferencial de respaldo, informada por Southern Perú, titular de la línea.Como consecuencia, se produjo la reducción de 59.36 MW en la unidad Operativa Cuajone de Southern Perú. Las líneas L-1381 (Moquegua - Botiflaca) y L-1386/1 (Botiflaca - Push Back) se encontraba fuera de servicio por mantenimiento. A las 10:08 h se declaró disponible y a las 10:14 h se coordinó poner en servicio la línea L-1382 y recuperar la carga interrumpida.</t>
  </si>
  <si>
    <t>Desconectaron las líneas L-3103 (Charcani IV - Charcani I) de 33 kV y L-3104 (Charcani IV - Chilina ) de 33 kV por falla en la línea L-3104, según lo informado por EGASA, cabe mencionar que la línea L-3103 quedó energizado desde la S.E. Chilina. Como consecuencia, desconectaron las centrales Charcani I, Charcani II, charcani III y Charcani IV. Asi mismo, a las 21:48 h desconectó la línea L-3005 (Charcani I - Alto Cayma) de 33 kV en la S.E. Charcani I, interrumpiendo 6.72 MW en la S.E. Alto Cayma. A las 22:20 h la línea L-3103 se cerró en la S.E. Charcani I y a las 22:22 h se coordinó con SEAL poner en servicio la línea L-3005 y recuperar la carga interrumpida. A las 22:50 h se cerró la línea L-3103 en la S.E. Charcani IV. A las 22:52 h entró en servicio la línea L-3104. A las 23:00 h en servicio G1 de Charcani I, a las 23:06 h en servicio G2 y 23:13 h en servicio G3 de la C.H. Charcani IV.  en servicio G2 de Charcani I y a las 00:47 h G1 de Charcani II.</t>
  </si>
  <si>
    <t>LINEA DE TRANSMISION</t>
  </si>
  <si>
    <t>TRANSFORMADOR 3D</t>
  </si>
  <si>
    <t>CELDA</t>
  </si>
  <si>
    <t>CENTRAL HIDROELÉCTRICA</t>
  </si>
  <si>
    <t>01/08/2020</t>
  </si>
  <si>
    <t>12:45</t>
  </si>
  <si>
    <t>02/08/2020</t>
  </si>
  <si>
    <t>03/08/2020</t>
  </si>
  <si>
    <t>04/08/2020</t>
  </si>
  <si>
    <t>05/08/2020</t>
  </si>
  <si>
    <t>06/08/2020</t>
  </si>
  <si>
    <t>07/08/2020</t>
  </si>
  <si>
    <t>15:00</t>
  </si>
  <si>
    <t>08/08/2020</t>
  </si>
  <si>
    <t>09/08/2020</t>
  </si>
  <si>
    <t>10/08/2020</t>
  </si>
  <si>
    <t>20:45</t>
  </si>
  <si>
    <t>11/08/2020</t>
  </si>
  <si>
    <t>12/08/2020</t>
  </si>
  <si>
    <t>13/08/2020</t>
  </si>
  <si>
    <t>14:30</t>
  </si>
  <si>
    <t>14/08/2020</t>
  </si>
  <si>
    <t>15/08/2020</t>
  </si>
  <si>
    <t>16/08/2020</t>
  </si>
  <si>
    <t>13:30</t>
  </si>
  <si>
    <t>17/08/2020</t>
  </si>
  <si>
    <t>14:15</t>
  </si>
  <si>
    <t>18/08/2020</t>
  </si>
  <si>
    <t>19/08/2020</t>
  </si>
  <si>
    <t>20/08/2020</t>
  </si>
  <si>
    <t>21/08/2020</t>
  </si>
  <si>
    <t>22/08/2020</t>
  </si>
  <si>
    <t>23/08/2020</t>
  </si>
  <si>
    <t>24/08/2020</t>
  </si>
  <si>
    <t>25/08/2020</t>
  </si>
  <si>
    <t>26/08/2020</t>
  </si>
  <si>
    <t>27/08/2020</t>
  </si>
  <si>
    <t>28/08/2020</t>
  </si>
  <si>
    <t>29/08/2020</t>
  </si>
  <si>
    <t>30/08/2020</t>
  </si>
  <si>
    <t>31/08/2020</t>
  </si>
  <si>
    <t>L-2205  L-2206</t>
  </si>
  <si>
    <t>POMACOCHA - SAN JUAN</t>
  </si>
  <si>
    <t>T62-161  T6-261</t>
  </si>
  <si>
    <t>VOLUMEN ÚTIL
31-08-2020</t>
  </si>
  <si>
    <t>VOLUMEN ÚTIL
31-08-2019</t>
  </si>
  <si>
    <t>agosto</t>
  </si>
  <si>
    <t>C.H. MANTA I</t>
  </si>
  <si>
    <t>El total de la producción de energía eléctrica de la empresas generadoras integrantes del COES en el mes de agosto 2020 fue de 4 279,35  GWh, lo que representa una disminución de 122,24 GWh (-2,78%) en comparación con el año 2019.</t>
  </si>
  <si>
    <t>La producción de electricidad con centrales hidroeléctricas durante el mes de agosto 2020 fue de 1 903,05 GWh (0,43% mayor al registrado durante agosto del año 2019).</t>
  </si>
  <si>
    <t>La producción de electricidad con centrales termoeléctricas durante el mes de agosto 2020 fue de 2 128,77 GWh, 8,08% menor al registrado durante agosto del año 2019. La participación del gas natural de Camisea fue de 47,59%, mientras que las del gas que proviene de los yacimientos de Aguaytía y Malacas fue del 1,54%, la producción con diesel, residual, carbón, biogás y bagazo tuvieron una intervención del 0,00%, 0,07%, 0,00%, 0,15%, 0,39% respectivamente.</t>
  </si>
  <si>
    <t>La producción de energía eléctrica con centrales eólicas fue de 183,27 GWh y con centrales solares fue de 64,27 GWh, los cuales tuvieron una participación de 4,28% y 1,5% respectivamente.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</si>
</sst>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
      <sz val="8"/>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2">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right style="hair">
        <color theme="3" tint="0.39991454817346722"/>
      </right>
      <top/>
      <bottom/>
      <diagonal/>
    </border>
    <border>
      <left style="hair">
        <color theme="3" tint="0.39991454817346722"/>
      </left>
      <right/>
      <top/>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14">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1" fillId="0" borderId="0" xfId="0" applyFont="1"/>
    <xf numFmtId="0" fontId="42" fillId="0" borderId="0" xfId="0" applyFont="1" applyAlignment="1">
      <alignment vertical="center"/>
    </xf>
    <xf numFmtId="0" fontId="43" fillId="0" borderId="0" xfId="0" applyFont="1" applyAlignment="1">
      <alignment vertical="center"/>
    </xf>
    <xf numFmtId="0" fontId="44" fillId="0" borderId="0" xfId="0" applyFont="1" applyAlignment="1">
      <alignment vertical="center"/>
    </xf>
    <xf numFmtId="0" fontId="42" fillId="0" borderId="0" xfId="0" applyFont="1" applyAlignment="1">
      <alignment horizontal="center" vertical="center"/>
    </xf>
    <xf numFmtId="0" fontId="44" fillId="0" borderId="0" xfId="0" applyFont="1" applyAlignment="1">
      <alignment horizontal="justify" vertical="center"/>
    </xf>
    <xf numFmtId="0" fontId="45" fillId="0" borderId="0" xfId="0" applyFont="1" applyAlignment="1">
      <alignment vertical="center"/>
    </xf>
    <xf numFmtId="0" fontId="43"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6"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8" fillId="0" borderId="0" xfId="0" applyFont="1" applyAlignment="1">
      <alignment vertical="center"/>
    </xf>
    <xf numFmtId="0" fontId="49" fillId="0" borderId="0" xfId="0" applyFont="1" applyAlignment="1">
      <alignment vertical="center"/>
    </xf>
    <xf numFmtId="0" fontId="50" fillId="0" borderId="0" xfId="0" applyFont="1" applyAlignment="1">
      <alignment vertical="center"/>
    </xf>
    <xf numFmtId="0" fontId="50" fillId="0" borderId="0" xfId="0" applyFont="1" applyAlignment="1">
      <alignment horizontal="right" vertical="center"/>
    </xf>
    <xf numFmtId="0" fontId="48" fillId="0" borderId="0" xfId="0" applyFont="1" applyAlignment="1">
      <alignment horizontal="center" vertical="center"/>
    </xf>
    <xf numFmtId="0" fontId="50" fillId="0" borderId="0" xfId="0" applyFont="1" applyAlignment="1">
      <alignment horizontal="justify" vertical="center"/>
    </xf>
    <xf numFmtId="2" fontId="51" fillId="0" borderId="0" xfId="0" applyNumberFormat="1" applyFont="1" applyAlignment="1">
      <alignment vertical="center"/>
    </xf>
    <xf numFmtId="0" fontId="51" fillId="0" borderId="0" xfId="0" quotePrefix="1" applyFont="1" applyAlignment="1">
      <alignment vertical="center" wrapText="1"/>
    </xf>
    <xf numFmtId="0" fontId="51" fillId="0" borderId="0" xfId="0" applyFont="1" applyAlignment="1">
      <alignment vertical="center"/>
    </xf>
    <xf numFmtId="14" fontId="48" fillId="0" borderId="0" xfId="0" applyNumberFormat="1" applyFont="1" applyAlignment="1">
      <alignment vertical="center"/>
    </xf>
    <xf numFmtId="0" fontId="47" fillId="0" borderId="0" xfId="0" applyFont="1" applyAlignment="1">
      <alignment vertical="center"/>
    </xf>
    <xf numFmtId="1" fontId="52" fillId="0" borderId="0" xfId="0" applyNumberFormat="1" applyFont="1" applyAlignment="1">
      <alignment horizontal="center" vertical="center"/>
    </xf>
    <xf numFmtId="171" fontId="53" fillId="6" borderId="0" xfId="3" applyFont="1" applyFill="1"/>
    <xf numFmtId="0" fontId="49" fillId="0" borderId="0" xfId="0" applyFont="1"/>
    <xf numFmtId="1" fontId="54" fillId="0" borderId="0" xfId="3" applyNumberFormat="1" applyFont="1" applyAlignment="1">
      <alignment horizontal="center"/>
    </xf>
    <xf numFmtId="172" fontId="54" fillId="0" borderId="0" xfId="3" applyNumberFormat="1" applyFont="1" applyAlignment="1">
      <alignment horizontal="center"/>
    </xf>
    <xf numFmtId="2" fontId="55" fillId="0" borderId="0" xfId="3" applyNumberFormat="1" applyFont="1"/>
    <xf numFmtId="165" fontId="52" fillId="0" borderId="0" xfId="0" applyNumberFormat="1" applyFont="1" applyAlignment="1">
      <alignment horizontal="right" vertical="center"/>
    </xf>
    <xf numFmtId="166" fontId="52" fillId="0" borderId="0" xfId="0" applyNumberFormat="1" applyFont="1" applyAlignment="1">
      <alignment horizontal="right" vertical="center"/>
    </xf>
    <xf numFmtId="167" fontId="52" fillId="0" borderId="0" xfId="2" applyNumberFormat="1" applyFont="1" applyAlignment="1">
      <alignment horizontal="right" vertical="center"/>
    </xf>
    <xf numFmtId="2" fontId="55" fillId="2" borderId="0" xfId="3" applyNumberFormat="1" applyFont="1" applyFill="1"/>
    <xf numFmtId="0" fontId="52" fillId="0" borderId="0" xfId="0" applyFont="1" applyAlignment="1">
      <alignment vertical="center"/>
    </xf>
    <xf numFmtId="2" fontId="56" fillId="0" borderId="0" xfId="0" applyNumberFormat="1" applyFont="1"/>
    <xf numFmtId="0" fontId="57" fillId="0" borderId="0" xfId="0" applyFont="1" applyAlignment="1">
      <alignment vertical="center"/>
    </xf>
    <xf numFmtId="49" fontId="30" fillId="0" borderId="0" xfId="0" applyNumberFormat="1" applyFont="1" applyAlignment="1">
      <alignment horizontal="center"/>
    </xf>
    <xf numFmtId="0" fontId="30" fillId="0" borderId="0" xfId="0" applyFont="1"/>
    <xf numFmtId="1" fontId="0" fillId="0" borderId="0" xfId="0" applyNumberFormat="1"/>
    <xf numFmtId="1" fontId="30" fillId="0" borderId="0" xfId="0" applyNumberFormat="1" applyFont="1" applyAlignment="1">
      <alignment horizontal="right"/>
    </xf>
    <xf numFmtId="0" fontId="30" fillId="0" borderId="0" xfId="0" applyFont="1" applyAlignment="1">
      <alignment horizontal="right"/>
    </xf>
    <xf numFmtId="165" fontId="0" fillId="0" borderId="0" xfId="0" applyNumberFormat="1" applyAlignment="1">
      <alignment horizontal="right"/>
    </xf>
    <xf numFmtId="49" fontId="30" fillId="0" borderId="0" xfId="0" applyNumberFormat="1" applyFont="1" applyAlignment="1">
      <alignment horizontal="right"/>
    </xf>
    <xf numFmtId="165" fontId="30"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8" fillId="0" borderId="0" xfId="0" applyFont="1" applyAlignment="1">
      <alignment vertical="center"/>
    </xf>
    <xf numFmtId="0" fontId="58"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49" fillId="0" borderId="0" xfId="0" applyNumberFormat="1" applyFont="1" applyAlignment="1">
      <alignment vertical="center"/>
    </xf>
    <xf numFmtId="2" fontId="50" fillId="0" borderId="0" xfId="0" applyNumberFormat="1" applyFont="1" applyAlignment="1">
      <alignment vertical="center"/>
    </xf>
    <xf numFmtId="10" fontId="31"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1" fillId="3" borderId="0" xfId="0" applyFont="1" applyFill="1" applyAlignment="1">
      <alignment vertical="center"/>
    </xf>
    <xf numFmtId="10" fontId="31"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2"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2"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2"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2"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2"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2"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2" fillId="4" borderId="94" xfId="2" applyNumberFormat="1" applyFont="1" applyFill="1" applyBorder="1" applyAlignment="1">
      <alignment vertical="center"/>
    </xf>
    <xf numFmtId="0" fontId="27" fillId="2" borderId="0" xfId="0" applyFont="1" applyFill="1" applyAlignment="1">
      <alignment vertical="center"/>
    </xf>
    <xf numFmtId="167" fontId="32" fillId="2" borderId="47" xfId="2" applyNumberFormat="1" applyFont="1" applyFill="1" applyBorder="1" applyAlignment="1">
      <alignment vertical="center"/>
    </xf>
    <xf numFmtId="0" fontId="27" fillId="4" borderId="0" xfId="0" applyFont="1" applyFill="1" applyAlignment="1">
      <alignment vertical="center"/>
    </xf>
    <xf numFmtId="167" fontId="32" fillId="4" borderId="47" xfId="2" applyNumberFormat="1" applyFont="1" applyFill="1" applyBorder="1" applyAlignment="1">
      <alignment vertical="center"/>
    </xf>
    <xf numFmtId="167" fontId="39"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2" fillId="2" borderId="51" xfId="2" applyNumberFormat="1" applyFont="1" applyFill="1" applyBorder="1" applyAlignment="1">
      <alignment vertical="center"/>
    </xf>
    <xf numFmtId="0" fontId="27" fillId="4" borderId="52" xfId="0" applyFont="1" applyFill="1" applyBorder="1" applyAlignment="1">
      <alignment vertical="center"/>
    </xf>
    <xf numFmtId="0" fontId="36" fillId="2" borderId="0" xfId="0" applyFont="1" applyFill="1" applyAlignment="1">
      <alignment horizontal="left" vertical="center"/>
    </xf>
    <xf numFmtId="170" fontId="0" fillId="0" borderId="0" xfId="0" applyNumberFormat="1" applyAlignment="1">
      <alignment horizontal="center" vertical="center"/>
    </xf>
    <xf numFmtId="0" fontId="61"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29" fillId="7" borderId="0" xfId="0" applyFont="1" applyFill="1"/>
    <xf numFmtId="0" fontId="0" fillId="7" borderId="0" xfId="0" applyFill="1"/>
    <xf numFmtId="0" fontId="62"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3" fillId="0" borderId="0" xfId="0" applyFont="1"/>
    <xf numFmtId="0" fontId="64" fillId="0" borderId="0" xfId="0" applyFont="1"/>
    <xf numFmtId="0" fontId="64" fillId="0" borderId="0" xfId="0" applyFont="1" applyAlignment="1">
      <alignment horizontal="center"/>
    </xf>
    <xf numFmtId="166" fontId="64" fillId="0" borderId="0" xfId="0" applyNumberFormat="1" applyFont="1"/>
    <xf numFmtId="171" fontId="65" fillId="6" borderId="0" xfId="3" applyFont="1" applyFill="1"/>
    <xf numFmtId="172" fontId="65" fillId="6" borderId="0" xfId="3" applyNumberFormat="1" applyFont="1" applyFill="1"/>
    <xf numFmtId="1" fontId="66" fillId="0" borderId="0" xfId="3" applyNumberFormat="1" applyFont="1" applyAlignment="1">
      <alignment horizontal="center"/>
    </xf>
    <xf numFmtId="172" fontId="66" fillId="0" borderId="0" xfId="3" applyNumberFormat="1" applyFont="1" applyAlignment="1">
      <alignment horizontal="center"/>
    </xf>
    <xf numFmtId="2" fontId="67" fillId="0" borderId="0" xfId="3" applyNumberFormat="1" applyFont="1"/>
    <xf numFmtId="2" fontId="67" fillId="0" borderId="0" xfId="3" applyNumberFormat="1" applyFont="1" applyAlignment="1">
      <alignment horizontal="center"/>
    </xf>
    <xf numFmtId="0" fontId="64" fillId="0" borderId="0" xfId="0" applyFont="1" applyAlignment="1">
      <alignment vertical="center"/>
    </xf>
    <xf numFmtId="2" fontId="67" fillId="2" borderId="0" xfId="3" applyNumberFormat="1" applyFont="1" applyFill="1"/>
    <xf numFmtId="2" fontId="68" fillId="0" borderId="0" xfId="0" applyNumberFormat="1" applyFont="1"/>
    <xf numFmtId="2" fontId="69" fillId="0" borderId="0" xfId="4" applyNumberFormat="1" applyFont="1"/>
    <xf numFmtId="0" fontId="30" fillId="0" borderId="86" xfId="0" applyFont="1" applyBorder="1"/>
    <xf numFmtId="43" fontId="30" fillId="0" borderId="86" xfId="1" applyFont="1" applyBorder="1"/>
    <xf numFmtId="43" fontId="30" fillId="0" borderId="0" xfId="0" applyNumberFormat="1" applyFont="1"/>
    <xf numFmtId="0" fontId="60" fillId="0" borderId="0" xfId="0" applyFont="1" applyAlignment="1">
      <alignment vertical="center"/>
    </xf>
    <xf numFmtId="0" fontId="60" fillId="0" borderId="0" xfId="0" applyFont="1" applyAlignment="1">
      <alignment horizontal="center"/>
    </xf>
    <xf numFmtId="0" fontId="60" fillId="0" borderId="0" xfId="0" applyFont="1" applyAlignment="1">
      <alignment vertical="center" wrapText="1"/>
    </xf>
    <xf numFmtId="0" fontId="60" fillId="0" borderId="0" xfId="0" applyFont="1" applyAlignment="1">
      <alignment horizontal="left" vertical="center" wrapText="1"/>
    </xf>
    <xf numFmtId="49" fontId="61" fillId="0" borderId="0" xfId="0" applyNumberFormat="1" applyFont="1" applyAlignment="1">
      <alignment horizontal="right"/>
    </xf>
    <xf numFmtId="43" fontId="30" fillId="0" borderId="86" xfId="0" applyNumberFormat="1" applyFont="1" applyBorder="1"/>
    <xf numFmtId="1" fontId="61" fillId="0" borderId="0" xfId="0" applyNumberFormat="1" applyFont="1" applyAlignment="1">
      <alignment horizontal="right"/>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0" fontId="30" fillId="0" borderId="0" xfId="0" applyFont="1" applyAlignment="1">
      <alignment horizontal="center"/>
    </xf>
    <xf numFmtId="0" fontId="61" fillId="0" borderId="0" xfId="0" applyFont="1" applyAlignment="1">
      <alignment vertical="center"/>
    </xf>
    <xf numFmtId="0" fontId="61" fillId="0" borderId="0" xfId="0" quotePrefix="1" applyFont="1" applyAlignment="1">
      <alignment horizontal="left" vertical="top"/>
    </xf>
    <xf numFmtId="0" fontId="62" fillId="0" borderId="0" xfId="0" applyFont="1" applyAlignment="1">
      <alignment horizontal="right"/>
    </xf>
    <xf numFmtId="170" fontId="30" fillId="5" borderId="24" xfId="0" applyNumberFormat="1" applyFont="1" applyFill="1" applyBorder="1" applyAlignment="1">
      <alignment horizontal="center" vertical="center"/>
    </xf>
    <xf numFmtId="170" fontId="61" fillId="5" borderId="29" xfId="0" applyNumberFormat="1" applyFont="1" applyFill="1" applyBorder="1" applyAlignment="1">
      <alignment horizontal="center" vertical="center"/>
    </xf>
    <xf numFmtId="167" fontId="61" fillId="5" borderId="24" xfId="2"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61" fillId="2" borderId="31" xfId="0" applyNumberFormat="1" applyFont="1" applyFill="1" applyBorder="1" applyAlignment="1">
      <alignment horizontal="center" vertical="center"/>
    </xf>
    <xf numFmtId="167" fontId="61" fillId="2" borderId="25" xfId="2"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61" fillId="5" borderId="31" xfId="0" applyNumberFormat="1" applyFont="1" applyFill="1" applyBorder="1" applyAlignment="1">
      <alignment horizontal="center" vertical="center"/>
    </xf>
    <xf numFmtId="167" fontId="61" fillId="5" borderId="25" xfId="2"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61" fillId="2" borderId="34" xfId="0" applyNumberFormat="1" applyFont="1" applyFill="1" applyBorder="1" applyAlignment="1">
      <alignment horizontal="center" vertical="center"/>
    </xf>
    <xf numFmtId="167" fontId="61" fillId="2" borderId="26" xfId="2" applyNumberFormat="1" applyFont="1" applyFill="1" applyBorder="1" applyAlignment="1">
      <alignment horizontal="center" vertical="center"/>
    </xf>
    <xf numFmtId="170" fontId="70" fillId="5" borderId="23" xfId="0" applyNumberFormat="1" applyFont="1" applyFill="1" applyBorder="1" applyAlignment="1">
      <alignment horizontal="center" vertical="center"/>
    </xf>
    <xf numFmtId="170" fontId="70" fillId="5" borderId="40" xfId="0" applyNumberFormat="1" applyFont="1" applyFill="1" applyBorder="1" applyAlignment="1">
      <alignment horizontal="center" vertical="center"/>
    </xf>
    <xf numFmtId="167" fontId="60" fillId="5" borderId="23" xfId="2" applyNumberFormat="1" applyFont="1" applyFill="1" applyBorder="1" applyAlignment="1">
      <alignment horizontal="center" vertical="center"/>
    </xf>
    <xf numFmtId="0" fontId="72"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71"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40" fillId="8" borderId="93" xfId="0" applyNumberFormat="1" applyFont="1" applyFill="1" applyBorder="1" applyAlignment="1">
      <alignment horizontal="center" vertical="center"/>
    </xf>
    <xf numFmtId="174" fontId="40" fillId="8" borderId="93" xfId="0" applyNumberFormat="1" applyFont="1" applyFill="1" applyBorder="1" applyAlignment="1">
      <alignment horizontal="center" vertical="center" wrapText="1"/>
    </xf>
    <xf numFmtId="0" fontId="71"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0" fillId="4" borderId="87" xfId="0" applyFont="1" applyFill="1" applyBorder="1"/>
    <xf numFmtId="43" fontId="70" fillId="4" borderId="87" xfId="1" applyFont="1" applyFill="1" applyBorder="1"/>
    <xf numFmtId="43" fontId="70" fillId="4" borderId="87" xfId="0" applyNumberFormat="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0" fillId="0" borderId="0" xfId="0" applyFont="1"/>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49" fillId="0" borderId="0" xfId="0" applyNumberFormat="1" applyFont="1"/>
    <xf numFmtId="0" fontId="76" fillId="0" borderId="0" xfId="0" applyFont="1"/>
    <xf numFmtId="0" fontId="77" fillId="0" borderId="0" xfId="0" applyFont="1" applyAlignment="1">
      <alignment vertical="center"/>
    </xf>
    <xf numFmtId="49" fontId="76" fillId="0" borderId="0" xfId="0" applyNumberFormat="1" applyFont="1" applyAlignment="1">
      <alignment horizontal="center"/>
    </xf>
    <xf numFmtId="1" fontId="76" fillId="0" borderId="0" xfId="0" applyNumberFormat="1" applyFont="1" applyAlignment="1">
      <alignment horizontal="center"/>
    </xf>
    <xf numFmtId="49" fontId="76" fillId="0" borderId="0" xfId="0" applyNumberFormat="1" applyFont="1" applyAlignment="1">
      <alignment horizontal="left"/>
    </xf>
    <xf numFmtId="1" fontId="76" fillId="0" borderId="0" xfId="0" applyNumberFormat="1" applyFont="1" applyAlignment="1">
      <alignment horizontal="left"/>
    </xf>
    <xf numFmtId="165" fontId="76" fillId="0" borderId="0" xfId="0" applyNumberFormat="1" applyFont="1" applyAlignment="1">
      <alignment horizontal="center"/>
    </xf>
    <xf numFmtId="10" fontId="76"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4" fontId="31" fillId="3" borderId="0" xfId="0" applyNumberFormat="1" applyFont="1" applyFill="1" applyAlignment="1">
      <alignment vertical="center"/>
    </xf>
    <xf numFmtId="174" fontId="35" fillId="8" borderId="57" xfId="0" applyNumberFormat="1" applyFont="1" applyFill="1" applyBorder="1" applyAlignment="1">
      <alignmen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0" fontId="70" fillId="4" borderId="0" xfId="0" applyFont="1" applyFill="1" applyBorder="1"/>
    <xf numFmtId="43" fontId="70" fillId="4" borderId="0" xfId="1" applyFont="1" applyFill="1" applyBorder="1"/>
    <xf numFmtId="0" fontId="30" fillId="0" borderId="0" xfId="0" applyFont="1" applyBorder="1" applyAlignment="1">
      <alignment vertical="center"/>
    </xf>
    <xf numFmtId="43" fontId="30" fillId="0" borderId="0" xfId="1" applyFont="1" applyBorder="1" applyAlignment="1">
      <alignment vertical="center"/>
    </xf>
    <xf numFmtId="0" fontId="30" fillId="2" borderId="0" xfId="0" applyFont="1" applyFill="1" applyBorder="1"/>
    <xf numFmtId="43" fontId="30" fillId="2" borderId="0" xfId="1" applyFont="1" applyFill="1" applyBorder="1"/>
    <xf numFmtId="4" fontId="35" fillId="8" borderId="120" xfId="0" applyNumberFormat="1" applyFont="1" applyFill="1" applyBorder="1" applyAlignment="1">
      <alignment vertical="center"/>
    </xf>
    <xf numFmtId="4" fontId="71"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71" fillId="8" borderId="120" xfId="2" applyNumberFormat="1" applyFont="1" applyFill="1" applyBorder="1" applyAlignment="1">
      <alignment vertical="center"/>
    </xf>
    <xf numFmtId="0" fontId="71"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36"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3" fillId="0" borderId="0" xfId="0" applyFont="1" applyAlignment="1">
      <alignment horizontal="center" vertical="center"/>
    </xf>
    <xf numFmtId="0" fontId="78" fillId="2" borderId="0" xfId="0" applyFont="1" applyFill="1" applyAlignment="1">
      <alignment horizontal="left" vertical="center" wrapText="1"/>
    </xf>
    <xf numFmtId="0" fontId="70" fillId="0" borderId="30" xfId="0" applyFont="1" applyBorder="1"/>
    <xf numFmtId="10" fontId="30" fillId="0" borderId="31" xfId="2" applyNumberFormat="1" applyFont="1" applyBorder="1"/>
    <xf numFmtId="0" fontId="70" fillId="4" borderId="133" xfId="0" applyFont="1" applyFill="1" applyBorder="1"/>
    <xf numFmtId="10" fontId="70" fillId="4" borderId="134" xfId="2" applyNumberFormat="1" applyFont="1" applyFill="1" applyBorder="1"/>
    <xf numFmtId="0" fontId="70" fillId="0" borderId="30" xfId="0" applyFont="1" applyBorder="1" applyAlignment="1">
      <alignment vertical="center" wrapText="1"/>
    </xf>
    <xf numFmtId="43" fontId="30" fillId="0" borderId="31" xfId="1" applyFont="1" applyBorder="1"/>
    <xf numFmtId="43" fontId="70" fillId="4" borderId="134" xfId="1" applyFont="1" applyFill="1" applyBorder="1"/>
    <xf numFmtId="0" fontId="30" fillId="0" borderId="31" xfId="0" applyFont="1" applyBorder="1"/>
    <xf numFmtId="0" fontId="70" fillId="2" borderId="30" xfId="0" applyFont="1" applyFill="1" applyBorder="1"/>
    <xf numFmtId="43" fontId="30" fillId="2" borderId="31" xfId="1" applyFont="1" applyFill="1" applyBorder="1"/>
    <xf numFmtId="0" fontId="70" fillId="4" borderId="135" xfId="0" applyFont="1" applyFill="1" applyBorder="1"/>
    <xf numFmtId="0" fontId="70" fillId="4" borderId="119" xfId="0" applyFont="1" applyFill="1" applyBorder="1"/>
    <xf numFmtId="43" fontId="70" fillId="4" borderId="119" xfId="1" applyFont="1" applyFill="1" applyBorder="1"/>
    <xf numFmtId="43" fontId="70" fillId="4" borderId="136" xfId="1" applyFont="1" applyFill="1" applyBorder="1"/>
    <xf numFmtId="0" fontId="70" fillId="0" borderId="30" xfId="0" applyFont="1" applyBorder="1" applyAlignment="1">
      <alignment wrapText="1"/>
    </xf>
    <xf numFmtId="43" fontId="30" fillId="0" borderId="31" xfId="1" applyFont="1" applyBorder="1" applyAlignment="1">
      <alignment vertical="center"/>
    </xf>
    <xf numFmtId="43" fontId="30" fillId="0" borderId="138" xfId="1" applyFont="1" applyBorder="1"/>
    <xf numFmtId="0" fontId="30" fillId="0" borderId="30" xfId="0" applyFont="1" applyBorder="1"/>
    <xf numFmtId="0" fontId="70" fillId="4" borderId="30" xfId="0" applyFont="1" applyFill="1" applyBorder="1"/>
    <xf numFmtId="43" fontId="70" fillId="4" borderId="31" xfId="1" applyFont="1" applyFill="1" applyBorder="1"/>
    <xf numFmtId="0" fontId="70"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0" fillId="0" borderId="138" xfId="2" applyFont="1" applyBorder="1"/>
    <xf numFmtId="10" fontId="30" fillId="0" borderId="138" xfId="2" applyNumberFormat="1" applyFont="1" applyBorder="1"/>
    <xf numFmtId="0" fontId="35" fillId="8" borderId="140"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41" xfId="0" applyFont="1" applyFill="1" applyBorder="1" applyAlignment="1">
      <alignment horizontal="center" vertical="center" wrapText="1"/>
    </xf>
    <xf numFmtId="0" fontId="60" fillId="4" borderId="143" xfId="0" applyFont="1" applyFill="1" applyBorder="1" applyAlignment="1">
      <alignment horizontal="center" vertical="center"/>
    </xf>
    <xf numFmtId="4" fontId="60" fillId="4" borderId="144" xfId="0" applyNumberFormat="1" applyFont="1" applyFill="1" applyBorder="1" applyAlignment="1">
      <alignment horizontal="center" vertical="center"/>
    </xf>
    <xf numFmtId="0" fontId="30" fillId="0" borderId="0" xfId="0" applyFont="1" applyAlignment="1">
      <alignment vertical="center"/>
    </xf>
    <xf numFmtId="0" fontId="79" fillId="0" borderId="0" xfId="0" applyFont="1"/>
    <xf numFmtId="0" fontId="79" fillId="0" borderId="0" xfId="0" applyFont="1" applyAlignment="1">
      <alignment horizontal="right"/>
    </xf>
    <xf numFmtId="0" fontId="80" fillId="4" borderId="142" xfId="0" applyFont="1" applyFill="1" applyBorder="1" applyAlignment="1">
      <alignment vertical="center"/>
    </xf>
    <xf numFmtId="0" fontId="27" fillId="4" borderId="49" xfId="0" applyFont="1" applyFill="1" applyBorder="1" applyAlignment="1">
      <alignment vertical="center" wrapText="1"/>
    </xf>
    <xf numFmtId="0" fontId="80" fillId="0" borderId="142" xfId="0" applyFont="1" applyFill="1" applyBorder="1" applyAlignment="1">
      <alignment vertical="center" wrapText="1"/>
    </xf>
    <xf numFmtId="0" fontId="61" fillId="0" borderId="143" xfId="0" applyFont="1" applyFill="1" applyBorder="1" applyAlignment="1">
      <alignment horizontal="center" vertical="center"/>
    </xf>
    <xf numFmtId="0" fontId="60" fillId="0" borderId="143" xfId="0" applyFont="1" applyFill="1" applyBorder="1" applyAlignment="1">
      <alignment horizontal="center" vertical="center"/>
    </xf>
    <xf numFmtId="4" fontId="61" fillId="0" borderId="144" xfId="0" applyNumberFormat="1" applyFont="1" applyFill="1" applyBorder="1" applyAlignment="1">
      <alignment horizontal="center" vertical="center"/>
    </xf>
    <xf numFmtId="0" fontId="74" fillId="0" borderId="0" xfId="0" applyFont="1"/>
    <xf numFmtId="2" fontId="74" fillId="0" borderId="0" xfId="0" applyNumberFormat="1" applyFont="1" applyAlignment="1">
      <alignment horizontal="center" vertical="center" wrapText="1"/>
    </xf>
    <xf numFmtId="2" fontId="74" fillId="0" borderId="0" xfId="0" quotePrefix="1" applyNumberFormat="1" applyFont="1" applyAlignment="1">
      <alignment horizontal="center" vertical="center" wrapText="1"/>
    </xf>
    <xf numFmtId="17" fontId="74" fillId="0" borderId="0" xfId="0" quotePrefix="1" applyNumberFormat="1" applyFont="1" applyAlignment="1">
      <alignment horizontal="center" vertical="center" wrapText="1"/>
    </xf>
    <xf numFmtId="0" fontId="74" fillId="0" borderId="0" xfId="0" quotePrefix="1" applyFont="1" applyAlignment="1">
      <alignment horizontal="center" vertical="center" wrapText="1"/>
    </xf>
    <xf numFmtId="2" fontId="74" fillId="0" borderId="0" xfId="0" applyNumberFormat="1" applyFont="1" applyAlignment="1">
      <alignment horizontal="left"/>
    </xf>
    <xf numFmtId="2" fontId="73" fillId="0" borderId="0" xfId="0" applyNumberFormat="1" applyFont="1" applyAlignment="1">
      <alignment horizontal="center"/>
    </xf>
    <xf numFmtId="2" fontId="74" fillId="0" borderId="0" xfId="0" applyNumberFormat="1" applyFont="1" applyAlignment="1">
      <alignment horizontal="center"/>
    </xf>
    <xf numFmtId="43" fontId="74" fillId="0" borderId="0" xfId="1" applyFont="1" applyAlignment="1">
      <alignment horizontal="left"/>
    </xf>
    <xf numFmtId="0" fontId="74" fillId="0" borderId="0" xfId="0" applyFont="1" applyAlignment="1">
      <alignment vertical="top" wrapText="1"/>
    </xf>
    <xf numFmtId="166" fontId="49" fillId="0" borderId="0" xfId="0" applyNumberFormat="1" applyFont="1" applyAlignment="1">
      <alignment vertical="center"/>
    </xf>
    <xf numFmtId="172" fontId="66" fillId="7" borderId="0" xfId="3" applyNumberFormat="1" applyFont="1" applyFill="1" applyAlignment="1">
      <alignment horizontal="center"/>
    </xf>
    <xf numFmtId="175" fontId="64" fillId="0" borderId="0" xfId="0" applyNumberFormat="1" applyFont="1" applyAlignment="1">
      <alignment vertical="center"/>
    </xf>
    <xf numFmtId="0" fontId="81" fillId="0" borderId="0" xfId="0" applyFont="1"/>
    <xf numFmtId="176" fontId="21" fillId="0" borderId="39" xfId="2" applyNumberFormat="1" applyFont="1" applyBorder="1" applyAlignment="1">
      <alignment horizontal="right" vertical="center"/>
    </xf>
    <xf numFmtId="0" fontId="0" fillId="0" borderId="0" xfId="0"/>
    <xf numFmtId="0" fontId="82" fillId="0" borderId="0" xfId="0" applyFont="1"/>
    <xf numFmtId="166" fontId="64" fillId="7" borderId="0" xfId="0" applyNumberFormat="1" applyFont="1" applyFill="1"/>
    <xf numFmtId="0" fontId="82" fillId="0" borderId="0" xfId="0" applyFont="1" applyAlignment="1">
      <alignment horizontal="center"/>
    </xf>
    <xf numFmtId="175" fontId="82" fillId="0" borderId="0" xfId="0" applyNumberFormat="1" applyFont="1" applyAlignment="1">
      <alignment horizontal="center"/>
    </xf>
    <xf numFmtId="17" fontId="51" fillId="0" borderId="0" xfId="0" applyNumberFormat="1" applyFont="1" applyAlignment="1">
      <alignment horizontal="center" vertical="center"/>
    </xf>
    <xf numFmtId="2" fontId="51" fillId="0" borderId="0" xfId="0" applyNumberFormat="1" applyFont="1" applyAlignment="1">
      <alignment horizontal="center" vertical="center"/>
    </xf>
    <xf numFmtId="2" fontId="51"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1" fillId="3" borderId="91" xfId="0" applyFont="1" applyFill="1" applyBorder="1" applyAlignment="1">
      <alignment vertical="center"/>
    </xf>
    <xf numFmtId="174" fontId="31"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0" fillId="4" borderId="133" xfId="0" applyFont="1" applyFill="1" applyBorder="1" applyAlignment="1">
      <alignment wrapText="1"/>
    </xf>
    <xf numFmtId="0" fontId="83" fillId="0" borderId="0" xfId="0" applyFont="1" applyAlignment="1">
      <alignment vertical="center"/>
    </xf>
    <xf numFmtId="49" fontId="63" fillId="0" borderId="0" xfId="0" applyNumberFormat="1" applyFont="1" applyAlignment="1">
      <alignment horizontal="right"/>
    </xf>
    <xf numFmtId="1" fontId="63" fillId="0" borderId="0" xfId="0" applyNumberFormat="1" applyFont="1" applyAlignment="1">
      <alignment horizontal="right"/>
    </xf>
    <xf numFmtId="0" fontId="63" fillId="0" borderId="0" xfId="0" applyFont="1" applyAlignment="1">
      <alignment horizontal="right"/>
    </xf>
    <xf numFmtId="1" fontId="29"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0" fontId="84" fillId="0" borderId="0" xfId="0" applyFont="1"/>
    <xf numFmtId="175" fontId="84" fillId="0" borderId="0" xfId="0" applyNumberFormat="1" applyFont="1"/>
    <xf numFmtId="175" fontId="84" fillId="0" borderId="0" xfId="0" applyNumberFormat="1" applyFont="1" applyAlignment="1">
      <alignment horizontal="center"/>
    </xf>
    <xf numFmtId="0" fontId="84" fillId="0" borderId="0" xfId="0" applyFont="1" applyAlignment="1">
      <alignment horizontal="center"/>
    </xf>
    <xf numFmtId="0" fontId="27" fillId="4" borderId="0" xfId="0" applyFont="1" applyFill="1" applyBorder="1" applyAlignment="1">
      <alignment vertical="center"/>
    </xf>
    <xf numFmtId="167" fontId="32"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3" fillId="0" borderId="0" xfId="0" applyNumberFormat="1" applyFont="1"/>
    <xf numFmtId="9" fontId="21" fillId="4" borderId="78" xfId="2" applyFont="1" applyFill="1" applyBorder="1" applyAlignment="1">
      <alignment horizontal="center" vertical="center"/>
    </xf>
    <xf numFmtId="0" fontId="30" fillId="0" borderId="0" xfId="0" applyFont="1" applyAlignment="1">
      <alignment vertical="center" wrapText="1"/>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4" fillId="0" borderId="0" xfId="0" applyFont="1" applyAlignment="1">
      <alignment horizontal="right"/>
    </xf>
    <xf numFmtId="0" fontId="85" fillId="0" borderId="0" xfId="0" applyFont="1"/>
    <xf numFmtId="0" fontId="86" fillId="0" borderId="0" xfId="0" applyFont="1" applyAlignment="1">
      <alignment vertical="center"/>
    </xf>
    <xf numFmtId="0" fontId="86" fillId="0" borderId="0" xfId="0" applyFont="1"/>
    <xf numFmtId="2" fontId="55" fillId="0" borderId="0" xfId="3" applyNumberFormat="1" applyFont="1" applyAlignment="1">
      <alignment horizontal="right"/>
    </xf>
    <xf numFmtId="0" fontId="59"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35" fillId="0" borderId="0" xfId="0" quotePrefix="1" applyFont="1" applyFill="1" applyBorder="1" applyAlignment="1">
      <alignment horizontal="left" vertical="center"/>
    </xf>
    <xf numFmtId="168" fontId="35" fillId="0" borderId="0" xfId="0" applyNumberFormat="1" applyFont="1" applyFill="1" applyBorder="1" applyAlignment="1">
      <alignment horizontal="right" vertical="center"/>
    </xf>
    <xf numFmtId="168" fontId="35" fillId="0" borderId="0" xfId="0" applyNumberFormat="1" applyFont="1" applyFill="1" applyBorder="1" applyAlignment="1">
      <alignment horizontal="left" vertical="center"/>
    </xf>
    <xf numFmtId="0" fontId="35" fillId="0" borderId="0" xfId="2" applyNumberFormat="1" applyFont="1" applyFill="1" applyBorder="1" applyAlignment="1">
      <alignment horizontal="left" vertical="center"/>
    </xf>
    <xf numFmtId="0" fontId="35" fillId="0" borderId="0" xfId="2" applyNumberFormat="1" applyFont="1" applyFill="1" applyBorder="1" applyAlignment="1">
      <alignment horizontal="center" vertical="center"/>
    </xf>
    <xf numFmtId="4" fontId="35" fillId="0" borderId="0" xfId="0" applyNumberFormat="1" applyFont="1" applyFill="1" applyBorder="1" applyAlignment="1">
      <alignment horizontal="center" vertical="center"/>
    </xf>
    <xf numFmtId="0" fontId="35" fillId="0" borderId="0" xfId="0" applyFont="1" applyFill="1" applyBorder="1" applyAlignment="1">
      <alignment horizontal="center" vertical="center"/>
    </xf>
    <xf numFmtId="0" fontId="70" fillId="4" borderId="133" xfId="0" applyFont="1" applyFill="1" applyBorder="1" applyAlignment="1"/>
    <xf numFmtId="43" fontId="30" fillId="0" borderId="145" xfId="0" applyNumberFormat="1" applyFont="1" applyBorder="1"/>
    <xf numFmtId="43" fontId="70" fillId="4" borderId="146" xfId="0" applyNumberFormat="1" applyFont="1" applyFill="1" applyBorder="1"/>
    <xf numFmtId="43" fontId="30" fillId="0" borderId="147" xfId="0" applyNumberFormat="1" applyFont="1" applyBorder="1"/>
    <xf numFmtId="43" fontId="30" fillId="0" borderId="148" xfId="0" applyNumberFormat="1" applyFont="1" applyBorder="1"/>
    <xf numFmtId="43" fontId="70" fillId="4" borderId="149" xfId="0" applyNumberFormat="1" applyFont="1" applyFill="1" applyBorder="1"/>
    <xf numFmtId="43" fontId="30" fillId="0" borderId="150" xfId="0" applyNumberFormat="1" applyFont="1" applyBorder="1"/>
    <xf numFmtId="0" fontId="70" fillId="0" borderId="30" xfId="0" applyFont="1" applyBorder="1" applyAlignment="1">
      <alignment vertical="center"/>
    </xf>
    <xf numFmtId="43" fontId="30" fillId="0" borderId="0" xfId="0" applyNumberFormat="1" applyFont="1" applyBorder="1" applyAlignment="1">
      <alignment vertical="center"/>
    </xf>
    <xf numFmtId="43" fontId="30" fillId="0" borderId="147" xfId="0" applyNumberFormat="1" applyFont="1" applyBorder="1" applyAlignment="1">
      <alignment vertical="center"/>
    </xf>
    <xf numFmtId="43" fontId="30" fillId="0" borderId="150" xfId="0" applyNumberFormat="1" applyFont="1" applyBorder="1" applyAlignment="1">
      <alignment vertical="center"/>
    </xf>
    <xf numFmtId="10" fontId="30" fillId="0" borderId="31" xfId="2" applyNumberFormat="1" applyFont="1" applyBorder="1" applyAlignment="1">
      <alignment vertical="center"/>
    </xf>
    <xf numFmtId="0" fontId="70" fillId="4" borderId="133" xfId="0" applyFont="1" applyFill="1" applyBorder="1" applyAlignment="1">
      <alignment vertical="center"/>
    </xf>
    <xf numFmtId="0" fontId="70" fillId="4" borderId="87" xfId="0" applyFont="1" applyFill="1" applyBorder="1" applyAlignment="1">
      <alignment vertical="center"/>
    </xf>
    <xf numFmtId="43" fontId="70" fillId="4" borderId="87" xfId="0" applyNumberFormat="1" applyFont="1" applyFill="1" applyBorder="1" applyAlignment="1">
      <alignment vertical="center"/>
    </xf>
    <xf numFmtId="43" fontId="70" fillId="4" borderId="146" xfId="0" applyNumberFormat="1" applyFont="1" applyFill="1" applyBorder="1" applyAlignment="1">
      <alignment vertical="center"/>
    </xf>
    <xf numFmtId="43" fontId="70" fillId="4" borderId="149" xfId="0" applyNumberFormat="1" applyFont="1" applyFill="1" applyBorder="1" applyAlignment="1">
      <alignment vertical="center"/>
    </xf>
    <xf numFmtId="10" fontId="70" fillId="4" borderId="134" xfId="2" applyNumberFormat="1" applyFont="1" applyFill="1" applyBorder="1" applyAlignment="1">
      <alignment vertical="center"/>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59"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59"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61" fillId="0" borderId="78" xfId="1" applyFont="1" applyBorder="1" applyAlignment="1">
      <alignment vertical="center" wrapText="1"/>
    </xf>
    <xf numFmtId="0" fontId="61"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174" fontId="0" fillId="0" borderId="0" xfId="0" applyNumberFormat="1" applyAlignment="1">
      <alignment horizontal="right"/>
    </xf>
    <xf numFmtId="43" fontId="64" fillId="0" borderId="0" xfId="1" applyFont="1"/>
    <xf numFmtId="43" fontId="64" fillId="0" borderId="0" xfId="1" applyFont="1" applyAlignment="1">
      <alignment vertical="center"/>
    </xf>
    <xf numFmtId="0" fontId="27" fillId="2" borderId="0" xfId="0" applyFont="1" applyFill="1" applyBorder="1" applyAlignment="1">
      <alignment vertical="center"/>
    </xf>
    <xf numFmtId="43" fontId="27" fillId="2" borderId="0" xfId="0" applyNumberFormat="1" applyFont="1" applyFill="1" applyBorder="1" applyAlignment="1">
      <alignment vertical="center"/>
    </xf>
    <xf numFmtId="167" fontId="32" fillId="2" borderId="0" xfId="2" applyNumberFormat="1" applyFont="1" applyFill="1" applyBorder="1" applyAlignment="1">
      <alignment vertical="center"/>
    </xf>
    <xf numFmtId="170" fontId="27" fillId="2" borderId="0" xfId="0" applyNumberFormat="1" applyFont="1" applyFill="1" applyBorder="1" applyAlignment="1">
      <alignment vertical="center"/>
    </xf>
    <xf numFmtId="49" fontId="43" fillId="0" borderId="0" xfId="0" applyNumberFormat="1" applyFont="1" applyAlignment="1">
      <alignment horizontal="center"/>
    </xf>
    <xf numFmtId="0" fontId="43" fillId="0" borderId="0" xfId="0" applyFont="1" applyAlignment="1">
      <alignment horizontal="center"/>
    </xf>
    <xf numFmtId="2" fontId="43" fillId="0" borderId="0" xfId="0" applyNumberFormat="1" applyFont="1"/>
    <xf numFmtId="10" fontId="43" fillId="0" borderId="0" xfId="2" applyNumberFormat="1" applyFont="1"/>
    <xf numFmtId="0" fontId="27" fillId="2" borderId="0" xfId="0" applyFont="1" applyFill="1" applyBorder="1" applyAlignment="1">
      <alignment vertical="center" wrapText="1"/>
    </xf>
    <xf numFmtId="2" fontId="64" fillId="0" borderId="0" xfId="0" applyNumberFormat="1" applyFont="1"/>
    <xf numFmtId="0" fontId="64" fillId="0" borderId="0" xfId="0" applyFont="1" applyAlignment="1">
      <alignment horizontal="center" vertical="center"/>
    </xf>
    <xf numFmtId="166" fontId="64" fillId="0" borderId="0" xfId="0" applyNumberFormat="1" applyFont="1" applyAlignment="1">
      <alignment vertical="center"/>
    </xf>
    <xf numFmtId="166" fontId="64" fillId="0" borderId="0" xfId="0" applyNumberFormat="1" applyFont="1" applyAlignment="1">
      <alignment horizontal="right" vertical="center"/>
    </xf>
    <xf numFmtId="166" fontId="64" fillId="0" borderId="0" xfId="7" applyNumberFormat="1" applyFont="1" applyAlignment="1">
      <alignment vertical="center"/>
    </xf>
    <xf numFmtId="0" fontId="64" fillId="0" borderId="0" xfId="0" applyFont="1" applyAlignment="1">
      <alignment horizontal="right" vertical="center"/>
    </xf>
    <xf numFmtId="0" fontId="0" fillId="0" borderId="0" xfId="0" applyFont="1" applyAlignment="1">
      <alignment horizontal="center" vertical="center"/>
    </xf>
    <xf numFmtId="43" fontId="35" fillId="8" borderId="151" xfId="1" applyFont="1" applyFill="1" applyBorder="1" applyAlignment="1">
      <alignment horizontal="center" vertical="center" wrapText="1"/>
    </xf>
    <xf numFmtId="0" fontId="35" fillId="8" borderId="152" xfId="0" applyFont="1" applyFill="1" applyBorder="1" applyAlignment="1">
      <alignment horizontal="center" vertical="center" wrapText="1"/>
    </xf>
    <xf numFmtId="0" fontId="35" fillId="8" borderId="0" xfId="0" applyFont="1" applyFill="1" applyBorder="1" applyAlignment="1">
      <alignment horizontal="center" vertical="center" wrapText="1"/>
    </xf>
    <xf numFmtId="0" fontId="80" fillId="0" borderId="153" xfId="0" applyFont="1" applyFill="1" applyBorder="1" applyAlignment="1">
      <alignment vertical="center" wrapText="1"/>
    </xf>
    <xf numFmtId="0" fontId="61" fillId="0" borderId="154" xfId="0" applyFont="1" applyFill="1" applyBorder="1" applyAlignment="1">
      <alignment horizontal="center" vertical="center"/>
    </xf>
    <xf numFmtId="4" fontId="61" fillId="0" borderId="155"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56" xfId="0" applyNumberFormat="1" applyFont="1" applyFill="1" applyBorder="1" applyAlignment="1">
      <alignment horizontal="center" vertical="center" wrapText="1"/>
    </xf>
    <xf numFmtId="169" fontId="35" fillId="8" borderId="156" xfId="0" applyNumberFormat="1" applyFont="1" applyFill="1" applyBorder="1" applyAlignment="1">
      <alignment horizontal="center" vertical="center" wrapText="1"/>
    </xf>
    <xf numFmtId="0" fontId="35" fillId="8" borderId="156" xfId="0" applyFont="1" applyFill="1" applyBorder="1" applyAlignment="1">
      <alignment horizontal="center" vertical="center" wrapText="1"/>
    </xf>
    <xf numFmtId="0" fontId="35" fillId="8" borderId="157" xfId="0" applyFont="1" applyFill="1" applyBorder="1" applyAlignment="1">
      <alignment horizontal="center" vertical="center" wrapText="1"/>
    </xf>
    <xf numFmtId="0" fontId="35" fillId="8" borderId="158" xfId="0" quotePrefix="1" applyFont="1" applyFill="1" applyBorder="1" applyAlignment="1">
      <alignment horizontal="left" vertical="center"/>
    </xf>
    <xf numFmtId="168" fontId="35" fillId="8" borderId="159" xfId="0" applyNumberFormat="1" applyFont="1" applyFill="1" applyBorder="1" applyAlignment="1">
      <alignment horizontal="right" vertical="center"/>
    </xf>
    <xf numFmtId="168" fontId="35" fillId="8" borderId="159" xfId="0" applyNumberFormat="1" applyFont="1" applyFill="1" applyBorder="1" applyAlignment="1">
      <alignment horizontal="left" vertical="center"/>
    </xf>
    <xf numFmtId="0" fontId="35" fillId="8" borderId="159" xfId="2" applyNumberFormat="1" applyFont="1" applyFill="1" applyBorder="1" applyAlignment="1">
      <alignment horizontal="left" vertical="center"/>
    </xf>
    <xf numFmtId="0" fontId="35" fillId="8" borderId="160" xfId="2" applyNumberFormat="1" applyFont="1" applyFill="1" applyBorder="1" applyAlignment="1">
      <alignment horizontal="center" vertical="center"/>
    </xf>
    <xf numFmtId="4" fontId="35" fillId="8" borderId="161" xfId="0" applyNumberFormat="1" applyFont="1" applyFill="1" applyBorder="1" applyAlignment="1">
      <alignment horizontal="center" vertical="center"/>
    </xf>
    <xf numFmtId="0" fontId="35" fillId="8" borderId="161" xfId="0" applyFont="1" applyFill="1" applyBorder="1" applyAlignment="1">
      <alignment horizontal="center" vertical="center"/>
    </xf>
    <xf numFmtId="0" fontId="59" fillId="2" borderId="161" xfId="0" quotePrefix="1" applyFont="1" applyFill="1" applyBorder="1" applyAlignment="1">
      <alignment vertical="center" wrapText="1"/>
    </xf>
    <xf numFmtId="168" fontId="30" fillId="2" borderId="161" xfId="0" applyNumberFormat="1" applyFont="1" applyFill="1" applyBorder="1" applyAlignment="1">
      <alignment horizontal="center" vertical="center" wrapText="1"/>
    </xf>
    <xf numFmtId="0" fontId="30" fillId="2" borderId="161" xfId="2" applyNumberFormat="1" applyFont="1" applyFill="1" applyBorder="1" applyAlignment="1">
      <alignment horizontal="center" vertical="center" wrapText="1"/>
    </xf>
    <xf numFmtId="2" fontId="30" fillId="2" borderId="161" xfId="2" applyNumberFormat="1" applyFont="1" applyFill="1" applyBorder="1" applyAlignment="1">
      <alignment horizontal="center" vertical="center" wrapText="1"/>
    </xf>
    <xf numFmtId="4" fontId="30" fillId="2" borderId="161" xfId="0" applyNumberFormat="1" applyFont="1" applyFill="1" applyBorder="1" applyAlignment="1">
      <alignment horizontal="center" vertical="center" wrapText="1"/>
    </xf>
    <xf numFmtId="0" fontId="30" fillId="2" borderId="161" xfId="0" applyFont="1" applyFill="1" applyBorder="1" applyAlignment="1">
      <alignment horizontal="center" vertical="center" wrapText="1"/>
    </xf>
    <xf numFmtId="0" fontId="29" fillId="0" borderId="0" xfId="0" applyFont="1" applyAlignment="1">
      <alignment horizontal="left" vertical="center"/>
    </xf>
    <xf numFmtId="0" fontId="0" fillId="0" borderId="0" xfId="0" applyFont="1" applyAlignment="1">
      <alignment vertical="center" wrapText="1"/>
    </xf>
    <xf numFmtId="0" fontId="84" fillId="0" borderId="0" xfId="0" applyFont="1" applyAlignment="1">
      <alignment vertical="center"/>
    </xf>
    <xf numFmtId="174" fontId="88" fillId="0" borderId="93" xfId="0" applyNumberFormat="1" applyFont="1" applyBorder="1"/>
    <xf numFmtId="174" fontId="88" fillId="11" borderId="93" xfId="0" applyNumberFormat="1" applyFont="1" applyFill="1" applyBorder="1"/>
    <xf numFmtId="174" fontId="88" fillId="0" borderId="93" xfId="0" applyNumberFormat="1" applyFont="1" applyBorder="1" applyAlignment="1">
      <alignment horizontal="center"/>
    </xf>
    <xf numFmtId="174" fontId="88" fillId="11" borderId="93" xfId="0" applyNumberFormat="1" applyFont="1" applyFill="1" applyBorder="1" applyAlignment="1">
      <alignment horizontal="center"/>
    </xf>
    <xf numFmtId="0" fontId="4" fillId="0" borderId="0" xfId="0" applyFont="1" applyAlignment="1">
      <alignment horizontal="center" vertical="center" wrapText="1"/>
    </xf>
    <xf numFmtId="0" fontId="88" fillId="0" borderId="93" xfId="0" applyFont="1" applyBorder="1" applyAlignment="1">
      <alignment horizontal="center"/>
    </xf>
    <xf numFmtId="0" fontId="12" fillId="0" borderId="0" xfId="0" applyFont="1" applyAlignment="1">
      <alignment horizontal="center" vertical="center"/>
    </xf>
    <xf numFmtId="0" fontId="8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0" fillId="5" borderId="38" xfId="0" applyFont="1" applyFill="1" applyBorder="1" applyAlignment="1">
      <alignment horizontal="left" vertical="center"/>
    </xf>
    <xf numFmtId="0" fontId="60"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36" fillId="0" borderId="0" xfId="0" applyFont="1" applyAlignment="1">
      <alignment horizontal="left" wrapText="1"/>
    </xf>
    <xf numFmtId="0" fontId="12" fillId="2" borderId="0" xfId="0" applyFont="1" applyFill="1" applyAlignment="1">
      <alignment horizontal="center" vertical="center" wrapText="1"/>
    </xf>
    <xf numFmtId="0" fontId="60" fillId="5" borderId="27" xfId="0" applyFont="1" applyFill="1" applyBorder="1" applyAlignment="1">
      <alignment horizontal="left" vertical="center"/>
    </xf>
    <xf numFmtId="0" fontId="60" fillId="5" borderId="29" xfId="0" applyFont="1" applyFill="1" applyBorder="1" applyAlignment="1">
      <alignment horizontal="left" vertical="center"/>
    </xf>
    <xf numFmtId="0" fontId="60" fillId="2" borderId="30" xfId="0" applyFont="1" applyFill="1" applyBorder="1" applyAlignment="1">
      <alignment horizontal="left" vertical="center"/>
    </xf>
    <xf numFmtId="0" fontId="60" fillId="2" borderId="31" xfId="0" applyFont="1" applyFill="1" applyBorder="1" applyAlignment="1">
      <alignment horizontal="left" vertical="center"/>
    </xf>
    <xf numFmtId="0" fontId="60" fillId="5" borderId="30" xfId="0" applyFont="1" applyFill="1" applyBorder="1" applyAlignment="1">
      <alignment horizontal="left" vertical="center"/>
    </xf>
    <xf numFmtId="0" fontId="60" fillId="5" borderId="31" xfId="0" applyFont="1" applyFill="1" applyBorder="1" applyAlignment="1">
      <alignment horizontal="left" vertical="center"/>
    </xf>
    <xf numFmtId="0" fontId="60" fillId="2" borderId="32" xfId="0" applyFont="1" applyFill="1" applyBorder="1" applyAlignment="1">
      <alignment horizontal="left" vertical="center"/>
    </xf>
    <xf numFmtId="0" fontId="60" fillId="2" borderId="34" xfId="0" applyFont="1" applyFill="1" applyBorder="1" applyAlignment="1">
      <alignment horizontal="left" vertical="center"/>
    </xf>
    <xf numFmtId="0" fontId="61" fillId="2" borderId="0" xfId="0" quotePrefix="1" applyFont="1" applyFill="1" applyAlignment="1">
      <alignment horizontal="left" vertical="center"/>
    </xf>
    <xf numFmtId="0" fontId="61" fillId="2" borderId="0" xfId="0" quotePrefix="1" applyFont="1" applyFill="1" applyAlignment="1">
      <alignment horizontal="left" vertical="center" wrapText="1"/>
    </xf>
    <xf numFmtId="0" fontId="30"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75" fillId="2" borderId="0" xfId="0" applyFont="1" applyFill="1" applyAlignment="1">
      <alignment horizontal="left" vertical="center"/>
    </xf>
    <xf numFmtId="43" fontId="61" fillId="0" borderId="78" xfId="1" applyFont="1" applyBorder="1" applyAlignment="1">
      <alignment horizontal="center" vertical="center" wrapText="1"/>
    </xf>
    <xf numFmtId="43" fontId="35" fillId="8" borderId="82" xfId="1" applyFont="1" applyFill="1" applyBorder="1" applyAlignment="1">
      <alignment horizontal="center" vertical="center" wrapText="1"/>
    </xf>
    <xf numFmtId="43" fontId="35"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Alignment="1">
      <alignment horizontal="left" vertical="center" wrapText="1"/>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40" fillId="8" borderId="93" xfId="0" applyFont="1" applyFill="1" applyBorder="1" applyAlignment="1">
      <alignment horizontal="center" vertical="center"/>
    </xf>
    <xf numFmtId="174" fontId="40" fillId="8" borderId="93" xfId="0" applyNumberFormat="1" applyFont="1" applyFill="1" applyBorder="1" applyAlignment="1">
      <alignment horizontal="center"/>
    </xf>
  </cellXfs>
  <cellStyles count="11">
    <cellStyle name="Comma" xfId="1" builtinId="3"/>
    <cellStyle name="Currency" xfId="7" builtinId="4"/>
    <cellStyle name="Millares 2" xfId="10" xr:uid="{6056FAAB-A910-4673-96C4-279031F9CDE7}"/>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2">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1903.0458479450001</c:v>
                </c:pt>
                <c:pt idx="1">
                  <c:v>2102.6797259975001</c:v>
                </c:pt>
                <c:pt idx="2">
                  <c:v>0</c:v>
                </c:pt>
                <c:pt idx="3">
                  <c:v>2.9898623575000003</c:v>
                </c:pt>
                <c:pt idx="4">
                  <c:v>23.10479591</c:v>
                </c:pt>
                <c:pt idx="5">
                  <c:v>183.26538812499999</c:v>
                </c:pt>
                <c:pt idx="6">
                  <c:v>64.267350870000001</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2102.6797259975001</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2.9898623575000003</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23.10479591</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183.26538812499999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64.267350870000001</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RER'!$L$36:$L$40</c:f>
              <c:strCache>
                <c:ptCount val="5"/>
                <c:pt idx="0">
                  <c:v>C.E. WAYRA I</c:v>
                </c:pt>
                <c:pt idx="1">
                  <c:v>C.E. TRES HERMANAS</c:v>
                </c:pt>
                <c:pt idx="2">
                  <c:v>C.E. CUPISNIQUE</c:v>
                </c:pt>
                <c:pt idx="3">
                  <c:v>C.E. MARCONA</c:v>
                </c:pt>
                <c:pt idx="4">
                  <c:v>C.E. TALARA</c:v>
                </c:pt>
              </c:strCache>
            </c:strRef>
          </c:cat>
          <c:val>
            <c:numRef>
              <c:f>'6. FP RER'!$O$36:$O$40</c:f>
              <c:numCache>
                <c:formatCode>0.00</c:formatCode>
                <c:ptCount val="5"/>
                <c:pt idx="0">
                  <c:v>68.407236492500004</c:v>
                </c:pt>
                <c:pt idx="1">
                  <c:v>51.661423617499999</c:v>
                </c:pt>
                <c:pt idx="2">
                  <c:v>31.626736864999998</c:v>
                </c:pt>
                <c:pt idx="3">
                  <c:v>16.305897107500002</c:v>
                </c:pt>
                <c:pt idx="4">
                  <c:v>15.2640940425</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RER'!$L$36:$L$40</c:f>
              <c:strCache>
                <c:ptCount val="5"/>
                <c:pt idx="0">
                  <c:v>C.E. WAYRA I</c:v>
                </c:pt>
                <c:pt idx="1">
                  <c:v>C.E. TRES HERMANAS</c:v>
                </c:pt>
                <c:pt idx="2">
                  <c:v>C.E. CUPISNIQUE</c:v>
                </c:pt>
                <c:pt idx="3">
                  <c:v>C.E. MARCONA</c:v>
                </c:pt>
                <c:pt idx="4">
                  <c:v>C.E. TALARA</c:v>
                </c:pt>
              </c:strCache>
            </c:strRef>
          </c:cat>
          <c:val>
            <c:numRef>
              <c:f>'6. FP RER'!$P$36:$P$40</c:f>
              <c:numCache>
                <c:formatCode>0.00</c:formatCode>
                <c:ptCount val="5"/>
                <c:pt idx="0">
                  <c:v>0.69497513484037576</c:v>
                </c:pt>
                <c:pt idx="1">
                  <c:v>0.71474418255635053</c:v>
                </c:pt>
                <c:pt idx="2">
                  <c:v>0.51123337253247458</c:v>
                </c:pt>
                <c:pt idx="3">
                  <c:v>0.68489151157174066</c:v>
                </c:pt>
                <c:pt idx="4">
                  <c:v>0.66481709116875387</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RER'!$L$41:$L$47</c:f>
              <c:strCache>
                <c:ptCount val="7"/>
                <c:pt idx="0">
                  <c:v>C.S. RUBI</c:v>
                </c:pt>
                <c:pt idx="1">
                  <c:v>C.S. INTIPAMPA</c:v>
                </c:pt>
                <c:pt idx="2">
                  <c:v>C.S. PANAMERICANA SOLAR</c:v>
                </c:pt>
                <c:pt idx="3">
                  <c:v>C.S. MOQUEGUA FV</c:v>
                </c:pt>
                <c:pt idx="4">
                  <c:v>C.S. MAJES SOLAR</c:v>
                </c:pt>
                <c:pt idx="5">
                  <c:v>C.S. REPARTICION</c:v>
                </c:pt>
                <c:pt idx="6">
                  <c:v>C.S. TACNA SOLAR</c:v>
                </c:pt>
              </c:strCache>
            </c:strRef>
          </c:cat>
          <c:val>
            <c:numRef>
              <c:f>'6. FP RER'!$O$41:$O$47</c:f>
              <c:numCache>
                <c:formatCode>0.00</c:formatCode>
                <c:ptCount val="7"/>
                <c:pt idx="0">
                  <c:v>35.710036557500004</c:v>
                </c:pt>
                <c:pt idx="1">
                  <c:v>8.9360788049999993</c:v>
                </c:pt>
                <c:pt idx="2">
                  <c:v>4.8034851375000001</c:v>
                </c:pt>
                <c:pt idx="3">
                  <c:v>4.0067429624999997</c:v>
                </c:pt>
                <c:pt idx="4">
                  <c:v>3.6287672</c:v>
                </c:pt>
                <c:pt idx="5">
                  <c:v>3.5915539450000002</c:v>
                </c:pt>
                <c:pt idx="6">
                  <c:v>3.5906862624999998</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RER'!$L$41:$L$47</c:f>
              <c:strCache>
                <c:ptCount val="7"/>
                <c:pt idx="0">
                  <c:v>C.S. RUBI</c:v>
                </c:pt>
                <c:pt idx="1">
                  <c:v>C.S. INTIPAMPA</c:v>
                </c:pt>
                <c:pt idx="2">
                  <c:v>C.S. PANAMERICANA SOLAR</c:v>
                </c:pt>
                <c:pt idx="3">
                  <c:v>C.S. MOQUEGUA FV</c:v>
                </c:pt>
                <c:pt idx="4">
                  <c:v>C.S. MAJES SOLAR</c:v>
                </c:pt>
                <c:pt idx="5">
                  <c:v>C.S. REPARTICION</c:v>
                </c:pt>
                <c:pt idx="6">
                  <c:v>C.S. TACNA SOLAR</c:v>
                </c:pt>
              </c:strCache>
            </c:strRef>
          </c:cat>
          <c:val>
            <c:numRef>
              <c:f>'6. FP RER'!$P$41:$P$47</c:f>
              <c:numCache>
                <c:formatCode>0.00</c:formatCode>
                <c:ptCount val="7"/>
                <c:pt idx="0">
                  <c:v>0.33220764787085916</c:v>
                </c:pt>
                <c:pt idx="1">
                  <c:v>0.26966453993872846</c:v>
                </c:pt>
                <c:pt idx="2">
                  <c:v>0.32281486139112903</c:v>
                </c:pt>
                <c:pt idx="3">
                  <c:v>0.33658795047883061</c:v>
                </c:pt>
                <c:pt idx="4">
                  <c:v>0.2438687634408602</c:v>
                </c:pt>
                <c:pt idx="5">
                  <c:v>0.24136787264784948</c:v>
                </c:pt>
                <c:pt idx="6">
                  <c:v>0.24130956065188172</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RER'!$L$48:$L$52</c:f>
              <c:strCache>
                <c:ptCount val="5"/>
                <c:pt idx="0">
                  <c:v>C.T. PARAMONGA</c:v>
                </c:pt>
                <c:pt idx="1">
                  <c:v>C.T. HUAYCOLORO</c:v>
                </c:pt>
                <c:pt idx="2">
                  <c:v>C.T. DOÑA CATALINA</c:v>
                </c:pt>
                <c:pt idx="3">
                  <c:v>C.T. CALLAO</c:v>
                </c:pt>
                <c:pt idx="4">
                  <c:v>C.T. LA GRINGA</c:v>
                </c:pt>
              </c:strCache>
            </c:strRef>
          </c:cat>
          <c:val>
            <c:numRef>
              <c:f>'6. FP RER'!$O$48:$O$52</c:f>
              <c:numCache>
                <c:formatCode>0.00</c:formatCode>
                <c:ptCount val="5"/>
                <c:pt idx="0">
                  <c:v>7.9141951800000001</c:v>
                </c:pt>
                <c:pt idx="1">
                  <c:v>2.652694715</c:v>
                </c:pt>
                <c:pt idx="2">
                  <c:v>1.68083779</c:v>
                </c:pt>
                <c:pt idx="3">
                  <c:v>1.6020863200000002</c:v>
                </c:pt>
                <c:pt idx="4">
                  <c:v>0.42967996250000001</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RER'!$L$48:$L$51</c:f>
              <c:strCache>
                <c:ptCount val="4"/>
                <c:pt idx="0">
                  <c:v>C.T. PARAMONGA</c:v>
                </c:pt>
                <c:pt idx="1">
                  <c:v>C.T. HUAYCOLORO</c:v>
                </c:pt>
                <c:pt idx="2">
                  <c:v>C.T. DOÑA CATALINA</c:v>
                </c:pt>
                <c:pt idx="3">
                  <c:v>C.T. CALLAO</c:v>
                </c:pt>
              </c:strCache>
            </c:strRef>
          </c:cat>
          <c:val>
            <c:numRef>
              <c:f>'6. FP RER'!$P$48:$P$52</c:f>
              <c:numCache>
                <c:formatCode>0.00</c:formatCode>
                <c:ptCount val="5"/>
                <c:pt idx="0">
                  <c:v>0.83488873467282732</c:v>
                </c:pt>
                <c:pt idx="1">
                  <c:v>0.83646918140825532</c:v>
                </c:pt>
                <c:pt idx="2">
                  <c:v>0.94132940748207894</c:v>
                </c:pt>
                <c:pt idx="3">
                  <c:v>0.89722576164874568</c:v>
                </c:pt>
                <c:pt idx="4">
                  <c:v>0.19552657051061526</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90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RUCUY</c:v>
                  </c:pt>
                  <c:pt idx="6">
                    <c:v>C.H. CAÑA BRAVA</c:v>
                  </c:pt>
                  <c:pt idx="7">
                    <c:v>C.H. YANAPAMPA</c:v>
                  </c:pt>
                  <c:pt idx="8">
                    <c:v>C.H. IMPERIAL</c:v>
                  </c:pt>
                  <c:pt idx="9">
                    <c:v>C.H. ZAÑA</c:v>
                  </c:pt>
                  <c:pt idx="10">
                    <c:v>C.H. RUNATULLO III</c:v>
                  </c:pt>
                  <c:pt idx="11">
                    <c:v>C.H. ÁNGEL II</c:v>
                  </c:pt>
                  <c:pt idx="12">
                    <c:v>C.H. HER 1</c:v>
                  </c:pt>
                  <c:pt idx="13">
                    <c:v>C.H. CANCHAYLLO</c:v>
                  </c:pt>
                  <c:pt idx="14">
                    <c:v>C.H. POECHOS II</c:v>
                  </c:pt>
                  <c:pt idx="15">
                    <c:v>C.H. HUASAHUASI I</c:v>
                  </c:pt>
                  <c:pt idx="16">
                    <c:v>C.H. HUASAHUASI II</c:v>
                  </c:pt>
                  <c:pt idx="17">
                    <c:v>C.H. ÁNGEL I</c:v>
                  </c:pt>
                  <c:pt idx="18">
                    <c:v>C.H. LAS PIZARRAS</c:v>
                  </c:pt>
                  <c:pt idx="19">
                    <c:v>C.H. CARHUAC</c:v>
                  </c:pt>
                  <c:pt idx="20">
                    <c:v>C.H. POTRERO</c:v>
                  </c:pt>
                  <c:pt idx="21">
                    <c:v>C.H. ÁNGEL III</c:v>
                  </c:pt>
                  <c:pt idx="22">
                    <c:v>C.H. 8 DE AGOSTO</c:v>
                  </c:pt>
                  <c:pt idx="23">
                    <c:v>C.H. RONCADOR</c:v>
                  </c:pt>
                  <c:pt idx="24">
                    <c:v>C.H. RUNATULLO II</c:v>
                  </c:pt>
                  <c:pt idx="25">
                    <c:v>C.H. SANTA CRUZ II</c:v>
                  </c:pt>
                  <c:pt idx="26">
                    <c:v>C.H. SANTA CRUZ I</c:v>
                  </c:pt>
                  <c:pt idx="27">
                    <c:v>C.H. MANTA</c:v>
                  </c:pt>
                  <c:pt idx="28">
                    <c:v>C.H. PURMACANA</c:v>
                  </c:pt>
                  <c:pt idx="29">
                    <c:v>C.H. EL CARMEN</c:v>
                  </c:pt>
                  <c:pt idx="30">
                    <c:v>C.E. MARCONA</c:v>
                  </c:pt>
                  <c:pt idx="31">
                    <c:v>C.E. TRES HERMANAS</c:v>
                  </c:pt>
                  <c:pt idx="32">
                    <c:v>C.E. WAYRA I</c:v>
                  </c:pt>
                  <c:pt idx="33">
                    <c:v>C.E. CUPISNIQUE</c:v>
                  </c:pt>
                  <c:pt idx="34">
                    <c:v>C.E. TALARA</c:v>
                  </c:pt>
                  <c:pt idx="35">
                    <c:v>C.S. RUBI</c:v>
                  </c:pt>
                  <c:pt idx="36">
                    <c:v>C.S. MOQUEGUA FV</c:v>
                  </c:pt>
                  <c:pt idx="37">
                    <c:v>C.S. PANAMERICANA SOLAR</c:v>
                  </c:pt>
                  <c:pt idx="38">
                    <c:v>C.S. TACNA SOLAR</c:v>
                  </c:pt>
                  <c:pt idx="39">
                    <c:v>C.S. INTIPAMPA</c:v>
                  </c:pt>
                  <c:pt idx="40">
                    <c:v>C.S. MAJES SOLAR</c:v>
                  </c:pt>
                  <c:pt idx="41">
                    <c:v>C.S. REPARTICION</c:v>
                  </c:pt>
                  <c:pt idx="42">
                    <c:v>C.T. PARAMONGA</c:v>
                  </c:pt>
                  <c:pt idx="43">
                    <c:v>C.T. CALLAO</c:v>
                  </c:pt>
                  <c:pt idx="44">
                    <c:v>C.T. LA GRINGA</c:v>
                  </c:pt>
                  <c:pt idx="45">
                    <c:v>C.T. HUAYCOLORO</c:v>
                  </c:pt>
                  <c:pt idx="46">
                    <c:v>C.T. DOÑA CATALINA</c:v>
                  </c:pt>
                </c:lvl>
                <c:lvl>
                  <c:pt idx="0">
                    <c:v>HIDROELÉCTRICAS</c:v>
                  </c:pt>
                  <c:pt idx="30">
                    <c:v>EÓLICAS</c:v>
                  </c:pt>
                  <c:pt idx="35">
                    <c:v>SOLARES</c:v>
                  </c:pt>
                  <c:pt idx="42">
                    <c:v>TERMOELÉCTRICAS</c:v>
                  </c:pt>
                </c:lvl>
              </c:multiLvlStrCache>
            </c:multiLvlStrRef>
          </c:cat>
          <c:val>
            <c:numRef>
              <c:f>'6. FP RER'!$U$6:$U$52</c:f>
              <c:numCache>
                <c:formatCode>0.000</c:formatCode>
                <c:ptCount val="47"/>
                <c:pt idx="0">
                  <c:v>1</c:v>
                </c:pt>
                <c:pt idx="1">
                  <c:v>1</c:v>
                </c:pt>
                <c:pt idx="2">
                  <c:v>1</c:v>
                </c:pt>
                <c:pt idx="3">
                  <c:v>1</c:v>
                </c:pt>
                <c:pt idx="4">
                  <c:v>1</c:v>
                </c:pt>
                <c:pt idx="5">
                  <c:v>0.9889730969376137</c:v>
                </c:pt>
                <c:pt idx="6">
                  <c:v>0.94709179689382361</c:v>
                </c:pt>
                <c:pt idx="7">
                  <c:v>0.94316085753800405</c:v>
                </c:pt>
                <c:pt idx="8">
                  <c:v>0.94231507979833062</c:v>
                </c:pt>
                <c:pt idx="9">
                  <c:v>0.90670235918784858</c:v>
                </c:pt>
                <c:pt idx="10">
                  <c:v>0.87418462541831132</c:v>
                </c:pt>
                <c:pt idx="11">
                  <c:v>0.86904108996764495</c:v>
                </c:pt>
                <c:pt idx="12">
                  <c:v>0.8488575242323706</c:v>
                </c:pt>
                <c:pt idx="13">
                  <c:v>0.84864612721109278</c:v>
                </c:pt>
                <c:pt idx="14">
                  <c:v>0.84216681355862644</c:v>
                </c:pt>
                <c:pt idx="15">
                  <c:v>0.84154284040895766</c:v>
                </c:pt>
                <c:pt idx="16">
                  <c:v>0.82941474549607097</c:v>
                </c:pt>
                <c:pt idx="17">
                  <c:v>0.81897365528752675</c:v>
                </c:pt>
                <c:pt idx="18">
                  <c:v>0.81841904570483703</c:v>
                </c:pt>
                <c:pt idx="19">
                  <c:v>0.7932040850979053</c:v>
                </c:pt>
                <c:pt idx="20">
                  <c:v>0.79110463110749563</c:v>
                </c:pt>
                <c:pt idx="21">
                  <c:v>0.77885978903742736</c:v>
                </c:pt>
                <c:pt idx="22">
                  <c:v>0.72877127025213306</c:v>
                </c:pt>
                <c:pt idx="23">
                  <c:v>0.72842793634062986</c:v>
                </c:pt>
                <c:pt idx="24">
                  <c:v>0.72474639342300951</c:v>
                </c:pt>
                <c:pt idx="25">
                  <c:v>0.68195964645750884</c:v>
                </c:pt>
                <c:pt idx="26">
                  <c:v>0.64893595071273324</c:v>
                </c:pt>
                <c:pt idx="27">
                  <c:v>0.22601705729166699</c:v>
                </c:pt>
                <c:pt idx="28">
                  <c:v>0.40013041539672217</c:v>
                </c:pt>
                <c:pt idx="29">
                  <c:v>0.25381798874035039</c:v>
                </c:pt>
                <c:pt idx="30">
                  <c:v>0.66262056886099718</c:v>
                </c:pt>
                <c:pt idx="31">
                  <c:v>0.64139962993000887</c:v>
                </c:pt>
                <c:pt idx="32">
                  <c:v>0.56362249615617344</c:v>
                </c:pt>
                <c:pt idx="33">
                  <c:v>0.55948622097028766</c:v>
                </c:pt>
                <c:pt idx="34">
                  <c:v>0.53002578992751215</c:v>
                </c:pt>
                <c:pt idx="35">
                  <c:v>0.36134814916539459</c:v>
                </c:pt>
                <c:pt idx="36">
                  <c:v>0.35790791036970626</c:v>
                </c:pt>
                <c:pt idx="37">
                  <c:v>0.32752805407559199</c:v>
                </c:pt>
                <c:pt idx="38">
                  <c:v>0.30024319783128417</c:v>
                </c:pt>
                <c:pt idx="39">
                  <c:v>0.27797867421876982</c:v>
                </c:pt>
                <c:pt idx="40">
                  <c:v>0.27488089480874317</c:v>
                </c:pt>
                <c:pt idx="41">
                  <c:v>0.26816351326275045</c:v>
                </c:pt>
                <c:pt idx="42">
                  <c:v>0.82154580656778597</c:v>
                </c:pt>
                <c:pt idx="43">
                  <c:v>0.96787145696271926</c:v>
                </c:pt>
                <c:pt idx="44">
                  <c:v>0.61187903976815716</c:v>
                </c:pt>
                <c:pt idx="45">
                  <c:v>0.60276067750482076</c:v>
                </c:pt>
                <c:pt idx="46">
                  <c:v>0.50426950041742569</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RUCUY</c:v>
                  </c:pt>
                  <c:pt idx="6">
                    <c:v>C.H. CAÑA BRAVA</c:v>
                  </c:pt>
                  <c:pt idx="7">
                    <c:v>C.H. YANAPAMPA</c:v>
                  </c:pt>
                  <c:pt idx="8">
                    <c:v>C.H. IMPERIAL</c:v>
                  </c:pt>
                  <c:pt idx="9">
                    <c:v>C.H. ZAÑA</c:v>
                  </c:pt>
                  <c:pt idx="10">
                    <c:v>C.H. RUNATULLO III</c:v>
                  </c:pt>
                  <c:pt idx="11">
                    <c:v>C.H. ÁNGEL II</c:v>
                  </c:pt>
                  <c:pt idx="12">
                    <c:v>C.H. HER 1</c:v>
                  </c:pt>
                  <c:pt idx="13">
                    <c:v>C.H. CANCHAYLLO</c:v>
                  </c:pt>
                  <c:pt idx="14">
                    <c:v>C.H. POECHOS II</c:v>
                  </c:pt>
                  <c:pt idx="15">
                    <c:v>C.H. HUASAHUASI I</c:v>
                  </c:pt>
                  <c:pt idx="16">
                    <c:v>C.H. HUASAHUASI II</c:v>
                  </c:pt>
                  <c:pt idx="17">
                    <c:v>C.H. ÁNGEL I</c:v>
                  </c:pt>
                  <c:pt idx="18">
                    <c:v>C.H. LAS PIZARRAS</c:v>
                  </c:pt>
                  <c:pt idx="19">
                    <c:v>C.H. CARHUAC</c:v>
                  </c:pt>
                  <c:pt idx="20">
                    <c:v>C.H. POTRERO</c:v>
                  </c:pt>
                  <c:pt idx="21">
                    <c:v>C.H. ÁNGEL III</c:v>
                  </c:pt>
                  <c:pt idx="22">
                    <c:v>C.H. 8 DE AGOSTO</c:v>
                  </c:pt>
                  <c:pt idx="23">
                    <c:v>C.H. RONCADOR</c:v>
                  </c:pt>
                  <c:pt idx="24">
                    <c:v>C.H. RUNATULLO II</c:v>
                  </c:pt>
                  <c:pt idx="25">
                    <c:v>C.H. SANTA CRUZ II</c:v>
                  </c:pt>
                  <c:pt idx="26">
                    <c:v>C.H. SANTA CRUZ I</c:v>
                  </c:pt>
                  <c:pt idx="27">
                    <c:v>C.H. MANTA</c:v>
                  </c:pt>
                  <c:pt idx="28">
                    <c:v>C.H. PURMACANA</c:v>
                  </c:pt>
                  <c:pt idx="29">
                    <c:v>C.H. EL CARMEN</c:v>
                  </c:pt>
                  <c:pt idx="30">
                    <c:v>C.E. MARCONA</c:v>
                  </c:pt>
                  <c:pt idx="31">
                    <c:v>C.E. TRES HERMANAS</c:v>
                  </c:pt>
                  <c:pt idx="32">
                    <c:v>C.E. WAYRA I</c:v>
                  </c:pt>
                  <c:pt idx="33">
                    <c:v>C.E. CUPISNIQUE</c:v>
                  </c:pt>
                  <c:pt idx="34">
                    <c:v>C.E. TALARA</c:v>
                  </c:pt>
                  <c:pt idx="35">
                    <c:v>C.S. RUBI</c:v>
                  </c:pt>
                  <c:pt idx="36">
                    <c:v>C.S. MOQUEGUA FV</c:v>
                  </c:pt>
                  <c:pt idx="37">
                    <c:v>C.S. PANAMERICANA SOLAR</c:v>
                  </c:pt>
                  <c:pt idx="38">
                    <c:v>C.S. TACNA SOLAR</c:v>
                  </c:pt>
                  <c:pt idx="39">
                    <c:v>C.S. INTIPAMPA</c:v>
                  </c:pt>
                  <c:pt idx="40">
                    <c:v>C.S. MAJES SOLAR</c:v>
                  </c:pt>
                  <c:pt idx="41">
                    <c:v>C.S. REPARTICION</c:v>
                  </c:pt>
                  <c:pt idx="42">
                    <c:v>C.T. PARAMONGA</c:v>
                  </c:pt>
                  <c:pt idx="43">
                    <c:v>C.T. CALLAO</c:v>
                  </c:pt>
                  <c:pt idx="44">
                    <c:v>C.T. LA GRINGA</c:v>
                  </c:pt>
                  <c:pt idx="45">
                    <c:v>C.T. HUAYCOLORO</c:v>
                  </c:pt>
                  <c:pt idx="46">
                    <c:v>C.T. DOÑA CATALINA</c:v>
                  </c:pt>
                </c:lvl>
                <c:lvl>
                  <c:pt idx="0">
                    <c:v>HIDROELÉCTRICAS</c:v>
                  </c:pt>
                  <c:pt idx="30">
                    <c:v>EÓLICAS</c:v>
                  </c:pt>
                  <c:pt idx="35">
                    <c:v>SOLARES</c:v>
                  </c:pt>
                  <c:pt idx="42">
                    <c:v>TERMOELÉCTRICAS</c:v>
                  </c:pt>
                </c:lvl>
              </c:multiLvlStrCache>
            </c:multiLvlStrRef>
          </c:cat>
          <c:val>
            <c:numRef>
              <c:f>'6. FP RER'!$V$6:$V$52</c:f>
              <c:numCache>
                <c:formatCode>0.000</c:formatCode>
                <c:ptCount val="47"/>
                <c:pt idx="0">
                  <c:v>1</c:v>
                </c:pt>
                <c:pt idx="1">
                  <c:v>0.91314932086423239</c:v>
                </c:pt>
                <c:pt idx="2">
                  <c:v>0.84200050427577666</c:v>
                </c:pt>
                <c:pt idx="4">
                  <c:v>0.80360317028630124</c:v>
                </c:pt>
                <c:pt idx="6">
                  <c:v>0.88157391461717372</c:v>
                </c:pt>
                <c:pt idx="7">
                  <c:v>0.71172597660887238</c:v>
                </c:pt>
                <c:pt idx="8">
                  <c:v>0.80171358060482389</c:v>
                </c:pt>
                <c:pt idx="9">
                  <c:v>0.77921907572792848</c:v>
                </c:pt>
                <c:pt idx="10">
                  <c:v>0.83796735349034412</c:v>
                </c:pt>
                <c:pt idx="11">
                  <c:v>0.50945329199963818</c:v>
                </c:pt>
                <c:pt idx="12">
                  <c:v>0.57291269567219161</c:v>
                </c:pt>
                <c:pt idx="13">
                  <c:v>0.71010240177283923</c:v>
                </c:pt>
                <c:pt idx="14">
                  <c:v>0.69370181273580955</c:v>
                </c:pt>
                <c:pt idx="15">
                  <c:v>0.76185422766450717</c:v>
                </c:pt>
                <c:pt idx="16">
                  <c:v>0.76981830413620589</c:v>
                </c:pt>
                <c:pt idx="17">
                  <c:v>0.46613436482586817</c:v>
                </c:pt>
                <c:pt idx="18">
                  <c:v>0.83286616076414288</c:v>
                </c:pt>
                <c:pt idx="19">
                  <c:v>0.67445903522099415</c:v>
                </c:pt>
                <c:pt idx="20">
                  <c:v>0.83884575160563435</c:v>
                </c:pt>
                <c:pt idx="21">
                  <c:v>0.50178003632656076</c:v>
                </c:pt>
                <c:pt idx="23">
                  <c:v>0.5722691557651195</c:v>
                </c:pt>
                <c:pt idx="24">
                  <c:v>0.69757106577948491</c:v>
                </c:pt>
                <c:pt idx="25">
                  <c:v>0.70686604352589955</c:v>
                </c:pt>
                <c:pt idx="26">
                  <c:v>0.70253064881991201</c:v>
                </c:pt>
                <c:pt idx="28">
                  <c:v>0.10902908671357751</c:v>
                </c:pt>
                <c:pt idx="30">
                  <c:v>0.55914264202420005</c:v>
                </c:pt>
                <c:pt idx="31">
                  <c:v>0.54720170909716037</c:v>
                </c:pt>
                <c:pt idx="32">
                  <c:v>0.47574337307155307</c:v>
                </c:pt>
                <c:pt idx="33">
                  <c:v>0.44701753976150832</c:v>
                </c:pt>
                <c:pt idx="34">
                  <c:v>0.38480913039670622</c:v>
                </c:pt>
                <c:pt idx="35">
                  <c:v>0.29603227328455739</c:v>
                </c:pt>
                <c:pt idx="36">
                  <c:v>0.30867903688996307</c:v>
                </c:pt>
                <c:pt idx="37">
                  <c:v>0.26827097269221922</c:v>
                </c:pt>
                <c:pt idx="38">
                  <c:v>0.26276105884553408</c:v>
                </c:pt>
                <c:pt idx="39">
                  <c:v>0.30867903688996307</c:v>
                </c:pt>
                <c:pt idx="40">
                  <c:v>0.24399783684392268</c:v>
                </c:pt>
                <c:pt idx="41">
                  <c:v>0.23503944406077346</c:v>
                </c:pt>
                <c:pt idx="42">
                  <c:v>0.80351072979564497</c:v>
                </c:pt>
                <c:pt idx="44">
                  <c:v>0.9016831376948955</c:v>
                </c:pt>
                <c:pt idx="45">
                  <c:v>0.56804366652282579</c:v>
                </c:pt>
                <c:pt idx="46">
                  <c:v>0.73220944645871766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empresa'!$L$5:$L$63</c:f>
              <c:strCache>
                <c:ptCount val="59"/>
                <c:pt idx="0">
                  <c:v>TERMOSELVA</c:v>
                </c:pt>
                <c:pt idx="1">
                  <c:v>SDF ENERGIA</c:v>
                </c:pt>
                <c:pt idx="2">
                  <c:v>SAMAY I</c:v>
                </c:pt>
                <c:pt idx="3">
                  <c:v>CERRO VERDE</c:v>
                </c:pt>
                <c:pt idx="4">
                  <c:v>IYEPSA</c:v>
                </c:pt>
                <c:pt idx="5">
                  <c:v>PLANTA  ETEN</c:v>
                </c:pt>
                <c:pt idx="6">
                  <c:v>HYDRO PATAPO</c:v>
                </c:pt>
                <c:pt idx="7">
                  <c:v>ELECTRICA SANTA ROSA / ATRIA</c:v>
                </c:pt>
                <c:pt idx="8">
                  <c:v>MAJA ENERGIA</c:v>
                </c:pt>
                <c:pt idx="9">
                  <c:v>SAN JACINTO</c:v>
                </c:pt>
                <c:pt idx="10">
                  <c:v>AGUA AZUL</c:v>
                </c:pt>
                <c:pt idx="11">
                  <c:v>ELECTRICA YANAPAMPA</c:v>
                </c:pt>
                <c:pt idx="12">
                  <c:v>HIDROCAÑETE</c:v>
                </c:pt>
                <c:pt idx="13">
                  <c:v>INVERSION DE ENERGÍA RENOVABLES</c:v>
                </c:pt>
                <c:pt idx="14">
                  <c:v>AGROAURORA</c:v>
                </c:pt>
                <c:pt idx="15">
                  <c:v>SHOUGESA</c:v>
                </c:pt>
                <c:pt idx="16">
                  <c:v>RIO DOBLE</c:v>
                </c:pt>
                <c:pt idx="17">
                  <c:v>ELECTRO ZAÑA</c:v>
                </c:pt>
                <c:pt idx="18">
                  <c:v>EGECSAC</c:v>
                </c:pt>
                <c:pt idx="19">
                  <c:v>TACNA SOLAR</c:v>
                </c:pt>
                <c:pt idx="20">
                  <c:v>GTS REPARTICION</c:v>
                </c:pt>
                <c:pt idx="21">
                  <c:v>GTS MAJES</c:v>
                </c:pt>
                <c:pt idx="22">
                  <c:v>GENERACIÓN ANDINA</c:v>
                </c:pt>
                <c:pt idx="23">
                  <c:v>MOQUEGUA FV</c:v>
                </c:pt>
                <c:pt idx="24">
                  <c:v>PANAMERICANA SOLAR</c:v>
                </c:pt>
                <c:pt idx="25">
                  <c:v>BIOENERGIA</c:v>
                </c:pt>
                <c:pt idx="26">
                  <c:v>PETRAMAS</c:v>
                </c:pt>
                <c:pt idx="27">
                  <c:v>RIO BAÑOS</c:v>
                </c:pt>
                <c:pt idx="28">
                  <c:v>HIDROMARAÑON/ CELEPSA RENOVABLES</c:v>
                </c:pt>
                <c:pt idx="29">
                  <c:v>AIPSA</c:v>
                </c:pt>
                <c:pt idx="30">
                  <c:v>ANDEAN POWER</c:v>
                </c:pt>
                <c:pt idx="31">
                  <c:v>EMGE JUNÍN / SANTA CRUZ</c:v>
                </c:pt>
                <c:pt idx="32">
                  <c:v>EGESUR</c:v>
                </c:pt>
                <c:pt idx="33">
                  <c:v>HUAURA POWER</c:v>
                </c:pt>
                <c:pt idx="34">
                  <c:v>HIDROELECTRICA HUANCHOR</c:v>
                </c:pt>
                <c:pt idx="35">
                  <c:v>SANTA ANA</c:v>
                </c:pt>
                <c:pt idx="36">
                  <c:v>GEPSA</c:v>
                </c:pt>
                <c:pt idx="37">
                  <c:v>P.E. MARCONA</c:v>
                </c:pt>
                <c:pt idx="38">
                  <c:v>SINERSA</c:v>
                </c:pt>
                <c:pt idx="39">
                  <c:v>EMGE HUANZA</c:v>
                </c:pt>
                <c:pt idx="40">
                  <c:v>CHINANGO</c:v>
                </c:pt>
                <c:pt idx="41">
                  <c:v>INLAND</c:v>
                </c:pt>
                <c:pt idx="42">
                  <c:v>ENERGÍA EÓLICA</c:v>
                </c:pt>
                <c:pt idx="43">
                  <c:v>EMGE HUALLAGA</c:v>
                </c:pt>
                <c:pt idx="44">
                  <c:v>P.E. TRES HERMANAS</c:v>
                </c:pt>
                <c:pt idx="45">
                  <c:v>CELEPSA</c:v>
                </c:pt>
                <c:pt idx="46">
                  <c:v>SAN GABAN</c:v>
                </c:pt>
                <c:pt idx="47">
                  <c:v>ENEL GENERACION PIURA</c:v>
                </c:pt>
                <c:pt idx="48">
                  <c:v>EGASA</c:v>
                </c:pt>
                <c:pt idx="49">
                  <c:v>EGEMSA</c:v>
                </c:pt>
                <c:pt idx="50">
                  <c:v>ORAZUL ENERGY PERÚ</c:v>
                </c:pt>
                <c:pt idx="51">
                  <c:v>ENEL GREEN POWER PERU</c:v>
                </c:pt>
                <c:pt idx="52">
                  <c:v>TERMOCHILCA</c:v>
                </c:pt>
                <c:pt idx="53">
                  <c:v>STATKRAFT</c:v>
                </c:pt>
                <c:pt idx="54">
                  <c:v>FENIX POWER</c:v>
                </c:pt>
                <c:pt idx="55">
                  <c:v>ELECTROPERU</c:v>
                </c:pt>
                <c:pt idx="56">
                  <c:v>ENEL GENERACION PERU</c:v>
                </c:pt>
                <c:pt idx="57">
                  <c:v>ENGIE</c:v>
                </c:pt>
                <c:pt idx="58">
                  <c:v>KALLPA</c:v>
                </c:pt>
              </c:strCache>
            </c:strRef>
          </c:cat>
          <c:val>
            <c:numRef>
              <c:f>'7. Generacion empresa'!$M$5:$M$63</c:f>
              <c:numCache>
                <c:formatCode>General</c:formatCode>
                <c:ptCount val="59"/>
                <c:pt idx="0">
                  <c:v>0</c:v>
                </c:pt>
                <c:pt idx="1">
                  <c:v>0</c:v>
                </c:pt>
                <c:pt idx="2">
                  <c:v>0</c:v>
                </c:pt>
                <c:pt idx="3">
                  <c:v>0</c:v>
                </c:pt>
                <c:pt idx="4">
                  <c:v>3.9228700000000002E-3</c:v>
                </c:pt>
                <c:pt idx="5">
                  <c:v>2.5748629999999998E-2</c:v>
                </c:pt>
                <c:pt idx="6">
                  <c:v>0.17169524999999999</c:v>
                </c:pt>
                <c:pt idx="7">
                  <c:v>0.21867149</c:v>
                </c:pt>
                <c:pt idx="8">
                  <c:v>0.45887865249999998</c:v>
                </c:pt>
                <c:pt idx="9">
                  <c:v>0.66802700000000004</c:v>
                </c:pt>
                <c:pt idx="10">
                  <c:v>0.89403482749999996</c:v>
                </c:pt>
                <c:pt idx="11">
                  <c:v>1.0697090149999999</c:v>
                </c:pt>
                <c:pt idx="12">
                  <c:v>2.2038000000000002</c:v>
                </c:pt>
                <c:pt idx="13">
                  <c:v>2.57698939</c:v>
                </c:pt>
                <c:pt idx="14">
                  <c:v>2.8558608800000003</c:v>
                </c:pt>
                <c:pt idx="15">
                  <c:v>2.9584451874999997</c:v>
                </c:pt>
                <c:pt idx="16">
                  <c:v>3.0620111399999996</c:v>
                </c:pt>
                <c:pt idx="17">
                  <c:v>3.4367368574999997</c:v>
                </c:pt>
                <c:pt idx="18">
                  <c:v>3.5786686324999994</c:v>
                </c:pt>
                <c:pt idx="19">
                  <c:v>3.5906862624999998</c:v>
                </c:pt>
                <c:pt idx="20">
                  <c:v>3.5915539450000002</c:v>
                </c:pt>
                <c:pt idx="21">
                  <c:v>3.6287672</c:v>
                </c:pt>
                <c:pt idx="22">
                  <c:v>3.7201884400000003</c:v>
                </c:pt>
                <c:pt idx="23">
                  <c:v>4.0067429624999997</c:v>
                </c:pt>
                <c:pt idx="24">
                  <c:v>4.8034851375000001</c:v>
                </c:pt>
                <c:pt idx="25">
                  <c:v>5.3014140625000001</c:v>
                </c:pt>
                <c:pt idx="26">
                  <c:v>6.3652987875000004</c:v>
                </c:pt>
                <c:pt idx="27">
                  <c:v>7.5002694650000006</c:v>
                </c:pt>
                <c:pt idx="28">
                  <c:v>7.8371111075000002</c:v>
                </c:pt>
                <c:pt idx="29">
                  <c:v>7.9141951800000001</c:v>
                </c:pt>
                <c:pt idx="30">
                  <c:v>8.4277296674999995</c:v>
                </c:pt>
                <c:pt idx="31">
                  <c:v>9.1469138849999982</c:v>
                </c:pt>
                <c:pt idx="32">
                  <c:v>9.5405519999999999</c:v>
                </c:pt>
                <c:pt idx="33">
                  <c:v>9.6607348450000003</c:v>
                </c:pt>
                <c:pt idx="34">
                  <c:v>11.9571460075</c:v>
                </c:pt>
                <c:pt idx="35">
                  <c:v>12.573862310000001</c:v>
                </c:pt>
                <c:pt idx="36">
                  <c:v>13.915104755</c:v>
                </c:pt>
                <c:pt idx="37">
                  <c:v>16.305897107500002</c:v>
                </c:pt>
                <c:pt idx="38">
                  <c:v>16.746445769999998</c:v>
                </c:pt>
                <c:pt idx="39">
                  <c:v>34.007734370000001</c:v>
                </c:pt>
                <c:pt idx="40">
                  <c:v>36.570941370000007</c:v>
                </c:pt>
                <c:pt idx="41">
                  <c:v>42.381535490000005</c:v>
                </c:pt>
                <c:pt idx="42">
                  <c:v>46.890830907499996</c:v>
                </c:pt>
                <c:pt idx="43">
                  <c:v>47.670724145000001</c:v>
                </c:pt>
                <c:pt idx="44">
                  <c:v>51.661423617499999</c:v>
                </c:pt>
                <c:pt idx="45">
                  <c:v>53.314424057499998</c:v>
                </c:pt>
                <c:pt idx="46">
                  <c:v>64.829372942500001</c:v>
                </c:pt>
                <c:pt idx="47">
                  <c:v>65.984291870000007</c:v>
                </c:pt>
                <c:pt idx="48">
                  <c:v>72.097472882500014</c:v>
                </c:pt>
                <c:pt idx="49">
                  <c:v>81.919972682500017</c:v>
                </c:pt>
                <c:pt idx="50">
                  <c:v>93.302446917499978</c:v>
                </c:pt>
                <c:pt idx="51">
                  <c:v>104.11727305000001</c:v>
                </c:pt>
                <c:pt idx="52">
                  <c:v>121.054930625</c:v>
                </c:pt>
                <c:pt idx="53">
                  <c:v>138.56193073</c:v>
                </c:pt>
                <c:pt idx="54">
                  <c:v>333.04459592750004</c:v>
                </c:pt>
                <c:pt idx="55">
                  <c:v>588.76578888000006</c:v>
                </c:pt>
                <c:pt idx="56">
                  <c:v>605.72270431749985</c:v>
                </c:pt>
                <c:pt idx="57">
                  <c:v>620.89654207499996</c:v>
                </c:pt>
                <c:pt idx="58">
                  <c:v>885.84073562749995</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empresa'!$L$5:$L$63</c:f>
              <c:strCache>
                <c:ptCount val="59"/>
                <c:pt idx="0">
                  <c:v>TERMOSELVA</c:v>
                </c:pt>
                <c:pt idx="1">
                  <c:v>SDF ENERGIA</c:v>
                </c:pt>
                <c:pt idx="2">
                  <c:v>SAMAY I</c:v>
                </c:pt>
                <c:pt idx="3">
                  <c:v>CERRO VERDE</c:v>
                </c:pt>
                <c:pt idx="4">
                  <c:v>IYEPSA</c:v>
                </c:pt>
                <c:pt idx="5">
                  <c:v>PLANTA  ETEN</c:v>
                </c:pt>
                <c:pt idx="6">
                  <c:v>HYDRO PATAPO</c:v>
                </c:pt>
                <c:pt idx="7">
                  <c:v>ELECTRICA SANTA ROSA / ATRIA</c:v>
                </c:pt>
                <c:pt idx="8">
                  <c:v>MAJA ENERGIA</c:v>
                </c:pt>
                <c:pt idx="9">
                  <c:v>SAN JACINTO</c:v>
                </c:pt>
                <c:pt idx="10">
                  <c:v>AGUA AZUL</c:v>
                </c:pt>
                <c:pt idx="11">
                  <c:v>ELECTRICA YANAPAMPA</c:v>
                </c:pt>
                <c:pt idx="12">
                  <c:v>HIDROCAÑETE</c:v>
                </c:pt>
                <c:pt idx="13">
                  <c:v>INVERSION DE ENERGÍA RENOVABLES</c:v>
                </c:pt>
                <c:pt idx="14">
                  <c:v>AGROAURORA</c:v>
                </c:pt>
                <c:pt idx="15">
                  <c:v>SHOUGESA</c:v>
                </c:pt>
                <c:pt idx="16">
                  <c:v>RIO DOBLE</c:v>
                </c:pt>
                <c:pt idx="17">
                  <c:v>ELECTRO ZAÑA</c:v>
                </c:pt>
                <c:pt idx="18">
                  <c:v>EGECSAC</c:v>
                </c:pt>
                <c:pt idx="19">
                  <c:v>TACNA SOLAR</c:v>
                </c:pt>
                <c:pt idx="20">
                  <c:v>GTS REPARTICION</c:v>
                </c:pt>
                <c:pt idx="21">
                  <c:v>GTS MAJES</c:v>
                </c:pt>
                <c:pt idx="22">
                  <c:v>GENERACIÓN ANDINA</c:v>
                </c:pt>
                <c:pt idx="23">
                  <c:v>MOQUEGUA FV</c:v>
                </c:pt>
                <c:pt idx="24">
                  <c:v>PANAMERICANA SOLAR</c:v>
                </c:pt>
                <c:pt idx="25">
                  <c:v>BIOENERGIA</c:v>
                </c:pt>
                <c:pt idx="26">
                  <c:v>PETRAMAS</c:v>
                </c:pt>
                <c:pt idx="27">
                  <c:v>RIO BAÑOS</c:v>
                </c:pt>
                <c:pt idx="28">
                  <c:v>HIDROMARAÑON/ CELEPSA RENOVABLES</c:v>
                </c:pt>
                <c:pt idx="29">
                  <c:v>AIPSA</c:v>
                </c:pt>
                <c:pt idx="30">
                  <c:v>ANDEAN POWER</c:v>
                </c:pt>
                <c:pt idx="31">
                  <c:v>EMGE JUNÍN / SANTA CRUZ</c:v>
                </c:pt>
                <c:pt idx="32">
                  <c:v>EGESUR</c:v>
                </c:pt>
                <c:pt idx="33">
                  <c:v>HUAURA POWER</c:v>
                </c:pt>
                <c:pt idx="34">
                  <c:v>HIDROELECTRICA HUANCHOR</c:v>
                </c:pt>
                <c:pt idx="35">
                  <c:v>SANTA ANA</c:v>
                </c:pt>
                <c:pt idx="36">
                  <c:v>GEPSA</c:v>
                </c:pt>
                <c:pt idx="37">
                  <c:v>P.E. MARCONA</c:v>
                </c:pt>
                <c:pt idx="38">
                  <c:v>SINERSA</c:v>
                </c:pt>
                <c:pt idx="39">
                  <c:v>EMGE HUANZA</c:v>
                </c:pt>
                <c:pt idx="40">
                  <c:v>CHINANGO</c:v>
                </c:pt>
                <c:pt idx="41">
                  <c:v>INLAND</c:v>
                </c:pt>
                <c:pt idx="42">
                  <c:v>ENERGÍA EÓLICA</c:v>
                </c:pt>
                <c:pt idx="43">
                  <c:v>EMGE HUALLAGA</c:v>
                </c:pt>
                <c:pt idx="44">
                  <c:v>P.E. TRES HERMANAS</c:v>
                </c:pt>
                <c:pt idx="45">
                  <c:v>CELEPSA</c:v>
                </c:pt>
                <c:pt idx="46">
                  <c:v>SAN GABAN</c:v>
                </c:pt>
                <c:pt idx="47">
                  <c:v>ENEL GENERACION PIURA</c:v>
                </c:pt>
                <c:pt idx="48">
                  <c:v>EGASA</c:v>
                </c:pt>
                <c:pt idx="49">
                  <c:v>EGEMSA</c:v>
                </c:pt>
                <c:pt idx="50">
                  <c:v>ORAZUL ENERGY PERÚ</c:v>
                </c:pt>
                <c:pt idx="51">
                  <c:v>ENEL GREEN POWER PERU</c:v>
                </c:pt>
                <c:pt idx="52">
                  <c:v>TERMOCHILCA</c:v>
                </c:pt>
                <c:pt idx="53">
                  <c:v>STATKRAFT</c:v>
                </c:pt>
                <c:pt idx="54">
                  <c:v>FENIX POWER</c:v>
                </c:pt>
                <c:pt idx="55">
                  <c:v>ELECTROPERU</c:v>
                </c:pt>
                <c:pt idx="56">
                  <c:v>ENEL GENERACION PERU</c:v>
                </c:pt>
                <c:pt idx="57">
                  <c:v>ENGIE</c:v>
                </c:pt>
                <c:pt idx="58">
                  <c:v>KALLPA</c:v>
                </c:pt>
              </c:strCache>
            </c:strRef>
          </c:cat>
          <c:val>
            <c:numRef>
              <c:f>'7. Generacion empresa'!$N$5:$N$63</c:f>
              <c:numCache>
                <c:formatCode>General</c:formatCode>
                <c:ptCount val="59"/>
                <c:pt idx="0">
                  <c:v>72.701413129999992</c:v>
                </c:pt>
                <c:pt idx="1">
                  <c:v>20.704023852499997</c:v>
                </c:pt>
                <c:pt idx="2">
                  <c:v>0.38849396000000003</c:v>
                </c:pt>
                <c:pt idx="3">
                  <c:v>0</c:v>
                </c:pt>
                <c:pt idx="4">
                  <c:v>7.8759699999999995E-3</c:v>
                </c:pt>
                <c:pt idx="5">
                  <c:v>1.6934170000000002E-2</c:v>
                </c:pt>
                <c:pt idx="6">
                  <c:v>0.24111125</c:v>
                </c:pt>
                <c:pt idx="7">
                  <c:v>0.21328192000000001</c:v>
                </c:pt>
                <c:pt idx="8">
                  <c:v>0.83206050000000009</c:v>
                </c:pt>
                <c:pt idx="9">
                  <c:v>4.9461066874999995</c:v>
                </c:pt>
                <c:pt idx="10">
                  <c:v>1.3368656249999997</c:v>
                </c:pt>
                <c:pt idx="11">
                  <c:v>1.545330855</c:v>
                </c:pt>
                <c:pt idx="12">
                  <c:v>2.3971</c:v>
                </c:pt>
                <c:pt idx="14">
                  <c:v>3.1655908350000002</c:v>
                </c:pt>
                <c:pt idx="15">
                  <c:v>0.19201126500000001</c:v>
                </c:pt>
                <c:pt idx="16">
                  <c:v>1.7651799674999999</c:v>
                </c:pt>
                <c:pt idx="17">
                  <c:v>4.0632739625000003</c:v>
                </c:pt>
                <c:pt idx="18">
                  <c:v>3.5328714625000002</c:v>
                </c:pt>
                <c:pt idx="19">
                  <c:v>4.0365993849999997</c:v>
                </c:pt>
                <c:pt idx="20">
                  <c:v>3.8388382475</c:v>
                </c:pt>
                <c:pt idx="21">
                  <c:v>3.7582447000000001</c:v>
                </c:pt>
                <c:pt idx="23">
                  <c:v>4.1884682300000007</c:v>
                </c:pt>
                <c:pt idx="24">
                  <c:v>4.50676875</c:v>
                </c:pt>
                <c:pt idx="26">
                  <c:v>5.8137978624999995</c:v>
                </c:pt>
                <c:pt idx="27">
                  <c:v>8.3862209075000003</c:v>
                </c:pt>
                <c:pt idx="28">
                  <c:v>8.1235186925000011</c:v>
                </c:pt>
                <c:pt idx="29">
                  <c:v>7.9831871100000003</c:v>
                </c:pt>
                <c:pt idx="30">
                  <c:v>9.4213484950000002</c:v>
                </c:pt>
                <c:pt idx="31">
                  <c:v>9.6904627674999997</c:v>
                </c:pt>
                <c:pt idx="32">
                  <c:v>8.4469275750000001</c:v>
                </c:pt>
                <c:pt idx="33">
                  <c:v>8.9337758550000004</c:v>
                </c:pt>
                <c:pt idx="34">
                  <c:v>12.708361</c:v>
                </c:pt>
                <c:pt idx="35">
                  <c:v>13.135703545</c:v>
                </c:pt>
                <c:pt idx="36">
                  <c:v>14.3367640525</c:v>
                </c:pt>
                <c:pt idx="37">
                  <c:v>12.7523673325</c:v>
                </c:pt>
                <c:pt idx="38">
                  <c:v>17.138652790000002</c:v>
                </c:pt>
                <c:pt idx="39">
                  <c:v>36.409530399999994</c:v>
                </c:pt>
                <c:pt idx="40">
                  <c:v>35.801218002499994</c:v>
                </c:pt>
                <c:pt idx="41">
                  <c:v>41.937084462499996</c:v>
                </c:pt>
                <c:pt idx="42">
                  <c:v>29.048625247499999</c:v>
                </c:pt>
                <c:pt idx="43">
                  <c:v>57.021234637499994</c:v>
                </c:pt>
                <c:pt idx="44">
                  <c:v>36.6271814925</c:v>
                </c:pt>
                <c:pt idx="45">
                  <c:v>53.394310132499996</c:v>
                </c:pt>
                <c:pt idx="46">
                  <c:v>42.667805567499997</c:v>
                </c:pt>
                <c:pt idx="47">
                  <c:v>61.765361412500006</c:v>
                </c:pt>
                <c:pt idx="48">
                  <c:v>72.924134990000013</c:v>
                </c:pt>
                <c:pt idx="49">
                  <c:v>79.580963799999992</c:v>
                </c:pt>
                <c:pt idx="50">
                  <c:v>78.873926885000003</c:v>
                </c:pt>
                <c:pt idx="51">
                  <c:v>82.90306404750001</c:v>
                </c:pt>
                <c:pt idx="52">
                  <c:v>171.05855868250001</c:v>
                </c:pt>
                <c:pt idx="53">
                  <c:v>143.08877737</c:v>
                </c:pt>
                <c:pt idx="54">
                  <c:v>402.44336240750005</c:v>
                </c:pt>
                <c:pt idx="55">
                  <c:v>600.33277224000005</c:v>
                </c:pt>
                <c:pt idx="56">
                  <c:v>606.7057839675</c:v>
                </c:pt>
                <c:pt idx="57">
                  <c:v>622.05245792749997</c:v>
                </c:pt>
                <c:pt idx="58">
                  <c:v>871.71165604500004</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4580.6239199999991</c:v>
                </c:pt>
                <c:pt idx="2">
                  <c:v>4457.8647499999988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2106.5043700000006</c:v>
                </c:pt>
                <c:pt idx="2">
                  <c:v>1943.7948299999998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303.54068999999998</c:v>
                </c:pt>
                <c:pt idx="2">
                  <c:v>309.01528000000002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0">
                  <c:v>TERMOSELVA</c:v>
                </c:pt>
                <c:pt idx="1">
                  <c:v>TACNA SOLAR</c:v>
                </c:pt>
                <c:pt idx="2">
                  <c:v>SHOUGESA</c:v>
                </c:pt>
                <c:pt idx="3">
                  <c:v>SDF ENERGIA</c:v>
                </c:pt>
                <c:pt idx="4">
                  <c:v>SAMAY I</c:v>
                </c:pt>
                <c:pt idx="5">
                  <c:v>PLANTA  ETEN</c:v>
                </c:pt>
                <c:pt idx="6">
                  <c:v>PANAMERICANA SOLAR</c:v>
                </c:pt>
                <c:pt idx="7">
                  <c:v>MOQUEGUA FV</c:v>
                </c:pt>
                <c:pt idx="8">
                  <c:v>IYEPSA</c:v>
                </c:pt>
                <c:pt idx="9">
                  <c:v>HYDRO PATAPO</c:v>
                </c:pt>
                <c:pt idx="10">
                  <c:v>GTS REPARTICION</c:v>
                </c:pt>
                <c:pt idx="11">
                  <c:v>GTS MAJES</c:v>
                </c:pt>
                <c:pt idx="12">
                  <c:v>ELECTRICA YANAPAMPA</c:v>
                </c:pt>
                <c:pt idx="13">
                  <c:v>ELECTRICA SANTA ROSA / ATRIA</c:v>
                </c:pt>
                <c:pt idx="14">
                  <c:v>CERRO VERDE</c:v>
                </c:pt>
                <c:pt idx="15">
                  <c:v>MAJA ENERGIA</c:v>
                </c:pt>
                <c:pt idx="16">
                  <c:v>GENERACIÓN ANDINA</c:v>
                </c:pt>
                <c:pt idx="17">
                  <c:v>INVERSION DE ENERGÍA RENOVABLES</c:v>
                </c:pt>
                <c:pt idx="18">
                  <c:v>AGUA AZUL</c:v>
                </c:pt>
                <c:pt idx="19">
                  <c:v>RIO DOBLE</c:v>
                </c:pt>
                <c:pt idx="20">
                  <c:v>HIDROCAÑETE</c:v>
                </c:pt>
                <c:pt idx="21">
                  <c:v>ELECTRO ZAÑA</c:v>
                </c:pt>
                <c:pt idx="22">
                  <c:v>EGECSAC</c:v>
                </c:pt>
                <c:pt idx="23">
                  <c:v>SAN JACINTO</c:v>
                </c:pt>
                <c:pt idx="24">
                  <c:v>BIOENERGIA</c:v>
                </c:pt>
                <c:pt idx="25">
                  <c:v>RIO BAÑOS</c:v>
                </c:pt>
                <c:pt idx="26">
                  <c:v>PETRAMAS</c:v>
                </c:pt>
                <c:pt idx="27">
                  <c:v>HIDROMARAÑON/ CELEPSA RENOVABLES</c:v>
                </c:pt>
                <c:pt idx="28">
                  <c:v>EMGE JUNÍN / SANTA CRUZ</c:v>
                </c:pt>
                <c:pt idx="29">
                  <c:v>HUAURA POWER</c:v>
                </c:pt>
                <c:pt idx="30">
                  <c:v>AIPSA</c:v>
                </c:pt>
                <c:pt idx="31">
                  <c:v>HIDROELECTRICA HUANCHOR</c:v>
                </c:pt>
                <c:pt idx="32">
                  <c:v>SANTA ANA</c:v>
                </c:pt>
                <c:pt idx="33">
                  <c:v>GEPSA</c:v>
                </c:pt>
                <c:pt idx="34">
                  <c:v>AGROAURORA</c:v>
                </c:pt>
                <c:pt idx="35">
                  <c:v>ANDEAN POWER</c:v>
                </c:pt>
                <c:pt idx="36">
                  <c:v>SINERSA</c:v>
                </c:pt>
                <c:pt idx="37">
                  <c:v>EGESUR</c:v>
                </c:pt>
                <c:pt idx="38">
                  <c:v>P.E. MARCONA</c:v>
                </c:pt>
                <c:pt idx="39">
                  <c:v>INLAND</c:v>
                </c:pt>
                <c:pt idx="40">
                  <c:v>CHINANGO</c:v>
                </c:pt>
                <c:pt idx="41">
                  <c:v>EMGE HUANZA</c:v>
                </c:pt>
                <c:pt idx="42">
                  <c:v>ENEL GENERACION PIURA</c:v>
                </c:pt>
                <c:pt idx="43">
                  <c:v>P.E. TRES HERMANAS</c:v>
                </c:pt>
                <c:pt idx="44">
                  <c:v>CELEPSA</c:v>
                </c:pt>
                <c:pt idx="45">
                  <c:v>SAN GABAN</c:v>
                </c:pt>
                <c:pt idx="46">
                  <c:v>ENERGÍA EÓLICA</c:v>
                </c:pt>
                <c:pt idx="47">
                  <c:v>EGEMSA</c:v>
                </c:pt>
                <c:pt idx="48">
                  <c:v>ORAZUL ENERGY PERÚ</c:v>
                </c:pt>
                <c:pt idx="49">
                  <c:v>ENEL GREEN POWER PERU</c:v>
                </c:pt>
                <c:pt idx="50">
                  <c:v>EGASA</c:v>
                </c:pt>
                <c:pt idx="51">
                  <c:v>EMGE HUALLAGA</c:v>
                </c:pt>
                <c:pt idx="52">
                  <c:v>STATKRAFT</c:v>
                </c:pt>
                <c:pt idx="53">
                  <c:v>TERMOCHILCA</c:v>
                </c:pt>
                <c:pt idx="54">
                  <c:v>FENIX POWER</c:v>
                </c:pt>
                <c:pt idx="55">
                  <c:v>ENGIE</c:v>
                </c:pt>
                <c:pt idx="56">
                  <c:v>ELECTROPERU</c:v>
                </c:pt>
                <c:pt idx="57">
                  <c:v>ENEL GENERACION PERU</c:v>
                </c:pt>
                <c:pt idx="58">
                  <c:v>KALLPA</c:v>
                </c:pt>
              </c:strCache>
            </c:strRef>
          </c:cat>
          <c:val>
            <c:numRef>
              <c:f>'9. Pot. Empresa'!$M$7:$M$65</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0.69376000000000004</c:v>
                </c:pt>
                <c:pt idx="16">
                  <c:v>1.48062</c:v>
                </c:pt>
                <c:pt idx="17">
                  <c:v>2.9434300000000002</c:v>
                </c:pt>
                <c:pt idx="18">
                  <c:v>3.1625200000000002</c:v>
                </c:pt>
                <c:pt idx="19">
                  <c:v>3.1765500000000002</c:v>
                </c:pt>
                <c:pt idx="20">
                  <c:v>3.2</c:v>
                </c:pt>
                <c:pt idx="21">
                  <c:v>4.0071399999999997</c:v>
                </c:pt>
                <c:pt idx="22">
                  <c:v>5.0324499999999999</c:v>
                </c:pt>
                <c:pt idx="23">
                  <c:v>5.68</c:v>
                </c:pt>
                <c:pt idx="24">
                  <c:v>9.59375</c:v>
                </c:pt>
                <c:pt idx="25">
                  <c:v>10.02636</c:v>
                </c:pt>
                <c:pt idx="26">
                  <c:v>10.165650000000001</c:v>
                </c:pt>
                <c:pt idx="27">
                  <c:v>10.46153</c:v>
                </c:pt>
                <c:pt idx="28">
                  <c:v>11.739000000000001</c:v>
                </c:pt>
                <c:pt idx="29">
                  <c:v>13.26078</c:v>
                </c:pt>
                <c:pt idx="30">
                  <c:v>14.33882</c:v>
                </c:pt>
                <c:pt idx="31">
                  <c:v>16.06062</c:v>
                </c:pt>
                <c:pt idx="32">
                  <c:v>16.507159999999999</c:v>
                </c:pt>
                <c:pt idx="33">
                  <c:v>17.92005</c:v>
                </c:pt>
                <c:pt idx="34">
                  <c:v>19.217739999999999</c:v>
                </c:pt>
                <c:pt idx="35">
                  <c:v>20.602629999999998</c:v>
                </c:pt>
                <c:pt idx="36">
                  <c:v>22.754869999999997</c:v>
                </c:pt>
                <c:pt idx="37">
                  <c:v>26.07</c:v>
                </c:pt>
                <c:pt idx="38">
                  <c:v>31.607040000000001</c:v>
                </c:pt>
                <c:pt idx="39">
                  <c:v>57.099510000000002</c:v>
                </c:pt>
                <c:pt idx="40">
                  <c:v>61.637020000000007</c:v>
                </c:pt>
                <c:pt idx="41">
                  <c:v>86.26097</c:v>
                </c:pt>
                <c:pt idx="42">
                  <c:v>91.420199999999994</c:v>
                </c:pt>
                <c:pt idx="43">
                  <c:v>92.034350000000003</c:v>
                </c:pt>
                <c:pt idx="44">
                  <c:v>95.538979999999995</c:v>
                </c:pt>
                <c:pt idx="45">
                  <c:v>98.360510000000005</c:v>
                </c:pt>
                <c:pt idx="46">
                  <c:v>103.02385</c:v>
                </c:pt>
                <c:pt idx="47">
                  <c:v>108.31863000000001</c:v>
                </c:pt>
                <c:pt idx="48">
                  <c:v>128.66714000000002</c:v>
                </c:pt>
                <c:pt idx="49">
                  <c:v>129.74404999999999</c:v>
                </c:pt>
                <c:pt idx="50">
                  <c:v>146.12385</c:v>
                </c:pt>
                <c:pt idx="51">
                  <c:v>202.32660999999999</c:v>
                </c:pt>
                <c:pt idx="52">
                  <c:v>215.33111</c:v>
                </c:pt>
                <c:pt idx="53">
                  <c:v>300.99405000000002</c:v>
                </c:pt>
                <c:pt idx="54">
                  <c:v>549.85106000000007</c:v>
                </c:pt>
                <c:pt idx="55">
                  <c:v>687.18833000000018</c:v>
                </c:pt>
                <c:pt idx="56">
                  <c:v>804.50688000000002</c:v>
                </c:pt>
                <c:pt idx="57">
                  <c:v>911.82404999999994</c:v>
                </c:pt>
                <c:pt idx="58">
                  <c:v>1400.7794699999999</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0">
                  <c:v>TERMOSELVA</c:v>
                </c:pt>
                <c:pt idx="1">
                  <c:v>TACNA SOLAR</c:v>
                </c:pt>
                <c:pt idx="2">
                  <c:v>SHOUGESA</c:v>
                </c:pt>
                <c:pt idx="3">
                  <c:v>SDF ENERGIA</c:v>
                </c:pt>
                <c:pt idx="4">
                  <c:v>SAMAY I</c:v>
                </c:pt>
                <c:pt idx="5">
                  <c:v>PLANTA  ETEN</c:v>
                </c:pt>
                <c:pt idx="6">
                  <c:v>PANAMERICANA SOLAR</c:v>
                </c:pt>
                <c:pt idx="7">
                  <c:v>MOQUEGUA FV</c:v>
                </c:pt>
                <c:pt idx="8">
                  <c:v>IYEPSA</c:v>
                </c:pt>
                <c:pt idx="9">
                  <c:v>HYDRO PATAPO</c:v>
                </c:pt>
                <c:pt idx="10">
                  <c:v>GTS REPARTICION</c:v>
                </c:pt>
                <c:pt idx="11">
                  <c:v>GTS MAJES</c:v>
                </c:pt>
                <c:pt idx="12">
                  <c:v>ELECTRICA YANAPAMPA</c:v>
                </c:pt>
                <c:pt idx="13">
                  <c:v>ELECTRICA SANTA ROSA / ATRIA</c:v>
                </c:pt>
                <c:pt idx="14">
                  <c:v>CERRO VERDE</c:v>
                </c:pt>
                <c:pt idx="15">
                  <c:v>MAJA ENERGIA</c:v>
                </c:pt>
                <c:pt idx="16">
                  <c:v>GENERACIÓN ANDINA</c:v>
                </c:pt>
                <c:pt idx="17">
                  <c:v>INVERSION DE ENERGÍA RENOVABLES</c:v>
                </c:pt>
                <c:pt idx="18">
                  <c:v>AGUA AZUL</c:v>
                </c:pt>
                <c:pt idx="19">
                  <c:v>RIO DOBLE</c:v>
                </c:pt>
                <c:pt idx="20">
                  <c:v>HIDROCAÑETE</c:v>
                </c:pt>
                <c:pt idx="21">
                  <c:v>ELECTRO ZAÑA</c:v>
                </c:pt>
                <c:pt idx="22">
                  <c:v>EGECSAC</c:v>
                </c:pt>
                <c:pt idx="23">
                  <c:v>SAN JACINTO</c:v>
                </c:pt>
                <c:pt idx="24">
                  <c:v>BIOENERGIA</c:v>
                </c:pt>
                <c:pt idx="25">
                  <c:v>RIO BAÑOS</c:v>
                </c:pt>
                <c:pt idx="26">
                  <c:v>PETRAMAS</c:v>
                </c:pt>
                <c:pt idx="27">
                  <c:v>HIDROMARAÑON/ CELEPSA RENOVABLES</c:v>
                </c:pt>
                <c:pt idx="28">
                  <c:v>EMGE JUNÍN / SANTA CRUZ</c:v>
                </c:pt>
                <c:pt idx="29">
                  <c:v>HUAURA POWER</c:v>
                </c:pt>
                <c:pt idx="30">
                  <c:v>AIPSA</c:v>
                </c:pt>
                <c:pt idx="31">
                  <c:v>HIDROELECTRICA HUANCHOR</c:v>
                </c:pt>
                <c:pt idx="32">
                  <c:v>SANTA ANA</c:v>
                </c:pt>
                <c:pt idx="33">
                  <c:v>GEPSA</c:v>
                </c:pt>
                <c:pt idx="34">
                  <c:v>AGROAURORA</c:v>
                </c:pt>
                <c:pt idx="35">
                  <c:v>ANDEAN POWER</c:v>
                </c:pt>
                <c:pt idx="36">
                  <c:v>SINERSA</c:v>
                </c:pt>
                <c:pt idx="37">
                  <c:v>EGESUR</c:v>
                </c:pt>
                <c:pt idx="38">
                  <c:v>P.E. MARCONA</c:v>
                </c:pt>
                <c:pt idx="39">
                  <c:v>INLAND</c:v>
                </c:pt>
                <c:pt idx="40">
                  <c:v>CHINANGO</c:v>
                </c:pt>
                <c:pt idx="41">
                  <c:v>EMGE HUANZA</c:v>
                </c:pt>
                <c:pt idx="42">
                  <c:v>ENEL GENERACION PIURA</c:v>
                </c:pt>
                <c:pt idx="43">
                  <c:v>P.E. TRES HERMANAS</c:v>
                </c:pt>
                <c:pt idx="44">
                  <c:v>CELEPSA</c:v>
                </c:pt>
                <c:pt idx="45">
                  <c:v>SAN GABAN</c:v>
                </c:pt>
                <c:pt idx="46">
                  <c:v>ENERGÍA EÓLICA</c:v>
                </c:pt>
                <c:pt idx="47">
                  <c:v>EGEMSA</c:v>
                </c:pt>
                <c:pt idx="48">
                  <c:v>ORAZUL ENERGY PERÚ</c:v>
                </c:pt>
                <c:pt idx="49">
                  <c:v>ENEL GREEN POWER PERU</c:v>
                </c:pt>
                <c:pt idx="50">
                  <c:v>EGASA</c:v>
                </c:pt>
                <c:pt idx="51">
                  <c:v>EMGE HUALLAGA</c:v>
                </c:pt>
                <c:pt idx="52">
                  <c:v>STATKRAFT</c:v>
                </c:pt>
                <c:pt idx="53">
                  <c:v>TERMOCHILCA</c:v>
                </c:pt>
                <c:pt idx="54">
                  <c:v>FENIX POWER</c:v>
                </c:pt>
                <c:pt idx="55">
                  <c:v>ENGIE</c:v>
                </c:pt>
                <c:pt idx="56">
                  <c:v>ELECTROPERU</c:v>
                </c:pt>
                <c:pt idx="57">
                  <c:v>ENEL GENERACION PERU</c:v>
                </c:pt>
                <c:pt idx="58">
                  <c:v>KALLPA</c:v>
                </c:pt>
              </c:strCache>
            </c:strRef>
          </c:cat>
          <c:val>
            <c:numRef>
              <c:f>'9. Pot. Empresa'!$N$7:$N$65</c:f>
              <c:numCache>
                <c:formatCode>0</c:formatCode>
                <c:ptCount val="59"/>
                <c:pt idx="0">
                  <c:v>156.52760000000001</c:v>
                </c:pt>
                <c:pt idx="1">
                  <c:v>0</c:v>
                </c:pt>
                <c:pt idx="2">
                  <c:v>0</c:v>
                </c:pt>
                <c:pt idx="3">
                  <c:v>27.768840000000001</c:v>
                </c:pt>
                <c:pt idx="4">
                  <c:v>0</c:v>
                </c:pt>
                <c:pt idx="5">
                  <c:v>0</c:v>
                </c:pt>
                <c:pt idx="6">
                  <c:v>0</c:v>
                </c:pt>
                <c:pt idx="7">
                  <c:v>0</c:v>
                </c:pt>
                <c:pt idx="8">
                  <c:v>0</c:v>
                </c:pt>
                <c:pt idx="9">
                  <c:v>0</c:v>
                </c:pt>
                <c:pt idx="10">
                  <c:v>0</c:v>
                </c:pt>
                <c:pt idx="11">
                  <c:v>0</c:v>
                </c:pt>
                <c:pt idx="12">
                  <c:v>2.0775000000000001</c:v>
                </c:pt>
                <c:pt idx="13">
                  <c:v>0.69691999999999998</c:v>
                </c:pt>
                <c:pt idx="14">
                  <c:v>0</c:v>
                </c:pt>
                <c:pt idx="15">
                  <c:v>1.5064</c:v>
                </c:pt>
                <c:pt idx="18">
                  <c:v>3.0144199999999999</c:v>
                </c:pt>
                <c:pt idx="19">
                  <c:v>0</c:v>
                </c:pt>
                <c:pt idx="20">
                  <c:v>3.6</c:v>
                </c:pt>
                <c:pt idx="21">
                  <c:v>4.7752100000000004</c:v>
                </c:pt>
                <c:pt idx="22">
                  <c:v>4.0161100000000003</c:v>
                </c:pt>
                <c:pt idx="23">
                  <c:v>6.5880000000000001</c:v>
                </c:pt>
                <c:pt idx="25">
                  <c:v>10.7232</c:v>
                </c:pt>
                <c:pt idx="26">
                  <c:v>7.0596500000000004</c:v>
                </c:pt>
                <c:pt idx="27">
                  <c:v>10.202970000000001</c:v>
                </c:pt>
                <c:pt idx="28">
                  <c:v>13.249409999999999</c:v>
                </c:pt>
                <c:pt idx="29">
                  <c:v>12.979140000000001</c:v>
                </c:pt>
                <c:pt idx="30">
                  <c:v>11.10478</c:v>
                </c:pt>
                <c:pt idx="31">
                  <c:v>17.236000000000001</c:v>
                </c:pt>
                <c:pt idx="32">
                  <c:v>17.30902</c:v>
                </c:pt>
                <c:pt idx="33">
                  <c:v>17.98564</c:v>
                </c:pt>
                <c:pt idx="34">
                  <c:v>8.4545300000000001</c:v>
                </c:pt>
                <c:pt idx="35">
                  <c:v>18.87162</c:v>
                </c:pt>
                <c:pt idx="36">
                  <c:v>22.52779</c:v>
                </c:pt>
                <c:pt idx="37">
                  <c:v>25.584000000000003</c:v>
                </c:pt>
                <c:pt idx="38">
                  <c:v>11.8604</c:v>
                </c:pt>
                <c:pt idx="39">
                  <c:v>52.899090000000001</c:v>
                </c:pt>
                <c:pt idx="40">
                  <c:v>56.991610000000001</c:v>
                </c:pt>
                <c:pt idx="41">
                  <c:v>72.703100000000006</c:v>
                </c:pt>
                <c:pt idx="42">
                  <c:v>91.368700000000004</c:v>
                </c:pt>
                <c:pt idx="43">
                  <c:v>46.159990000000001</c:v>
                </c:pt>
                <c:pt idx="44">
                  <c:v>149.95659000000001</c:v>
                </c:pt>
                <c:pt idx="45">
                  <c:v>108.23007</c:v>
                </c:pt>
                <c:pt idx="46">
                  <c:v>87.63673</c:v>
                </c:pt>
                <c:pt idx="47">
                  <c:v>102.22711</c:v>
                </c:pt>
                <c:pt idx="48">
                  <c:v>115.6277</c:v>
                </c:pt>
                <c:pt idx="49">
                  <c:v>124.61897999999999</c:v>
                </c:pt>
                <c:pt idx="50">
                  <c:v>172.08353000000002</c:v>
                </c:pt>
                <c:pt idx="51">
                  <c:v>154.16675999999998</c:v>
                </c:pt>
                <c:pt idx="52">
                  <c:v>199.47209000000001</c:v>
                </c:pt>
                <c:pt idx="53">
                  <c:v>0</c:v>
                </c:pt>
                <c:pt idx="54">
                  <c:v>538.19775000000004</c:v>
                </c:pt>
                <c:pt idx="55">
                  <c:v>960.88930000000005</c:v>
                </c:pt>
                <c:pt idx="56">
                  <c:v>850.21248000000003</c:v>
                </c:pt>
                <c:pt idx="57">
                  <c:v>1083.4622900000002</c:v>
                </c:pt>
                <c:pt idx="58">
                  <c:v>1307.96568</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formatCode="0.0">
                  <c:v>226.44200129999999</c:v>
                </c:pt>
                <c:pt idx="18" formatCode="0.0">
                  <c:v>227.14199830000001</c:v>
                </c:pt>
                <c:pt idx="19" formatCode="0.0">
                  <c:v>227.625</c:v>
                </c:pt>
                <c:pt idx="20" formatCode="0.0">
                  <c:v>227.75800000000001</c:v>
                </c:pt>
                <c:pt idx="21" formatCode="0.0">
                  <c:v>226.41700739999999</c:v>
                </c:pt>
                <c:pt idx="22" formatCode="0.0">
                  <c:v>224.4589996</c:v>
                </c:pt>
                <c:pt idx="23" formatCode="0.0">
                  <c:v>220.634994506835</c:v>
                </c:pt>
                <c:pt idx="24" formatCode="0.0">
                  <c:v>218.28599550000001</c:v>
                </c:pt>
                <c:pt idx="25" formatCode="0.0">
                  <c:v>214.90499879999999</c:v>
                </c:pt>
                <c:pt idx="26" formatCode="0.0">
                  <c:v>210.91799926757801</c:v>
                </c:pt>
                <c:pt idx="27" formatCode="0.0">
                  <c:v>207.96099849999999</c:v>
                </c:pt>
                <c:pt idx="28" formatCode="0.0">
                  <c:v>205.66700739999999</c:v>
                </c:pt>
                <c:pt idx="29" formatCode="0.0">
                  <c:v>197.3999939</c:v>
                </c:pt>
                <c:pt idx="30" formatCode="0.0">
                  <c:v>194.98199460000001</c:v>
                </c:pt>
                <c:pt idx="31" formatCode="General">
                  <c:v>190.13999938964801</c:v>
                </c:pt>
                <c:pt idx="32" formatCode="General">
                  <c:v>186.17300420000001</c:v>
                </c:pt>
                <c:pt idx="33" formatCode="General">
                  <c:v>183.14799500000001</c:v>
                </c:pt>
                <c:pt idx="34" formatCode="General">
                  <c:v>175.24000549316401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formatCode="General">
                  <c:v>296.54501340000002</c:v>
                </c:pt>
                <c:pt idx="14" formatCode="General">
                  <c:v>289.60299680000003</c:v>
                </c:pt>
                <c:pt idx="15" formatCode="General">
                  <c:v>285.006012</c:v>
                </c:pt>
                <c:pt idx="16" formatCode="General">
                  <c:v>285.00601196289</c:v>
                </c:pt>
                <c:pt idx="17" formatCode="General">
                  <c:v>285.006012</c:v>
                </c:pt>
                <c:pt idx="18" formatCode="General">
                  <c:v>314.7409973</c:v>
                </c:pt>
                <c:pt idx="19" formatCode="General">
                  <c:v>314.14801030000001</c:v>
                </c:pt>
                <c:pt idx="20" formatCode="0.000">
                  <c:v>312.37200927734301</c:v>
                </c:pt>
                <c:pt idx="21" formatCode="0.000">
                  <c:v>310.60000609999997</c:v>
                </c:pt>
                <c:pt idx="22" formatCode="0.000">
                  <c:v>307.06500240000003</c:v>
                </c:pt>
                <c:pt idx="23" formatCode="0.000">
                  <c:v>300.621002197265</c:v>
                </c:pt>
                <c:pt idx="24" formatCode="0.000">
                  <c:v>286.72698969999999</c:v>
                </c:pt>
                <c:pt idx="25" formatCode="0.000">
                  <c:v>266.86801150000002</c:v>
                </c:pt>
                <c:pt idx="26" formatCode="0.000">
                  <c:v>255.73500061035099</c:v>
                </c:pt>
                <c:pt idx="27" formatCode="0.000">
                  <c:v>244.7590027</c:v>
                </c:pt>
                <c:pt idx="28" formatCode="0.000">
                  <c:v>231.25799559999999</c:v>
                </c:pt>
                <c:pt idx="29" formatCode="0.000">
                  <c:v>219.58000179999999</c:v>
                </c:pt>
                <c:pt idx="30" formatCode="0.000">
                  <c:v>209.128006</c:v>
                </c:pt>
                <c:pt idx="31" formatCode="General">
                  <c:v>201.39199830000001</c:v>
                </c:pt>
                <c:pt idx="32" formatCode="General">
                  <c:v>189.6999969</c:v>
                </c:pt>
                <c:pt idx="33" formatCode="General">
                  <c:v>178.71099849999999</c:v>
                </c:pt>
                <c:pt idx="34" formatCode="General">
                  <c:v>167.91000366210901</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0503203600911035E-2"/>
          <c:y val="0.22479002447809646"/>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formatCode="General">
                  <c:v>398.93495940999998</c:v>
                </c:pt>
                <c:pt idx="14" formatCode="General">
                  <c:v>388.01895332999999</c:v>
                </c:pt>
                <c:pt idx="15" formatCode="General">
                  <c:v>383.39695458999995</c:v>
                </c:pt>
                <c:pt idx="16" formatCode="General">
                  <c:v>381.56399345397853</c:v>
                </c:pt>
                <c:pt idx="17" formatCode="General">
                  <c:v>379.87400246999994</c:v>
                </c:pt>
                <c:pt idx="18" formatCode="General">
                  <c:v>375.69400404000004</c:v>
                </c:pt>
                <c:pt idx="19" formatCode="General">
                  <c:v>370.56599616999995</c:v>
                </c:pt>
                <c:pt idx="20" formatCode="General">
                  <c:v>365.52200794219863</c:v>
                </c:pt>
                <c:pt idx="21" formatCode="General">
                  <c:v>359.19900507300002</c:v>
                </c:pt>
                <c:pt idx="22" formatCode="General">
                  <c:v>354.24799921000005</c:v>
                </c:pt>
                <c:pt idx="23" formatCode="General">
                  <c:v>348.87000203132561</c:v>
                </c:pt>
                <c:pt idx="24" formatCode="General">
                  <c:v>343.83099551700002</c:v>
                </c:pt>
                <c:pt idx="25" formatCode="General">
                  <c:v>338.47100355099997</c:v>
                </c:pt>
                <c:pt idx="26" formatCode="General">
                  <c:v>333.23996639251612</c:v>
                </c:pt>
                <c:pt idx="27" formatCode="General">
                  <c:v>327.71050074999999</c:v>
                </c:pt>
                <c:pt idx="28" formatCode="General">
                  <c:v>322.11699965099996</c:v>
                </c:pt>
                <c:pt idx="29" formatCode="General">
                  <c:v>316.39600081599997</c:v>
                </c:pt>
                <c:pt idx="30" formatCode="General">
                  <c:v>310.66199637099999</c:v>
                </c:pt>
                <c:pt idx="31" formatCode="General">
                  <c:v>304.63100243800005</c:v>
                </c:pt>
                <c:pt idx="32" formatCode="General">
                  <c:v>299.14499665</c:v>
                </c:pt>
                <c:pt idx="33" formatCode="General">
                  <c:v>293.22399712800001</c:v>
                </c:pt>
                <c:pt idx="34" formatCode="General">
                  <c:v>287.11000061035065</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1894.8579691774999</c:v>
                </c:pt>
                <c:pt idx="1">
                  <c:v>2292.94144164</c:v>
                </c:pt>
                <c:pt idx="2">
                  <c:v>0</c:v>
                </c:pt>
                <c:pt idx="3">
                  <c:v>1.1711547050000002</c:v>
                </c:pt>
                <c:pt idx="4">
                  <c:v>21.908682495000001</c:v>
                </c:pt>
                <c:pt idx="5">
                  <c:v>124.6546490225</c:v>
                </c:pt>
                <c:pt idx="6">
                  <c:v>66.063445387499982</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2102.6797259975001</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0</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2.9898623575000003</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23.10479591</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183.26538812499999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64.267350870000001</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'12.Caudales'!$N$4:$N$195</c:f>
              <c:numCache>
                <c:formatCode>0.0</c:formatCode>
                <c:ptCount val="192"/>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pt idx="170">
                  <c:v>109.14457049285714</c:v>
                </c:pt>
                <c:pt idx="171">
                  <c:v>80.133571635714276</c:v>
                </c:pt>
                <c:pt idx="172">
                  <c:v>57.13714327142857</c:v>
                </c:pt>
                <c:pt idx="173">
                  <c:v>55.184285845075259</c:v>
                </c:pt>
                <c:pt idx="174">
                  <c:v>80.201000221428572</c:v>
                </c:pt>
                <c:pt idx="175">
                  <c:v>73.398713792857151</c:v>
                </c:pt>
                <c:pt idx="176">
                  <c:v>57.629714421428567</c:v>
                </c:pt>
                <c:pt idx="177">
                  <c:v>47.208427974155924</c:v>
                </c:pt>
                <c:pt idx="178">
                  <c:v>39.635571071428572</c:v>
                </c:pt>
                <c:pt idx="179">
                  <c:v>49.136857168571431</c:v>
                </c:pt>
                <c:pt idx="180">
                  <c:v>34.150428227015844</c:v>
                </c:pt>
                <c:pt idx="181">
                  <c:v>32.288857598571425</c:v>
                </c:pt>
                <c:pt idx="182">
                  <c:v>29.45585686714286</c:v>
                </c:pt>
                <c:pt idx="183">
                  <c:v>27.986428669520745</c:v>
                </c:pt>
                <c:pt idx="184">
                  <c:v>24.371857235714284</c:v>
                </c:pt>
                <c:pt idx="185">
                  <c:v>23.620857238571428</c:v>
                </c:pt>
                <c:pt idx="186">
                  <c:v>26.757428577142853</c:v>
                </c:pt>
                <c:pt idx="187">
                  <c:v>26.481285638571428</c:v>
                </c:pt>
                <c:pt idx="188">
                  <c:v>25.506571633475126</c:v>
                </c:pt>
                <c:pt idx="189">
                  <c:v>31.441428594285707</c:v>
                </c:pt>
                <c:pt idx="190">
                  <c:v>33.365713935714282</c:v>
                </c:pt>
                <c:pt idx="191">
                  <c:v>29.068999699183816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'12.Caudales'!$O$4:$O$195</c:f>
              <c:numCache>
                <c:formatCode>0.0</c:formatCode>
                <c:ptCount val="192"/>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pt idx="170">
                  <c:v>82.626999985714278</c:v>
                </c:pt>
                <c:pt idx="171">
                  <c:v>89.91342707714287</c:v>
                </c:pt>
                <c:pt idx="172">
                  <c:v>73.487428932857142</c:v>
                </c:pt>
                <c:pt idx="173">
                  <c:v>80.585714067731558</c:v>
                </c:pt>
                <c:pt idx="174">
                  <c:v>93.131286082857144</c:v>
                </c:pt>
                <c:pt idx="175">
                  <c:v>43.960427964285714</c:v>
                </c:pt>
                <c:pt idx="176">
                  <c:v>29.038571492857141</c:v>
                </c:pt>
                <c:pt idx="177">
                  <c:v>20.747856957571798</c:v>
                </c:pt>
                <c:pt idx="178">
                  <c:v>28.597570964285715</c:v>
                </c:pt>
                <c:pt idx="179">
                  <c:v>19.104714530000003</c:v>
                </c:pt>
                <c:pt idx="180">
                  <c:v>14.211285591125442</c:v>
                </c:pt>
                <c:pt idx="181">
                  <c:v>11.628714288571429</c:v>
                </c:pt>
                <c:pt idx="182">
                  <c:v>11.67571422</c:v>
                </c:pt>
                <c:pt idx="183">
                  <c:v>27.48885754176543</c:v>
                </c:pt>
                <c:pt idx="184">
                  <c:v>32.395143782857147</c:v>
                </c:pt>
                <c:pt idx="185">
                  <c:v>14.974999971428572</c:v>
                </c:pt>
                <c:pt idx="186">
                  <c:v>14.12842846</c:v>
                </c:pt>
                <c:pt idx="187">
                  <c:v>10.121857098285714</c:v>
                </c:pt>
                <c:pt idx="188">
                  <c:v>7.7241428239004906</c:v>
                </c:pt>
                <c:pt idx="189">
                  <c:v>8.5772858349999996</c:v>
                </c:pt>
                <c:pt idx="190">
                  <c:v>6.7090001108571427</c:v>
                </c:pt>
                <c:pt idx="191">
                  <c:v>5.7295714105878517</c:v>
                </c:pt>
              </c:numCache>
            </c:numRef>
          </c:val>
          <c:extLst>
            <c:ext xmlns:c16="http://schemas.microsoft.com/office/drawing/2014/chart" uri="{C3380CC4-5D6E-409C-BE32-E72D297353CC}">
              <c16:uniqueId val="{00000001-B673-4AFB-8D65-573216AF8130}"/>
            </c:ext>
          </c:extLst>
        </c:ser>
        <c:dLbls>
          <c:showLegendKey val="0"/>
          <c:showVal val="0"/>
          <c:showCatName val="0"/>
          <c:showSerName val="0"/>
          <c:showPercent val="0"/>
          <c:showBubbleSize val="0"/>
        </c:dLbls>
        <c:axId val="351129984"/>
        <c:axId val="351131904"/>
      </c:areaChart>
      <c:lineChart>
        <c:grouping val="standard"/>
        <c:varyColors val="0"/>
        <c:ser>
          <c:idx val="1"/>
          <c:order val="2"/>
          <c:tx>
            <c:strRef>
              <c:f>'12.Caudales'!$M$3</c:f>
              <c:strCache>
                <c:ptCount val="1"/>
                <c:pt idx="0">
                  <c:v>PATIVILCA</c:v>
                </c:pt>
              </c:strCache>
            </c:strRef>
          </c:tx>
          <c:spPr>
            <a:ln>
              <a:solidFill>
                <a:schemeClr val="accent1">
                  <a:lumMod val="75000"/>
                </a:schemeClr>
              </a:solidFill>
            </a:ln>
          </c:spPr>
          <c:marker>
            <c:symbol val="none"/>
          </c:marker>
          <c:cat>
            <c:multiLvlStrRef>
              <c:f>'12.Caudales'!$J$4:$K$195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7">
                    <c:v>34</c:v>
                  </c:pt>
                  <c:pt idx="143">
                    <c:v>40</c:v>
                  </c:pt>
                  <c:pt idx="147">
                    <c:v>44</c:v>
                  </c:pt>
                  <c:pt idx="151">
                    <c:v>48</c:v>
                  </c:pt>
                  <c:pt idx="155">
                    <c:v>52</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'12.Caudales'!$M$4:$M$195</c:f>
              <c:numCache>
                <c:formatCode>0.0</c:formatCode>
                <c:ptCount val="192"/>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pt idx="170">
                  <c:v>57.796857017142862</c:v>
                </c:pt>
                <c:pt idx="171">
                  <c:v>44.430285317142861</c:v>
                </c:pt>
                <c:pt idx="172">
                  <c:v>30.701856885714285</c:v>
                </c:pt>
                <c:pt idx="173">
                  <c:v>24.932857240949314</c:v>
                </c:pt>
                <c:pt idx="174">
                  <c:v>46.867285591428576</c:v>
                </c:pt>
                <c:pt idx="175">
                  <c:v>39.880857740000003</c:v>
                </c:pt>
                <c:pt idx="176">
                  <c:v>34.332998821428575</c:v>
                </c:pt>
                <c:pt idx="177">
                  <c:v>28.39914212908057</c:v>
                </c:pt>
                <c:pt idx="178">
                  <c:v>19.016142710000004</c:v>
                </c:pt>
                <c:pt idx="179">
                  <c:v>16.323713982857143</c:v>
                </c:pt>
                <c:pt idx="180">
                  <c:v>14.458999906267413</c:v>
                </c:pt>
                <c:pt idx="181">
                  <c:v>13.476999827142858</c:v>
                </c:pt>
                <c:pt idx="182">
                  <c:v>14.175142699999999</c:v>
                </c:pt>
                <c:pt idx="183">
                  <c:v>12.859571456909155</c:v>
                </c:pt>
                <c:pt idx="184">
                  <c:v>11.472142902857144</c:v>
                </c:pt>
                <c:pt idx="185">
                  <c:v>11.32885715142857</c:v>
                </c:pt>
                <c:pt idx="186">
                  <c:v>11.152000155714285</c:v>
                </c:pt>
                <c:pt idx="187">
                  <c:v>10.852571488571428</c:v>
                </c:pt>
                <c:pt idx="188">
                  <c:v>10.338285718645329</c:v>
                </c:pt>
                <c:pt idx="189">
                  <c:v>11.413999967142857</c:v>
                </c:pt>
                <c:pt idx="190">
                  <c:v>11.662143027142859</c:v>
                </c:pt>
                <c:pt idx="191">
                  <c:v>11.541428702218141</c:v>
                </c:pt>
              </c:numCache>
            </c:numRef>
          </c:val>
          <c:smooth val="0"/>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marker val="1"/>
        <c:smooth val="0"/>
        <c:axId val="351129984"/>
        <c:axId val="351131904"/>
      </c:line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tickLblSkip val="255"/>
        <c:tickMarkSkip val="6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between"/>
      </c:valAx>
    </c:plotArea>
    <c:legend>
      <c:legendPos val="t"/>
      <c:layout>
        <c:manualLayout>
          <c:xMode val="edge"/>
          <c:yMode val="edge"/>
          <c:x val="0.20820113575646959"/>
          <c:y val="0.15812672638644781"/>
          <c:w val="0.64000187784167084"/>
          <c:h val="6.5637234474917552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'13.Caudales'!$Q$4:$Q$195</c:f>
              <c:numCache>
                <c:formatCode>0.0</c:formatCode>
                <c:ptCount val="192"/>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pt idx="170">
                  <c:v>18.795857294285714</c:v>
                </c:pt>
                <c:pt idx="171" formatCode="0.00">
                  <c:v>16.380999974285714</c:v>
                </c:pt>
                <c:pt idx="172">
                  <c:v>15.142857142857142</c:v>
                </c:pt>
                <c:pt idx="173">
                  <c:v>14.535142626081141</c:v>
                </c:pt>
                <c:pt idx="174">
                  <c:v>15.919285638571427</c:v>
                </c:pt>
                <c:pt idx="175">
                  <c:v>16.148714472857144</c:v>
                </c:pt>
                <c:pt idx="176">
                  <c:v>13.91285719</c:v>
                </c:pt>
                <c:pt idx="177">
                  <c:v>12.832571710859</c:v>
                </c:pt>
                <c:pt idx="178">
                  <c:v>11.589857237142857</c:v>
                </c:pt>
                <c:pt idx="179">
                  <c:v>10.866000038571428</c:v>
                </c:pt>
                <c:pt idx="180">
                  <c:v>10.893428530011814</c:v>
                </c:pt>
                <c:pt idx="181">
                  <c:v>9.7685713087142858</c:v>
                </c:pt>
                <c:pt idx="182">
                  <c:v>9.3011428291428579</c:v>
                </c:pt>
                <c:pt idx="183">
                  <c:v>9.0898572376796078</c:v>
                </c:pt>
                <c:pt idx="184">
                  <c:v>8.3315715788571421</c:v>
                </c:pt>
                <c:pt idx="185">
                  <c:v>8.7399999755714273</c:v>
                </c:pt>
                <c:pt idx="186">
                  <c:v>8.2612857819999999</c:v>
                </c:pt>
                <c:pt idx="187">
                  <c:v>7.5295715331428577</c:v>
                </c:pt>
                <c:pt idx="188">
                  <c:v>7.1332857268197154</c:v>
                </c:pt>
                <c:pt idx="189">
                  <c:v>7.307000092</c:v>
                </c:pt>
                <c:pt idx="190">
                  <c:v>6.8864285605714288</c:v>
                </c:pt>
                <c:pt idx="191">
                  <c:v>6.9537143707275364</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'13.Caudales'!$R$4:$R$195</c:f>
              <c:numCache>
                <c:formatCode>0.0</c:formatCode>
                <c:ptCount val="192"/>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pt idx="170">
                  <c:v>18.168000220000003</c:v>
                </c:pt>
                <c:pt idx="171" formatCode="0.00">
                  <c:v>14.786285537142858</c:v>
                </c:pt>
                <c:pt idx="172">
                  <c:v>11.113285608857142</c:v>
                </c:pt>
                <c:pt idx="173">
                  <c:v>7.95871441704886</c:v>
                </c:pt>
                <c:pt idx="174">
                  <c:v>12.133857388142859</c:v>
                </c:pt>
                <c:pt idx="175">
                  <c:v>14.776714189999998</c:v>
                </c:pt>
                <c:pt idx="176">
                  <c:v>10.484285559</c:v>
                </c:pt>
                <c:pt idx="177">
                  <c:v>8.7072857448032899</c:v>
                </c:pt>
                <c:pt idx="178">
                  <c:v>7.6087141037142851</c:v>
                </c:pt>
                <c:pt idx="179">
                  <c:v>6.6898570742857144</c:v>
                </c:pt>
                <c:pt idx="180">
                  <c:v>6.3937142235892095</c:v>
                </c:pt>
                <c:pt idx="181">
                  <c:v>5.4858571460000007</c:v>
                </c:pt>
                <c:pt idx="182">
                  <c:v>5.6422856875714285</c:v>
                </c:pt>
                <c:pt idx="183">
                  <c:v>4.8411428587777223</c:v>
                </c:pt>
                <c:pt idx="184">
                  <c:v>4.0902857780000001</c:v>
                </c:pt>
                <c:pt idx="185">
                  <c:v>3.3690000857142857</c:v>
                </c:pt>
                <c:pt idx="186">
                  <c:v>3.9334286622857135</c:v>
                </c:pt>
                <c:pt idx="187">
                  <c:v>3.8718570981428577</c:v>
                </c:pt>
                <c:pt idx="188">
                  <c:v>3.9694285733359158</c:v>
                </c:pt>
                <c:pt idx="189">
                  <c:v>4.0542857307142848</c:v>
                </c:pt>
                <c:pt idx="190">
                  <c:v>3.8852857181428568</c:v>
                </c:pt>
                <c:pt idx="191">
                  <c:v>3.3560000147138283</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tickLblSkip val="2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between"/>
      </c:valAx>
    </c:plotArea>
    <c:legend>
      <c:legendPos val="t"/>
      <c:layout>
        <c:manualLayout>
          <c:xMode val="edge"/>
          <c:yMode val="edge"/>
          <c:x val="0.34111515197232239"/>
          <c:y val="0.1710458958743877"/>
          <c:w val="0.33978052701922146"/>
          <c:h val="6.426455888756185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'13.Caudales'!$N$4:$O$1755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'13.Caudales'!$S$4:$S$195</c:f>
              <c:numCache>
                <c:formatCode>0.0</c:formatCode>
                <c:ptCount val="192"/>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pt idx="170">
                  <c:v>298.48543221428571</c:v>
                </c:pt>
                <c:pt idx="171" formatCode="0.00">
                  <c:v>196.30642698571427</c:v>
                </c:pt>
                <c:pt idx="172">
                  <c:v>144.25785718571427</c:v>
                </c:pt>
                <c:pt idx="173">
                  <c:v>118.61742946079741</c:v>
                </c:pt>
                <c:pt idx="174">
                  <c:v>119.46943012857146</c:v>
                </c:pt>
                <c:pt idx="175">
                  <c:v>179.62085941428572</c:v>
                </c:pt>
                <c:pt idx="176">
                  <c:v>132.41042655714287</c:v>
                </c:pt>
                <c:pt idx="177">
                  <c:v>118.96285901750787</c:v>
                </c:pt>
                <c:pt idx="178">
                  <c:v>92.527713229999989</c:v>
                </c:pt>
                <c:pt idx="179">
                  <c:v>86.262142725714284</c:v>
                </c:pt>
                <c:pt idx="180">
                  <c:v>80.154999869210343</c:v>
                </c:pt>
                <c:pt idx="181">
                  <c:v>71.438000270000003</c:v>
                </c:pt>
                <c:pt idx="182">
                  <c:v>70.798141479999998</c:v>
                </c:pt>
                <c:pt idx="183">
                  <c:v>72.323284694126613</c:v>
                </c:pt>
                <c:pt idx="184">
                  <c:v>70.352427891428562</c:v>
                </c:pt>
                <c:pt idx="185">
                  <c:v>69.363000051428585</c:v>
                </c:pt>
                <c:pt idx="186">
                  <c:v>68.101856775714282</c:v>
                </c:pt>
                <c:pt idx="187">
                  <c:v>66.163572037142856</c:v>
                </c:pt>
                <c:pt idx="188">
                  <c:v>69.589143480573355</c:v>
                </c:pt>
                <c:pt idx="189">
                  <c:v>67.52914374142857</c:v>
                </c:pt>
                <c:pt idx="190">
                  <c:v>67.307859692857136</c:v>
                </c:pt>
                <c:pt idx="191">
                  <c:v>62.870428357805473</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'13.Caudales'!$N$4:$O$1755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'13.Caudales'!$T$4:$T$195</c:f>
              <c:numCache>
                <c:formatCode>0.0</c:formatCode>
                <c:ptCount val="192"/>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pt idx="170">
                  <c:v>156.28586031428571</c:v>
                </c:pt>
                <c:pt idx="171" formatCode="0.00">
                  <c:v>126.20242854857143</c:v>
                </c:pt>
                <c:pt idx="172">
                  <c:v>112.32742854857143</c:v>
                </c:pt>
                <c:pt idx="173">
                  <c:v>86.636999947684131</c:v>
                </c:pt>
                <c:pt idx="174">
                  <c:v>95.79771531714286</c:v>
                </c:pt>
                <c:pt idx="175">
                  <c:v>63.654857091428575</c:v>
                </c:pt>
                <c:pt idx="176">
                  <c:v>63.017857142857146</c:v>
                </c:pt>
                <c:pt idx="177">
                  <c:v>55.553428649902308</c:v>
                </c:pt>
                <c:pt idx="178">
                  <c:v>48.85114288285714</c:v>
                </c:pt>
                <c:pt idx="179">
                  <c:v>49.02971431142857</c:v>
                </c:pt>
                <c:pt idx="180">
                  <c:v>39.363000052315797</c:v>
                </c:pt>
                <c:pt idx="181">
                  <c:v>31.88514287142857</c:v>
                </c:pt>
                <c:pt idx="182">
                  <c:v>29.80342864857143</c:v>
                </c:pt>
                <c:pt idx="183">
                  <c:v>28.875142778669062</c:v>
                </c:pt>
                <c:pt idx="184">
                  <c:v>27.071428571428573</c:v>
                </c:pt>
                <c:pt idx="185">
                  <c:v>26.369142805714286</c:v>
                </c:pt>
                <c:pt idx="186">
                  <c:v>23.077571325714285</c:v>
                </c:pt>
                <c:pt idx="187">
                  <c:v>20.36314283098493</c:v>
                </c:pt>
                <c:pt idx="188">
                  <c:v>20.36</c:v>
                </c:pt>
                <c:pt idx="189">
                  <c:v>23.369000025714286</c:v>
                </c:pt>
                <c:pt idx="190">
                  <c:v>24.434428622857144</c:v>
                </c:pt>
                <c:pt idx="191">
                  <c:v>21.077428545270632</c:v>
                </c:pt>
              </c:numCache>
            </c:numRef>
          </c:val>
          <c:extLst>
            <c:ext xmlns:c16="http://schemas.microsoft.com/office/drawing/2014/chart" uri="{C3380CC4-5D6E-409C-BE32-E72D297353CC}">
              <c16:uniqueId val="{00000001-B34C-4256-AD7D-0647565F6528}"/>
            </c:ext>
          </c:extLst>
        </c:ser>
        <c:dLbls>
          <c:showLegendKey val="0"/>
          <c:showVal val="0"/>
          <c:showCatName val="0"/>
          <c:showSerName val="0"/>
          <c:showPercent val="0"/>
          <c:showBubbleSize val="0"/>
        </c:dLbls>
        <c:axId val="351297536"/>
        <c:axId val="351299456"/>
      </c:areaChart>
      <c:lineChart>
        <c:grouping val="standard"/>
        <c:varyColors val="0"/>
        <c:ser>
          <c:idx val="1"/>
          <c:order val="2"/>
          <c:tx>
            <c:strRef>
              <c:f>'13.Caudales'!$U$3</c:f>
              <c:strCache>
                <c:ptCount val="1"/>
                <c:pt idx="0">
                  <c:v>TARMA</c:v>
                </c:pt>
              </c:strCache>
            </c:strRef>
          </c:tx>
          <c:spPr>
            <a:ln>
              <a:solidFill>
                <a:schemeClr val="accent1">
                  <a:lumMod val="75000"/>
                </a:schemeClr>
              </a:solidFill>
            </a:ln>
          </c:spPr>
          <c:marker>
            <c:symbol val="none"/>
          </c:marke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'13.Caudales'!$U$4:$U$195</c:f>
              <c:numCache>
                <c:formatCode>0.0</c:formatCode>
                <c:ptCount val="192"/>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pt idx="170">
                  <c:v>40.567142485714285</c:v>
                </c:pt>
                <c:pt idx="171" formatCode="0.00">
                  <c:v>27.609000341428576</c:v>
                </c:pt>
                <c:pt idx="172">
                  <c:v>23.319143022857144</c:v>
                </c:pt>
                <c:pt idx="173">
                  <c:v>19.662570953369116</c:v>
                </c:pt>
                <c:pt idx="174">
                  <c:v>21.329571314285715</c:v>
                </c:pt>
                <c:pt idx="175">
                  <c:v>18.961428234285709</c:v>
                </c:pt>
                <c:pt idx="176">
                  <c:v>17.724285941428572</c:v>
                </c:pt>
                <c:pt idx="177">
                  <c:v>14.547714369637587</c:v>
                </c:pt>
                <c:pt idx="178">
                  <c:v>12.851142882857143</c:v>
                </c:pt>
                <c:pt idx="179">
                  <c:v>13.300571305714286</c:v>
                </c:pt>
                <c:pt idx="180">
                  <c:v>11.205857140677287</c:v>
                </c:pt>
                <c:pt idx="181">
                  <c:v>9.1724285395714276</c:v>
                </c:pt>
                <c:pt idx="182">
                  <c:v>8.6642858641428564</c:v>
                </c:pt>
                <c:pt idx="183">
                  <c:v>8.3150001253400507</c:v>
                </c:pt>
                <c:pt idx="184">
                  <c:v>7.9792855807142846</c:v>
                </c:pt>
                <c:pt idx="185">
                  <c:v>7.2952857698571441</c:v>
                </c:pt>
                <c:pt idx="186">
                  <c:v>7.5452858379999999</c:v>
                </c:pt>
                <c:pt idx="187">
                  <c:v>7.1267142297142865</c:v>
                </c:pt>
                <c:pt idx="188">
                  <c:v>6.828428472791396</c:v>
                </c:pt>
                <c:pt idx="189">
                  <c:v>6.6690000125714279</c:v>
                </c:pt>
                <c:pt idx="190">
                  <c:v>6.6477142742857138</c:v>
                </c:pt>
                <c:pt idx="191">
                  <c:v>6.0071428843906904</c:v>
                </c:pt>
              </c:numCache>
            </c:numRef>
          </c:val>
          <c:smooth val="0"/>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marker val="1"/>
        <c:smooth val="0"/>
        <c:axId val="351297536"/>
        <c:axId val="351299456"/>
      </c:line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tickLblSkip val="25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between"/>
      </c:valAx>
    </c:plotArea>
    <c:legend>
      <c:legendPos val="t"/>
      <c:layout>
        <c:manualLayout>
          <c:xMode val="edge"/>
          <c:yMode val="edge"/>
          <c:x val="0.52348384361815492"/>
          <c:y val="0.11450845005374818"/>
          <c:w val="0.44737462991043048"/>
          <c:h val="6.4264558887561857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88581872474147405"/>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'13.Caudales'!$V$4:$V$195</c:f>
              <c:numCache>
                <c:formatCode>0.0</c:formatCode>
                <c:ptCount val="192"/>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pt idx="170">
                  <c:v>21.36</c:v>
                </c:pt>
                <c:pt idx="171" formatCode="0.00">
                  <c:v>23.601429802857144</c:v>
                </c:pt>
                <c:pt idx="172">
                  <c:v>16.145714351428573</c:v>
                </c:pt>
                <c:pt idx="173">
                  <c:v>14.007261548723459</c:v>
                </c:pt>
                <c:pt idx="174">
                  <c:v>12.484048571428572</c:v>
                </c:pt>
                <c:pt idx="175">
                  <c:v>11.436902861999998</c:v>
                </c:pt>
                <c:pt idx="176">
                  <c:v>12.01881</c:v>
                </c:pt>
                <c:pt idx="177">
                  <c:v>11.963334356035457</c:v>
                </c:pt>
                <c:pt idx="178">
                  <c:v>11.972144264285713</c:v>
                </c:pt>
                <c:pt idx="179">
                  <c:v>12.060297148571431</c:v>
                </c:pt>
                <c:pt idx="180">
                  <c:v>12.025059972490542</c:v>
                </c:pt>
                <c:pt idx="181">
                  <c:v>11.867550168571428</c:v>
                </c:pt>
                <c:pt idx="182">
                  <c:v>11.961507115714285</c:v>
                </c:pt>
                <c:pt idx="183">
                  <c:v>12.125935554504371</c:v>
                </c:pt>
                <c:pt idx="184">
                  <c:v>12.036131450000001</c:v>
                </c:pt>
                <c:pt idx="185">
                  <c:v>12.01250158142857</c:v>
                </c:pt>
                <c:pt idx="186">
                  <c:v>12.065415654285715</c:v>
                </c:pt>
                <c:pt idx="187">
                  <c:v>12.064045632857143</c:v>
                </c:pt>
                <c:pt idx="188">
                  <c:v>11.89809417724604</c:v>
                </c:pt>
                <c:pt idx="189">
                  <c:v>11.954105787142856</c:v>
                </c:pt>
                <c:pt idx="190">
                  <c:v>11.958392961428572</c:v>
                </c:pt>
                <c:pt idx="191">
                  <c:v>12.309941428048228</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a:ln w="25400">
              <a:noFill/>
            </a:ln>
          </c:spPr>
          <c:cat>
            <c:multiLvlStrRef>
              <c:f>'13.Caudales'!$N$4:$O$195</c:f>
              <c:multiLvlStrCache>
                <c:ptCount val="192"/>
                <c:lvl>
                  <c:pt idx="0">
                    <c:v>1</c:v>
                  </c:pt>
                  <c:pt idx="3">
                    <c:v>4</c:v>
                  </c:pt>
                  <c:pt idx="7">
                    <c:v>8</c:v>
                  </c:pt>
                  <c:pt idx="11">
                    <c:v>12</c:v>
                  </c:pt>
                  <c:pt idx="15">
                    <c:v>16</c:v>
                  </c:pt>
                  <c:pt idx="19">
                    <c:v>20</c:v>
                  </c:pt>
                  <c:pt idx="23">
                    <c:v>24</c:v>
                  </c:pt>
                  <c:pt idx="27">
                    <c:v>28</c:v>
                  </c:pt>
                  <c:pt idx="31">
                    <c:v>32</c:v>
                  </c:pt>
                  <c:pt idx="35">
                    <c:v>36</c:v>
                  </c:pt>
                  <c:pt idx="38">
                    <c:v>39</c:v>
                  </c:pt>
                  <c:pt idx="42">
                    <c:v>43</c:v>
                  </c:pt>
                  <c:pt idx="47">
                    <c:v>48</c:v>
                  </c:pt>
                  <c:pt idx="51">
                    <c:v>52</c:v>
                  </c:pt>
                  <c:pt idx="52">
                    <c:v>1</c:v>
                  </c:pt>
                  <c:pt idx="55">
                    <c:v>4</c:v>
                  </c:pt>
                  <c:pt idx="59">
                    <c:v>8</c:v>
                  </c:pt>
                  <c:pt idx="63">
                    <c:v>12</c:v>
                  </c:pt>
                  <c:pt idx="67">
                    <c:v>16</c:v>
                  </c:pt>
                  <c:pt idx="71">
                    <c:v>20</c:v>
                  </c:pt>
                  <c:pt idx="75">
                    <c:v>24</c:v>
                  </c:pt>
                  <c:pt idx="79">
                    <c:v>28</c:v>
                  </c:pt>
                  <c:pt idx="83">
                    <c:v>32</c:v>
                  </c:pt>
                  <c:pt idx="87">
                    <c:v>36</c:v>
                  </c:pt>
                  <c:pt idx="91">
                    <c:v>40</c:v>
                  </c:pt>
                  <c:pt idx="95">
                    <c:v>44</c:v>
                  </c:pt>
                  <c:pt idx="99">
                    <c:v>48</c:v>
                  </c:pt>
                  <c:pt idx="103">
                    <c:v>52</c:v>
                  </c:pt>
                  <c:pt idx="104">
                    <c:v>1</c:v>
                  </c:pt>
                  <c:pt idx="107">
                    <c:v>4</c:v>
                  </c:pt>
                  <c:pt idx="111">
                    <c:v>8</c:v>
                  </c:pt>
                  <c:pt idx="115">
                    <c:v>12</c:v>
                  </c:pt>
                  <c:pt idx="119">
                    <c:v>16</c:v>
                  </c:pt>
                  <c:pt idx="125">
                    <c:v>22</c:v>
                  </c:pt>
                  <c:pt idx="129">
                    <c:v>26</c:v>
                  </c:pt>
                  <c:pt idx="133">
                    <c:v>30</c:v>
                  </c:pt>
                  <c:pt idx="139">
                    <c:v>36</c:v>
                  </c:pt>
                  <c:pt idx="143">
                    <c:v>40</c:v>
                  </c:pt>
                  <c:pt idx="147">
                    <c:v>44</c:v>
                  </c:pt>
                  <c:pt idx="151">
                    <c:v>48</c:v>
                  </c:pt>
                  <c:pt idx="156">
                    <c:v>53</c:v>
                  </c:pt>
                  <c:pt idx="160">
                    <c:v>4</c:v>
                  </c:pt>
                  <c:pt idx="164">
                    <c:v>8</c:v>
                  </c:pt>
                  <c:pt idx="168">
                    <c:v>12</c:v>
                  </c:pt>
                  <c:pt idx="172">
                    <c:v>16</c:v>
                  </c:pt>
                  <c:pt idx="176">
                    <c:v>20</c:v>
                  </c:pt>
                  <c:pt idx="180">
                    <c:v>24</c:v>
                  </c:pt>
                  <c:pt idx="184">
                    <c:v>28</c:v>
                  </c:pt>
                  <c:pt idx="188">
                    <c:v>32</c:v>
                  </c:pt>
                  <c:pt idx="191">
                    <c:v>35</c:v>
                  </c:pt>
                </c:lvl>
                <c:lvl>
                  <c:pt idx="0">
                    <c:v>2017</c:v>
                  </c:pt>
                  <c:pt idx="52">
                    <c:v>2018</c:v>
                  </c:pt>
                  <c:pt idx="104">
                    <c:v>2019</c:v>
                  </c:pt>
                  <c:pt idx="157">
                    <c:v>2020</c:v>
                  </c:pt>
                </c:lvl>
              </c:multiLvlStrCache>
            </c:multiLvlStrRef>
          </c:cat>
          <c:val>
            <c:numRef>
              <c:f>'13.Caudales'!$W$4:$W$195</c:f>
              <c:numCache>
                <c:formatCode>0.0</c:formatCode>
                <c:ptCount val="192"/>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pt idx="170">
                  <c:v>4.6619999238571435</c:v>
                </c:pt>
                <c:pt idx="171" formatCode="0.00">
                  <c:v>2.5870000464285714</c:v>
                </c:pt>
                <c:pt idx="172">
                  <c:v>1.9568571534285717</c:v>
                </c:pt>
                <c:pt idx="173">
                  <c:v>2.0897142546517471</c:v>
                </c:pt>
                <c:pt idx="174">
                  <c:v>2.074857081857143</c:v>
                </c:pt>
                <c:pt idx="175">
                  <c:v>1.6491428614285712</c:v>
                </c:pt>
                <c:pt idx="176">
                  <c:v>1.6491428614285712</c:v>
                </c:pt>
                <c:pt idx="177">
                  <c:v>1.6175714560917398</c:v>
                </c:pt>
                <c:pt idx="178">
                  <c:v>1.7258571555714286</c:v>
                </c:pt>
                <c:pt idx="179">
                  <c:v>2.2755714314285713</c:v>
                </c:pt>
                <c:pt idx="180">
                  <c:v>2.2755714314324473</c:v>
                </c:pt>
                <c:pt idx="181">
                  <c:v>1.7577142885714285</c:v>
                </c:pt>
                <c:pt idx="182">
                  <c:v>1.7387143204285713</c:v>
                </c:pt>
                <c:pt idx="183">
                  <c:v>2.0545714242117699</c:v>
                </c:pt>
                <c:pt idx="184">
                  <c:v>1.862857103571429</c:v>
                </c:pt>
                <c:pt idx="185">
                  <c:v>2.1428571427142855</c:v>
                </c:pt>
                <c:pt idx="186">
                  <c:v>2.0148571899999999</c:v>
                </c:pt>
                <c:pt idx="187">
                  <c:v>2.0708571672857143</c:v>
                </c:pt>
                <c:pt idx="188">
                  <c:v>1.7728571551186658</c:v>
                </c:pt>
                <c:pt idx="189">
                  <c:v>1.7154285907142857</c:v>
                </c:pt>
                <c:pt idx="190">
                  <c:v>2.26100002</c:v>
                </c:pt>
                <c:pt idx="191">
                  <c:v>1.5178571258272411</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'13.Caudales'!$Y$4:$Y$195</c:f>
              <c:numCache>
                <c:formatCode>0.0</c:formatCode>
                <c:ptCount val="192"/>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pt idx="170">
                  <c:v>87.023999895714283</c:v>
                </c:pt>
                <c:pt idx="171" formatCode="0.00">
                  <c:v>56.692000798571428</c:v>
                </c:pt>
                <c:pt idx="172">
                  <c:v>41.578285762857142</c:v>
                </c:pt>
                <c:pt idx="173">
                  <c:v>32.277857099260544</c:v>
                </c:pt>
                <c:pt idx="174">
                  <c:v>27.218570980000003</c:v>
                </c:pt>
                <c:pt idx="175">
                  <c:v>23.996714454285712</c:v>
                </c:pt>
                <c:pt idx="176">
                  <c:v>27.218570980000003</c:v>
                </c:pt>
                <c:pt idx="177">
                  <c:v>17.639571326119512</c:v>
                </c:pt>
                <c:pt idx="178">
                  <c:v>13.389714241428573</c:v>
                </c:pt>
                <c:pt idx="179">
                  <c:v>13.06000001</c:v>
                </c:pt>
                <c:pt idx="180">
                  <c:v>10.094714164733857</c:v>
                </c:pt>
                <c:pt idx="181">
                  <c:v>9.1595716474285691</c:v>
                </c:pt>
                <c:pt idx="182">
                  <c:v>8.8348572594285706</c:v>
                </c:pt>
                <c:pt idx="183">
                  <c:v>8.4665715353829452</c:v>
                </c:pt>
                <c:pt idx="184">
                  <c:v>7.6952857290000001</c:v>
                </c:pt>
                <c:pt idx="185">
                  <c:v>7.1297142847142867</c:v>
                </c:pt>
                <c:pt idx="186">
                  <c:v>8.1214285577142853</c:v>
                </c:pt>
                <c:pt idx="187">
                  <c:v>8.1097143717142863</c:v>
                </c:pt>
                <c:pt idx="188">
                  <c:v>10.538714272635294</c:v>
                </c:pt>
                <c:pt idx="189">
                  <c:v>6.1292857952857149</c:v>
                </c:pt>
                <c:pt idx="190">
                  <c:v>6.0765714645714288</c:v>
                </c:pt>
                <c:pt idx="191">
                  <c:v>5.9287142923900031</c:v>
                </c:pt>
              </c:numCache>
            </c:numRef>
          </c:val>
          <c:smooth val="0"/>
          <c:extLst>
            <c:ext xmlns:c16="http://schemas.microsoft.com/office/drawing/2014/chart" uri="{C3380CC4-5D6E-409C-BE32-E72D297353CC}">
              <c16:uniqueId val="{00000002-4386-4F80-BA11-24E7324C05B4}"/>
            </c:ext>
          </c:extLst>
        </c:ser>
        <c:dLbls>
          <c:showLegendKey val="0"/>
          <c:showVal val="0"/>
          <c:showCatName val="0"/>
          <c:showSerName val="0"/>
          <c:showPercent val="0"/>
          <c:showBubbleSize val="0"/>
        </c:dLbls>
        <c:marker val="1"/>
        <c:smooth val="0"/>
        <c:axId val="351621120"/>
        <c:axId val="351623424"/>
      </c:lineChart>
      <c:lineChart>
        <c:grouping val="standard"/>
        <c:varyColors val="0"/>
        <c:ser>
          <c:idx val="1"/>
          <c:order val="3"/>
          <c:tx>
            <c:strRef>
              <c:f>'13.Caudales'!$X$3</c:f>
              <c:strCache>
                <c:ptCount val="1"/>
                <c:pt idx="0">
                  <c:v>VILCANOTA</c:v>
                </c:pt>
              </c:strCache>
            </c:strRef>
          </c:tx>
          <c:spPr>
            <a:ln>
              <a:solidFill>
                <a:srgbClr val="00B0F0"/>
              </a:solidFill>
            </a:ln>
          </c:spPr>
          <c:marker>
            <c:symbol val="none"/>
          </c:marker>
          <c:val>
            <c:numRef>
              <c:f>'13.Caudales'!$X$4:$X$195</c:f>
              <c:numCache>
                <c:formatCode>0.0</c:formatCode>
                <c:ptCount val="192"/>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pt idx="170">
                  <c:v>272.16142927142863</c:v>
                </c:pt>
                <c:pt idx="171" formatCode="0.00">
                  <c:v>174.17928642857143</c:v>
                </c:pt>
                <c:pt idx="172">
                  <c:v>124.01500048571428</c:v>
                </c:pt>
                <c:pt idx="173">
                  <c:v>109.72071402413471</c:v>
                </c:pt>
                <c:pt idx="174">
                  <c:v>121.69785745714287</c:v>
                </c:pt>
                <c:pt idx="175">
                  <c:v>98.23285565285714</c:v>
                </c:pt>
                <c:pt idx="176">
                  <c:v>74.486427307142861</c:v>
                </c:pt>
                <c:pt idx="177">
                  <c:v>66.354285648890865</c:v>
                </c:pt>
                <c:pt idx="178">
                  <c:v>60.742857795714293</c:v>
                </c:pt>
                <c:pt idx="179">
                  <c:v>60.932143074285719</c:v>
                </c:pt>
                <c:pt idx="180">
                  <c:v>56.771429334367994</c:v>
                </c:pt>
                <c:pt idx="181">
                  <c:v>51.780714305714291</c:v>
                </c:pt>
                <c:pt idx="182">
                  <c:v>47.265713828571435</c:v>
                </c:pt>
                <c:pt idx="183">
                  <c:v>44.601428440638877</c:v>
                </c:pt>
                <c:pt idx="184">
                  <c:v>42.742857252857149</c:v>
                </c:pt>
                <c:pt idx="185">
                  <c:v>40.262857164285712</c:v>
                </c:pt>
                <c:pt idx="186">
                  <c:v>39.827141895714291</c:v>
                </c:pt>
                <c:pt idx="187">
                  <c:v>37.761428834285709</c:v>
                </c:pt>
                <c:pt idx="188">
                  <c:v>37.760714394705587</c:v>
                </c:pt>
                <c:pt idx="189">
                  <c:v>38.402142115714284</c:v>
                </c:pt>
                <c:pt idx="190">
                  <c:v>36.792856487142856</c:v>
                </c:pt>
                <c:pt idx="191">
                  <c:v>37.991428375244077</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351627520"/>
        <c:axId val="35162560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tickLblSkip val="200"/>
        <c:noMultiLvlLbl val="0"/>
      </c:catAx>
      <c:valAx>
        <c:axId val="351623424"/>
        <c:scaling>
          <c:orientation val="minMax"/>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351625600"/>
        <c:scaling>
          <c:orientation val="minMax"/>
        </c:scaling>
        <c:delete val="0"/>
        <c:axPos val="r"/>
        <c:title>
          <c:tx>
            <c:rich>
              <a:bodyPr rot="0" vert="horz"/>
              <a:lstStyle/>
              <a:p>
                <a:pPr>
                  <a:defRPr/>
                </a:pPr>
                <a:r>
                  <a:rPr lang="en-US"/>
                  <a:t>m3/s </a:t>
                </a:r>
              </a:p>
              <a:p>
                <a:pPr>
                  <a:defRPr/>
                </a:pPr>
                <a:r>
                  <a:rPr lang="en-US"/>
                  <a:t>(San Gabán y Vilcanota)</a:t>
                </a:r>
              </a:p>
            </c:rich>
          </c:tx>
          <c:layout>
            <c:manualLayout>
              <c:xMode val="edge"/>
              <c:yMode val="edge"/>
              <c:x val="0.87629063464413948"/>
              <c:y val="9.1618573711402893E-3"/>
            </c:manualLayout>
          </c:layout>
          <c:overlay val="0"/>
        </c:title>
        <c:numFmt formatCode="0" sourceLinked="0"/>
        <c:majorTickMark val="out"/>
        <c:minorTickMark val="none"/>
        <c:tickLblPos val="nextTo"/>
        <c:crossAx val="351627520"/>
        <c:crosses val="max"/>
        <c:crossBetween val="between"/>
      </c:valAx>
      <c:catAx>
        <c:axId val="351627520"/>
        <c:scaling>
          <c:orientation val="minMax"/>
        </c:scaling>
        <c:delete val="1"/>
        <c:axPos val="b"/>
        <c:numFmt formatCode="General" sourceLinked="1"/>
        <c:majorTickMark val="out"/>
        <c:minorTickMark val="none"/>
        <c:tickLblPos val="nextTo"/>
        <c:crossAx val="351625600"/>
        <c:crosses val="autoZero"/>
        <c:auto val="1"/>
        <c:lblAlgn val="ctr"/>
        <c:lblOffset val="100"/>
        <c:noMultiLvlLbl val="0"/>
      </c:catAx>
    </c:plotArea>
    <c:legend>
      <c:legendPos val="t"/>
      <c:layout>
        <c:manualLayout>
          <c:xMode val="edge"/>
          <c:yMode val="edge"/>
          <c:x val="7.4282128616697765E-2"/>
          <c:y val="0.12071755064387545"/>
          <c:w val="0.84969306143383616"/>
          <c:h val="0.16299980945989467"/>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12.484529212366317</c:v>
                </c:pt>
                <c:pt idx="1">
                  <c:v>12.478656054942711</c:v>
                </c:pt>
                <c:pt idx="2">
                  <c:v>12.22815391963829</c:v>
                </c:pt>
                <c:pt idx="3">
                  <c:v>12.13845824466231</c:v>
                </c:pt>
                <c:pt idx="4">
                  <c:v>12.393591152677891</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11.665016735329905</c:v>
                </c:pt>
                <c:pt idx="1">
                  <c:v>11.650346994923776</c:v>
                </c:pt>
                <c:pt idx="2">
                  <c:v>11.667455455882759</c:v>
                </c:pt>
                <c:pt idx="3">
                  <c:v>11.547972839382657</c:v>
                </c:pt>
                <c:pt idx="4">
                  <c:v>11.70240950439716</c:v>
                </c:pt>
                <c:pt idx="5">
                  <c:v>11.538215185822652</c:v>
                </c:pt>
                <c:pt idx="6">
                  <c:v>11.505198618929803</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12.842818318751847</c:v>
                </c:pt>
                <c:pt idx="1">
                  <c:v>12.416782728892496</c:v>
                </c:pt>
                <c:pt idx="2">
                  <c:v>12.378475707170404</c:v>
                </c:pt>
                <c:pt idx="3">
                  <c:v>12.466867265347636</c:v>
                </c:pt>
                <c:pt idx="4">
                  <c:v>12.18722964962061</c:v>
                </c:pt>
                <c:pt idx="5">
                  <c:v>12.015732470609725</c:v>
                </c:pt>
                <c:pt idx="6">
                  <c:v>11.542437683783918</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69856504737218861"/>
        </c:manualLayout>
      </c:layout>
      <c:barChart>
        <c:barDir val="col"/>
        <c:grouping val="clustered"/>
        <c:varyColors val="0"/>
        <c:ser>
          <c:idx val="2"/>
          <c:order val="0"/>
          <c:tx>
            <c:strRef>
              <c:f>'16. Congestiones'!$F$6</c:f>
              <c:strCache>
                <c:ptCount val="1"/>
                <c:pt idx="0">
                  <c:v>AGOSTO
 2018</c:v>
                </c:pt>
              </c:strCache>
            </c:strRef>
          </c:tx>
          <c:spPr>
            <a:solidFill>
              <a:schemeClr val="accent6"/>
            </a:solidFill>
          </c:spPr>
          <c:invertIfNegative val="0"/>
          <c:cat>
            <c:strRef>
              <c:f>'16. Congestiones'!$C$7:$C$9</c:f>
              <c:strCache>
                <c:ptCount val="3"/>
                <c:pt idx="0">
                  <c:v>SAN JUAN - SANTA ROSA N.</c:v>
                </c:pt>
                <c:pt idx="1">
                  <c:v>POMACOCHA - SAN JUAN</c:v>
                </c:pt>
                <c:pt idx="2">
                  <c:v>MARCONA</c:v>
                </c:pt>
              </c:strCache>
            </c:strRef>
          </c:cat>
          <c:val>
            <c:numRef>
              <c:f>'16. Congestiones'!$F$7:$F$9</c:f>
              <c:numCache>
                <c:formatCode>#,##0.00</c:formatCode>
                <c:ptCount val="3"/>
                <c:pt idx="0">
                  <c:v>7.2500000000000009</c:v>
                </c:pt>
                <c:pt idx="1">
                  <c:v>10.466666666666661</c:v>
                </c:pt>
                <c:pt idx="2">
                  <c:v>8.2833333333333314</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AGOSTO
 2019</c:v>
                </c:pt>
              </c:strCache>
            </c:strRef>
          </c:tx>
          <c:invertIfNegative val="0"/>
          <c:cat>
            <c:strRef>
              <c:f>'16. Congestiones'!$C$7:$C$9</c:f>
              <c:strCache>
                <c:ptCount val="3"/>
                <c:pt idx="0">
                  <c:v>SAN JUAN - SANTA ROSA N.</c:v>
                </c:pt>
                <c:pt idx="1">
                  <c:v>POMACOCHA - SAN JUAN</c:v>
                </c:pt>
                <c:pt idx="2">
                  <c:v>MARCONA</c:v>
                </c:pt>
              </c:strCache>
            </c:strRef>
          </c:cat>
          <c:val>
            <c:numRef>
              <c:f>'16. Congestiones'!$E$7:$E$9</c:f>
              <c:numCache>
                <c:formatCode>#,##0.00</c:formatCode>
                <c:ptCount val="3"/>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AGOSTO
 2020</c:v>
                </c:pt>
              </c:strCache>
            </c:strRef>
          </c:tx>
          <c:invertIfNegative val="0"/>
          <c:cat>
            <c:strRef>
              <c:f>'16. Congestiones'!$C$7:$C$9</c:f>
              <c:strCache>
                <c:ptCount val="3"/>
                <c:pt idx="0">
                  <c:v>SAN JUAN - SANTA ROSA N.</c:v>
                </c:pt>
                <c:pt idx="1">
                  <c:v>POMACOCHA - SAN JUAN</c:v>
                </c:pt>
                <c:pt idx="2">
                  <c:v>MARCONA</c:v>
                </c:pt>
              </c:strCache>
            </c:strRef>
          </c:cat>
          <c:val>
            <c:numRef>
              <c:f>'16. Congestiones'!$D$7:$D$9</c:f>
              <c:numCache>
                <c:formatCode>#,##0.00</c:formatCode>
                <c:ptCount val="3"/>
                <c:pt idx="2">
                  <c:v>66.583333333333329</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3.2987727827109257E-2"/>
                  <c:y val="-2.9923391376343676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8763457106020121"/>
                      <c:h val="0.17799981070423421"/>
                    </c:manualLayout>
                  </c15:layout>
                </c:ext>
                <c:ext xmlns:c16="http://schemas.microsoft.com/office/drawing/2014/chart" uri="{C3380CC4-5D6E-409C-BE32-E72D297353CC}">
                  <c16:uniqueId val="{00000003-E0CC-4AD3-904F-2124A98CD904}"/>
                </c:ext>
              </c:extLst>
            </c:dLbl>
            <c:dLbl>
              <c:idx val="2"/>
              <c:layout>
                <c:manualLayout>
                  <c:x val="-1.5402456552985758E-3"/>
                  <c:y val="4.4890494468277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0.60186364824251937"/>
                  <c:y val="-0.59983291939489725"/>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0.51407577093950085"/>
                  <c:y val="0.64301151501467602"/>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8.0674653730563178E-2"/>
                  <c:y val="-5.9729961616617748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2</c:v>
                </c:pt>
                <c:pt idx="1">
                  <c:v>6</c:v>
                </c:pt>
                <c:pt idx="2">
                  <c:v>4</c:v>
                </c:pt>
                <c:pt idx="3">
                  <c:v>0</c:v>
                </c:pt>
                <c:pt idx="4">
                  <c:v>8</c:v>
                </c:pt>
                <c:pt idx="5">
                  <c:v>0</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Eventos'!$A$8:$A$11</c:f>
              <c:strCache>
                <c:ptCount val="4"/>
                <c:pt idx="0">
                  <c:v>LINEA DE TRANSMISION</c:v>
                </c:pt>
                <c:pt idx="1">
                  <c:v>TRANSFORMADOR 3D</c:v>
                </c:pt>
                <c:pt idx="2">
                  <c:v>CELDA</c:v>
                </c:pt>
                <c:pt idx="3">
                  <c:v>CENTRAL HIDROELÉCTRICA</c:v>
                </c:pt>
              </c:strCache>
            </c:strRef>
          </c:cat>
          <c:val>
            <c:numRef>
              <c:f>'17. Eventos'!$J$8:$J$11</c:f>
              <c:numCache>
                <c:formatCode>#,##0.00</c:formatCode>
                <c:ptCount val="4"/>
                <c:pt idx="0">
                  <c:v>116.26</c:v>
                </c:pt>
                <c:pt idx="1">
                  <c:v>5.37</c:v>
                </c:pt>
                <c:pt idx="2">
                  <c:v>0.04</c:v>
                </c:pt>
                <c:pt idx="3">
                  <c:v>5.42</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generación'!$B$30:$C$30</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generación'!$D$29:$E$29</c:f>
              <c:strCache>
                <c:ptCount val="2"/>
                <c:pt idx="0">
                  <c:v>AGOSTO 2020</c:v>
                </c:pt>
                <c:pt idx="1">
                  <c:v>AGOSTO 2019</c:v>
                </c:pt>
              </c:strCache>
            </c:strRef>
          </c:cat>
          <c:val>
            <c:numRef>
              <c:f>'2. Oferta de generación'!$D$30:$E$30</c:f>
              <c:numCache>
                <c:formatCode>#,##0.0</c:formatCode>
                <c:ptCount val="2"/>
                <c:pt idx="0">
                  <c:v>5183.1192474999998</c:v>
                </c:pt>
                <c:pt idx="1">
                  <c:v>5122.3492474999994</c:v>
                </c:pt>
              </c:numCache>
            </c:numRef>
          </c:val>
          <c:extLst>
            <c:ext xmlns:c16="http://schemas.microsoft.com/office/drawing/2014/chart" uri="{C3380CC4-5D6E-409C-BE32-E72D297353CC}">
              <c16:uniqueId val="{00000004-54B0-402D-913D-0304413B844F}"/>
            </c:ext>
          </c:extLst>
        </c:ser>
        <c:ser>
          <c:idx val="1"/>
          <c:order val="1"/>
          <c:tx>
            <c:strRef>
              <c:f>'2. Oferta de generación'!$B$31:$C$31</c:f>
              <c:strCache>
                <c:ptCount val="2"/>
                <c:pt idx="0">
                  <c:v>TERMOELÉCTRICA</c:v>
                </c:pt>
              </c:strCache>
            </c:strRef>
          </c:tx>
          <c:spPr>
            <a:solidFill>
              <a:schemeClr val="accent2"/>
            </a:solidFill>
          </c:spPr>
          <c:invertIfNegative val="0"/>
          <c:cat>
            <c:strRef>
              <c:f>'2. Oferta de generación'!$D$29:$E$29</c:f>
              <c:strCache>
                <c:ptCount val="2"/>
                <c:pt idx="0">
                  <c:v>AGOSTO 2020</c:v>
                </c:pt>
                <c:pt idx="1">
                  <c:v>AGOSTO 2019</c:v>
                </c:pt>
              </c:strCache>
            </c:strRef>
          </c:cat>
          <c:val>
            <c:numRef>
              <c:f>'2. Oferta de generación'!$D$31:$E$31</c:f>
              <c:numCache>
                <c:formatCode>#,##0.0</c:formatCode>
                <c:ptCount val="2"/>
                <c:pt idx="0">
                  <c:v>7398.3644999999997</c:v>
                </c:pt>
                <c:pt idx="1">
                  <c:v>7417.6745000000001</c:v>
                </c:pt>
              </c:numCache>
            </c:numRef>
          </c:val>
          <c:extLst>
            <c:ext xmlns:c16="http://schemas.microsoft.com/office/drawing/2014/chart" uri="{C3380CC4-5D6E-409C-BE32-E72D297353CC}">
              <c16:uniqueId val="{00000005-54B0-402D-913D-0304413B844F}"/>
            </c:ext>
          </c:extLst>
        </c:ser>
        <c:ser>
          <c:idx val="2"/>
          <c:order val="2"/>
          <c:tx>
            <c:strRef>
              <c:f>'2. Oferta de generación'!$B$32:$C$32</c:f>
              <c:strCache>
                <c:ptCount val="2"/>
                <c:pt idx="0">
                  <c:v>EÓLICA</c:v>
                </c:pt>
              </c:strCache>
            </c:strRef>
          </c:tx>
          <c:spPr>
            <a:solidFill>
              <a:srgbClr val="6DA6D9"/>
            </a:solidFill>
          </c:spPr>
          <c:invertIfNegative val="0"/>
          <c:cat>
            <c:strRef>
              <c:f>'2. Oferta de generación'!$D$29:$E$29</c:f>
              <c:strCache>
                <c:ptCount val="2"/>
                <c:pt idx="0">
                  <c:v>AGOSTO 2020</c:v>
                </c:pt>
                <c:pt idx="1">
                  <c:v>AGOSTO 2019</c:v>
                </c:pt>
              </c:strCache>
            </c:strRef>
          </c:cat>
          <c:val>
            <c:numRef>
              <c:f>'2. Oferta de generación'!$D$32:$E$32</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generación'!$B$33:$C$33</c:f>
              <c:strCache>
                <c:ptCount val="2"/>
                <c:pt idx="0">
                  <c:v>SOLAR</c:v>
                </c:pt>
              </c:strCache>
            </c:strRef>
          </c:tx>
          <c:invertIfNegative val="0"/>
          <c:cat>
            <c:strRef>
              <c:f>'2. Oferta de generación'!$D$29:$E$29</c:f>
              <c:strCache>
                <c:ptCount val="2"/>
                <c:pt idx="0">
                  <c:v>AGOSTO 2020</c:v>
                </c:pt>
                <c:pt idx="1">
                  <c:v>AGOSTO 2019</c:v>
                </c:pt>
              </c:strCache>
            </c:strRef>
          </c:cat>
          <c:val>
            <c:numRef>
              <c:f>'2. Oferta de generación'!$D$33:$E$33</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1">
                  <c:v>LINEA DE TRANSMISION</c:v>
                </c:pt>
                <c:pt idx="2">
                  <c:v>TRANSFORMADOR 3D</c:v>
                </c:pt>
                <c:pt idx="3">
                  <c:v>CELDA</c:v>
                </c:pt>
                <c:pt idx="4">
                  <c:v>CENTRAL HIDROELÉCTRICA</c:v>
                </c:pt>
              </c:strCache>
            </c:strRef>
          </c:cat>
          <c:val>
            <c:numRef>
              <c:f>'17. Eventos'!$B$7:$B$11</c:f>
              <c:numCache>
                <c:formatCode>General</c:formatCode>
                <c:ptCount val="5"/>
                <c:pt idx="1">
                  <c:v>1</c:v>
                </c:pt>
                <c:pt idx="2">
                  <c:v>1</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1">
                  <c:v>LINEA DE TRANSMISION</c:v>
                </c:pt>
                <c:pt idx="2">
                  <c:v>TRANSFORMADOR 3D</c:v>
                </c:pt>
                <c:pt idx="3">
                  <c:v>CELDA</c:v>
                </c:pt>
                <c:pt idx="4">
                  <c:v>CENTRAL HIDROELÉCTRICA</c:v>
                </c:pt>
              </c:strCache>
            </c:strRef>
          </c:cat>
          <c:val>
            <c:numRef>
              <c:f>'17. Eventos'!$C$7:$C$11</c:f>
              <c:numCache>
                <c:formatCode>General</c:formatCode>
                <c:ptCount val="5"/>
                <c:pt idx="1">
                  <c:v>6</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1">
                  <c:v>LINEA DE TRANSMISION</c:v>
                </c:pt>
                <c:pt idx="2">
                  <c:v>TRANSFORMADOR 3D</c:v>
                </c:pt>
                <c:pt idx="3">
                  <c:v>CELDA</c:v>
                </c:pt>
                <c:pt idx="4">
                  <c:v>CENTRAL HIDROELÉCTRICA</c:v>
                </c:pt>
              </c:strCache>
            </c:strRef>
          </c:cat>
          <c:val>
            <c:numRef>
              <c:f>'17. Eventos'!$D$7:$D$11</c:f>
              <c:numCache>
                <c:formatCode>General</c:formatCode>
                <c:ptCount val="5"/>
                <c:pt idx="1">
                  <c:v>4</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1">
                  <c:v>LINEA DE TRANSMISION</c:v>
                </c:pt>
                <c:pt idx="2">
                  <c:v>TRANSFORMADOR 3D</c:v>
                </c:pt>
                <c:pt idx="3">
                  <c:v>CELDA</c:v>
                </c:pt>
                <c:pt idx="4">
                  <c:v>CENTRAL HIDROELÉCTRICA</c:v>
                </c:pt>
              </c:strCache>
            </c:strRef>
          </c:cat>
          <c:val>
            <c:numRef>
              <c:f>'17. Eventos'!$E$7:$E$11</c:f>
              <c:numCache>
                <c:formatCode>General</c:formatCode>
                <c:ptCount val="5"/>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1">
                  <c:v>LINEA DE TRANSMISION</c:v>
                </c:pt>
                <c:pt idx="2">
                  <c:v>TRANSFORMADOR 3D</c:v>
                </c:pt>
                <c:pt idx="3">
                  <c:v>CELDA</c:v>
                </c:pt>
                <c:pt idx="4">
                  <c:v>CENTRAL HIDROELÉCTRICA</c:v>
                </c:pt>
              </c:strCache>
            </c:strRef>
          </c:cat>
          <c:val>
            <c:numRef>
              <c:f>'17. Eventos'!$F$7:$F$11</c:f>
              <c:numCache>
                <c:formatCode>General</c:formatCode>
                <c:ptCount val="5"/>
                <c:pt idx="1">
                  <c:v>5</c:v>
                </c:pt>
                <c:pt idx="2">
                  <c:v>1</c:v>
                </c:pt>
                <c:pt idx="3">
                  <c:v>1</c:v>
                </c:pt>
                <c:pt idx="4">
                  <c:v>1</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1">
                  <c:v>LINEA DE TRANSMISION</c:v>
                </c:pt>
                <c:pt idx="2">
                  <c:v>TRANSFORMADOR 3D</c:v>
                </c:pt>
                <c:pt idx="3">
                  <c:v>CELDA</c:v>
                </c:pt>
                <c:pt idx="4">
                  <c:v>CENTRAL HIDROELÉCTRICA</c:v>
                </c:pt>
              </c:strCache>
            </c:strRef>
          </c:cat>
          <c:val>
            <c:numRef>
              <c:f>'17. Eventos'!$G$7:$G$11</c:f>
              <c:numCache>
                <c:formatCode>General</c:formatCode>
                <c:ptCount val="5"/>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1">
                  <c:v>LINEA DE TRANSMISION</c:v>
                </c:pt>
                <c:pt idx="2">
                  <c:v>TRANSFORMADOR 3D</c:v>
                </c:pt>
                <c:pt idx="3">
                  <c:v>CELDA</c:v>
                </c:pt>
                <c:pt idx="4">
                  <c:v>CENTRAL HIDROELÉCTRICA</c:v>
                </c:pt>
              </c:strCache>
            </c:strRef>
          </c:cat>
          <c:val>
            <c:numRef>
              <c:f>'17. Eventos'!$H$7:$H$11</c:f>
              <c:numCache>
                <c:formatCode>General</c:formatCode>
                <c:ptCount val="5"/>
                <c:pt idx="1">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generación'!$L$9:$L$13</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generación'!$L$9:$L$13</c:f>
              <c:strCache>
                <c:ptCount val="5"/>
                <c:pt idx="0">
                  <c:v>Central Solar</c:v>
                </c:pt>
                <c:pt idx="1">
                  <c:v>Central Hidroeléctrica</c:v>
                </c:pt>
                <c:pt idx="2">
                  <c:v>Turbina de Vapor</c:v>
                </c:pt>
                <c:pt idx="3">
                  <c:v>Central Eólica</c:v>
                </c:pt>
                <c:pt idx="4">
                  <c:v>Central a Biogás</c:v>
                </c:pt>
              </c:strCache>
            </c:strRef>
          </c:cat>
          <c:val>
            <c:numRef>
              <c:f>'2. Oferta de generación'!$M$9:$M$13</c:f>
              <c:numCache>
                <c:formatCode>General</c:formatCode>
                <c:ptCount val="5"/>
                <c:pt idx="1">
                  <c:v>20</c:v>
                </c:pt>
                <c:pt idx="2">
                  <c:v>0</c:v>
                </c:pt>
                <c:pt idx="3">
                  <c:v>0</c:v>
                </c:pt>
                <c:pt idx="4">
                  <c:v>2.4</c:v>
                </c:pt>
              </c:numCache>
            </c:numRef>
          </c:val>
          <c:extLst>
            <c:ext xmlns:c16="http://schemas.microsoft.com/office/drawing/2014/chart" uri="{C3380CC4-5D6E-409C-BE32-E72D297353CC}">
              <c16:uniqueId val="{00000000-0EAF-4A51-B4A1-B2457F36CE6D}"/>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20299.991030210003</c:v>
                </c:pt>
                <c:pt idx="1">
                  <c:v>11874.844318445003</c:v>
                </c:pt>
                <c:pt idx="2">
                  <c:v>923.2971126525</c:v>
                </c:pt>
                <c:pt idx="3">
                  <c:v>445.21042083750001</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20558.883479897508</c:v>
                </c:pt>
                <c:pt idx="1">
                  <c:v>13047.126807712501</c:v>
                </c:pt>
                <c:pt idx="2">
                  <c:v>1076.90664021</c:v>
                </c:pt>
                <c:pt idx="3">
                  <c:v>464.76524110249994</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20914.593822667495</c:v>
                </c:pt>
                <c:pt idx="1">
                  <c:v>9018.2275393599994</c:v>
                </c:pt>
                <c:pt idx="2">
                  <c:v>1153.7259404475001</c:v>
                </c:pt>
                <c:pt idx="3">
                  <c:v>475.93649637499999</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20914.593822667495</c:v>
                </c:pt>
                <c:pt idx="1">
                  <c:v>8465.5435898100004</c:v>
                </c:pt>
                <c:pt idx="2">
                  <c:v>359.62798358750001</c:v>
                </c:pt>
                <c:pt idx="3">
                  <c:v>15.849400752499999</c:v>
                </c:pt>
                <c:pt idx="4">
                  <c:v>0</c:v>
                </c:pt>
                <c:pt idx="5">
                  <c:v>0</c:v>
                </c:pt>
                <c:pt idx="6">
                  <c:v>4.1767558875000006</c:v>
                </c:pt>
                <c:pt idx="7">
                  <c:v>0</c:v>
                </c:pt>
                <c:pt idx="8">
                  <c:v>8.3157298025000017</c:v>
                </c:pt>
                <c:pt idx="9">
                  <c:v>132.72310942250002</c:v>
                </c:pt>
                <c:pt idx="10">
                  <c:v>31.990970097499996</c:v>
                </c:pt>
                <c:pt idx="11">
                  <c:v>475.93649637499999</c:v>
                </c:pt>
                <c:pt idx="12">
                  <c:v>1153.7259404475001</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20558.883479897508</c:v>
                </c:pt>
                <c:pt idx="1">
                  <c:v>12145.097014982031</c:v>
                </c:pt>
                <c:pt idx="2">
                  <c:v>376.94619801249996</c:v>
                </c:pt>
                <c:pt idx="3">
                  <c:v>206.7862373175</c:v>
                </c:pt>
                <c:pt idx="4">
                  <c:v>0</c:v>
                </c:pt>
                <c:pt idx="5">
                  <c:v>22.387534665</c:v>
                </c:pt>
                <c:pt idx="6">
                  <c:v>42.214006862499993</c:v>
                </c:pt>
                <c:pt idx="7">
                  <c:v>0.226881735</c:v>
                </c:pt>
                <c:pt idx="8">
                  <c:v>97.993125672968773</c:v>
                </c:pt>
                <c:pt idx="9">
                  <c:v>111.8116964925</c:v>
                </c:pt>
                <c:pt idx="10">
                  <c:v>43.664111972500002</c:v>
                </c:pt>
                <c:pt idx="11">
                  <c:v>464.76524110249994</c:v>
                </c:pt>
                <c:pt idx="12">
                  <c:v>1076.90664021</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20299.991030210003</c:v>
                </c:pt>
                <c:pt idx="1">
                  <c:v>11039.305630004999</c:v>
                </c:pt>
                <c:pt idx="2">
                  <c:v>359.9173524775</c:v>
                </c:pt>
                <c:pt idx="3">
                  <c:v>240.61071660500002</c:v>
                </c:pt>
                <c:pt idx="4">
                  <c:v>0</c:v>
                </c:pt>
                <c:pt idx="5">
                  <c:v>43.120710160000002</c:v>
                </c:pt>
                <c:pt idx="6">
                  <c:v>5.0606056925000003</c:v>
                </c:pt>
                <c:pt idx="7">
                  <c:v>2.4329590024999996</c:v>
                </c:pt>
                <c:pt idx="8">
                  <c:v>97.969963682499994</c:v>
                </c:pt>
                <c:pt idx="9">
                  <c:v>57.940617664999998</c:v>
                </c:pt>
                <c:pt idx="10">
                  <c:v>28.485763154999997</c:v>
                </c:pt>
                <c:pt idx="11">
                  <c:v>445.21042083750001</c:v>
                </c:pt>
                <c:pt idx="12">
                  <c:v>923.2971126525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828.59012552750005</c:v>
                </c:pt>
                <c:pt idx="1">
                  <c:v>923.2971126525</c:v>
                </c:pt>
                <c:pt idx="2">
                  <c:v>445.21042083750001</c:v>
                </c:pt>
                <c:pt idx="3">
                  <c:v>57.940617664999998</c:v>
                </c:pt>
                <c:pt idx="4">
                  <c:v>28.485763154999997</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1183.9673348225001</c:v>
                </c:pt>
                <c:pt idx="1">
                  <c:v>1076.90664021</c:v>
                </c:pt>
                <c:pt idx="2">
                  <c:v>464.76524110249994</c:v>
                </c:pt>
                <c:pt idx="3">
                  <c:v>111.8116964925</c:v>
                </c:pt>
                <c:pt idx="4">
                  <c:v>43.664111972500002</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1503.2161945324999</c:v>
                </c:pt>
                <c:pt idx="1">
                  <c:v>1153.7259404475001</c:v>
                </c:pt>
                <c:pt idx="2">
                  <c:v>475.93649637499999</c:v>
                </c:pt>
                <c:pt idx="3">
                  <c:v>132.72310942250002</c:v>
                </c:pt>
                <c:pt idx="4">
                  <c:v>31.990970097499996</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7916562201958622E-2"/>
                  <c:y val="6.609824574505136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8,819%</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3901.9729712050002</c:v>
                </c:pt>
                <c:pt idx="1">
                  <c:v>106.74069863</c:v>
                </c:pt>
                <c:pt idx="2">
                  <c:v>183.26538812499999</c:v>
                </c:pt>
                <c:pt idx="3">
                  <c:v>64.267350870000001</c:v>
                </c:pt>
                <c:pt idx="4">
                  <c:v>16.739497122500001</c:v>
                </c:pt>
                <c:pt idx="5">
                  <c:v>6.3652987874999996</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RENOVANDES H1</c:v>
                </c:pt>
                <c:pt idx="1">
                  <c:v>C.H. CHANCAY</c:v>
                </c:pt>
                <c:pt idx="2">
                  <c:v>C.H. YARUCAYA</c:v>
                </c:pt>
                <c:pt idx="3">
                  <c:v>C.H. CARHUAC</c:v>
                </c:pt>
                <c:pt idx="4">
                  <c:v>C.H. RUCUY</c:v>
                </c:pt>
                <c:pt idx="5">
                  <c:v>C.H. CARHUAQUERO IV</c:v>
                </c:pt>
                <c:pt idx="6">
                  <c:v>C.H. LA JOYA</c:v>
                </c:pt>
                <c:pt idx="7">
                  <c:v>C.H. POECHOS II</c:v>
                </c:pt>
                <c:pt idx="8">
                  <c:v>C.H. CANCHAYLLO</c:v>
                </c:pt>
                <c:pt idx="9">
                  <c:v>C.H. ZAÑA</c:v>
                </c:pt>
                <c:pt idx="10">
                  <c:v>C.H. ÁNGEL III</c:v>
                </c:pt>
                <c:pt idx="11">
                  <c:v>C.H. ÁNGEL II</c:v>
                </c:pt>
                <c:pt idx="12">
                  <c:v>C.H. LAS PIZARRAS</c:v>
                </c:pt>
                <c:pt idx="13">
                  <c:v>C.H. MANTA I</c:v>
                </c:pt>
                <c:pt idx="14">
                  <c:v>C.H. RUNATULLO III</c:v>
                </c:pt>
                <c:pt idx="15">
                  <c:v>C.H. 8 DE AGOSTO</c:v>
                </c:pt>
                <c:pt idx="16">
                  <c:v>C.H. IMPERIAL</c:v>
                </c:pt>
                <c:pt idx="17">
                  <c:v>C.H. ÁNGEL I</c:v>
                </c:pt>
                <c:pt idx="18">
                  <c:v>C.H. RUNATULLO II</c:v>
                </c:pt>
                <c:pt idx="19">
                  <c:v>C.H. SANTA CRUZ II</c:v>
                </c:pt>
                <c:pt idx="20">
                  <c:v>C.H. CAÑA BRAVA</c:v>
                </c:pt>
                <c:pt idx="21">
                  <c:v>C.H. EL CARMEN</c:v>
                </c:pt>
                <c:pt idx="22">
                  <c:v>C.H. SANTA CRUZ I</c:v>
                </c:pt>
                <c:pt idx="23">
                  <c:v>C.H. YANAPAMPA</c:v>
                </c:pt>
                <c:pt idx="24">
                  <c:v>C.H. HUASAHUASI II</c:v>
                </c:pt>
                <c:pt idx="25">
                  <c:v>C.H. HUASAHUASI I</c:v>
                </c:pt>
                <c:pt idx="26">
                  <c:v>C.H. POTRERO</c:v>
                </c:pt>
                <c:pt idx="27">
                  <c:v>C.H. RONCADOR</c:v>
                </c:pt>
                <c:pt idx="28">
                  <c:v>C.H. HER 1</c:v>
                </c:pt>
                <c:pt idx="29">
                  <c:v>C.H. PURMACANA</c:v>
                </c:pt>
              </c:strCache>
            </c:strRef>
          </c:cat>
          <c:val>
            <c:numRef>
              <c:f>'6. FP RER'!$O$6:$O$35</c:f>
              <c:numCache>
                <c:formatCode>0.00</c:formatCode>
                <c:ptCount val="30"/>
                <c:pt idx="0">
                  <c:v>12.573862310000001</c:v>
                </c:pt>
                <c:pt idx="1">
                  <c:v>12.376035377499999</c:v>
                </c:pt>
                <c:pt idx="2">
                  <c:v>9.6607348450000003</c:v>
                </c:pt>
                <c:pt idx="3">
                  <c:v>8.4277296674999995</c:v>
                </c:pt>
                <c:pt idx="4">
                  <c:v>7.5002694650000006</c:v>
                </c:pt>
                <c:pt idx="5">
                  <c:v>5.6601797475</c:v>
                </c:pt>
                <c:pt idx="6">
                  <c:v>5.3863144749999989</c:v>
                </c:pt>
                <c:pt idx="7">
                  <c:v>4.3704103925000002</c:v>
                </c:pt>
                <c:pt idx="8">
                  <c:v>3.5786686324999994</c:v>
                </c:pt>
                <c:pt idx="9">
                  <c:v>3.4367368574999997</c:v>
                </c:pt>
                <c:pt idx="10">
                  <c:v>3.2388608274999999</c:v>
                </c:pt>
                <c:pt idx="11">
                  <c:v>3.1497955525000001</c:v>
                </c:pt>
                <c:pt idx="12">
                  <c:v>3.0620111399999996</c:v>
                </c:pt>
                <c:pt idx="13">
                  <c:v>2.57698939</c:v>
                </c:pt>
                <c:pt idx="14">
                  <c:v>2.5284726850000001</c:v>
                </c:pt>
                <c:pt idx="15">
                  <c:v>2.4184343249999998</c:v>
                </c:pt>
                <c:pt idx="16">
                  <c:v>2.2038000000000002</c:v>
                </c:pt>
                <c:pt idx="17">
                  <c:v>2.1401338999999999</c:v>
                </c:pt>
                <c:pt idx="18">
                  <c:v>1.86371094</c:v>
                </c:pt>
                <c:pt idx="19">
                  <c:v>1.5130107849999999</c:v>
                </c:pt>
                <c:pt idx="20">
                  <c:v>1.452161365</c:v>
                </c:pt>
                <c:pt idx="21">
                  <c:v>1.301754115</c:v>
                </c:pt>
                <c:pt idx="22">
                  <c:v>1.2797837474999998</c:v>
                </c:pt>
                <c:pt idx="23">
                  <c:v>1.0697090149999999</c:v>
                </c:pt>
                <c:pt idx="24">
                  <c:v>1.0652804825</c:v>
                </c:pt>
                <c:pt idx="25">
                  <c:v>0.89665524500000005</c:v>
                </c:pt>
                <c:pt idx="26">
                  <c:v>0.89403482749999996</c:v>
                </c:pt>
                <c:pt idx="27">
                  <c:v>0.45887865249999998</c:v>
                </c:pt>
                <c:pt idx="28">
                  <c:v>0.43760837500000005</c:v>
                </c:pt>
                <c:pt idx="29">
                  <c:v>0.21867149</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RENOVANDES H1</c:v>
                </c:pt>
                <c:pt idx="1">
                  <c:v>C.H. CHANCAY</c:v>
                </c:pt>
                <c:pt idx="2">
                  <c:v>C.H. YARUCAYA</c:v>
                </c:pt>
                <c:pt idx="3">
                  <c:v>C.H. CARHUAC</c:v>
                </c:pt>
                <c:pt idx="4">
                  <c:v>C.H. RUCUY</c:v>
                </c:pt>
                <c:pt idx="5">
                  <c:v>C.H. CARHUAQUERO IV</c:v>
                </c:pt>
                <c:pt idx="6">
                  <c:v>C.H. LA JOYA</c:v>
                </c:pt>
                <c:pt idx="7">
                  <c:v>C.H. POECHOS II</c:v>
                </c:pt>
                <c:pt idx="8">
                  <c:v>C.H. CANCHAYLLO</c:v>
                </c:pt>
                <c:pt idx="9">
                  <c:v>C.H. ZAÑA</c:v>
                </c:pt>
                <c:pt idx="10">
                  <c:v>C.H. ÁNGEL III</c:v>
                </c:pt>
                <c:pt idx="11">
                  <c:v>C.H. ÁNGEL II</c:v>
                </c:pt>
                <c:pt idx="12">
                  <c:v>C.H. LAS PIZARRAS</c:v>
                </c:pt>
                <c:pt idx="13">
                  <c:v>C.H. MANTA I</c:v>
                </c:pt>
                <c:pt idx="14">
                  <c:v>C.H. RUNATULLO III</c:v>
                </c:pt>
                <c:pt idx="15">
                  <c:v>C.H. 8 DE AGOSTO</c:v>
                </c:pt>
                <c:pt idx="16">
                  <c:v>C.H. IMPERIAL</c:v>
                </c:pt>
                <c:pt idx="17">
                  <c:v>C.H. ÁNGEL I</c:v>
                </c:pt>
                <c:pt idx="18">
                  <c:v>C.H. RUNATULLO II</c:v>
                </c:pt>
                <c:pt idx="19">
                  <c:v>C.H. SANTA CRUZ II</c:v>
                </c:pt>
                <c:pt idx="20">
                  <c:v>C.H. CAÑA BRAVA</c:v>
                </c:pt>
                <c:pt idx="21">
                  <c:v>C.H. EL CARMEN</c:v>
                </c:pt>
                <c:pt idx="22">
                  <c:v>C.H. SANTA CRUZ I</c:v>
                </c:pt>
                <c:pt idx="23">
                  <c:v>C.H. YANAPAMPA</c:v>
                </c:pt>
                <c:pt idx="24">
                  <c:v>C.H. HUASAHUASI II</c:v>
                </c:pt>
                <c:pt idx="25">
                  <c:v>C.H. HUASAHUASI I</c:v>
                </c:pt>
                <c:pt idx="26">
                  <c:v>C.H. POTRERO</c:v>
                </c:pt>
                <c:pt idx="27">
                  <c:v>C.H. RONCADOR</c:v>
                </c:pt>
                <c:pt idx="28">
                  <c:v>C.H. HER 1</c:v>
                </c:pt>
                <c:pt idx="29">
                  <c:v>C.H. PURMACANA</c:v>
                </c:pt>
              </c:strCache>
            </c:strRef>
          </c:cat>
          <c:val>
            <c:numRef>
              <c:f>'6. FP RER'!$P$6:$P$35</c:f>
              <c:numCache>
                <c:formatCode>0.00</c:formatCode>
                <c:ptCount val="30"/>
                <c:pt idx="0">
                  <c:v>0.86204297715910749</c:v>
                </c:pt>
                <c:pt idx="1">
                  <c:v>0.83172280762768802</c:v>
                </c:pt>
                <c:pt idx="2">
                  <c:v>0.86565724417562728</c:v>
                </c:pt>
                <c:pt idx="3">
                  <c:v>0.56637968195564514</c:v>
                </c:pt>
                <c:pt idx="4">
                  <c:v>0.50405036727150543</c:v>
                </c:pt>
                <c:pt idx="5">
                  <c:v>0.76207237081263957</c:v>
                </c:pt>
                <c:pt idx="6">
                  <c:v>0.93475403399348855</c:v>
                </c:pt>
                <c:pt idx="7">
                  <c:v>0.61407145272852548</c:v>
                </c:pt>
                <c:pt idx="8">
                  <c:v>0.92696829534457703</c:v>
                </c:pt>
                <c:pt idx="9">
                  <c:v>0.34994469467864125</c:v>
                </c:pt>
                <c:pt idx="10">
                  <c:v>0.21593787519067886</c:v>
                </c:pt>
                <c:pt idx="11">
                  <c:v>0.20999981015451655</c:v>
                </c:pt>
                <c:pt idx="12">
                  <c:v>0.21436008078167357</c:v>
                </c:pt>
                <c:pt idx="13">
                  <c:v>0.17318477083333333</c:v>
                </c:pt>
                <c:pt idx="14">
                  <c:v>0.17021360270793681</c:v>
                </c:pt>
                <c:pt idx="15">
                  <c:v>0.17108335632427843</c:v>
                </c:pt>
                <c:pt idx="16">
                  <c:v>0.74724943849484071</c:v>
                </c:pt>
                <c:pt idx="17">
                  <c:v>0.14268472515574329</c:v>
                </c:pt>
                <c:pt idx="18">
                  <c:v>0.12545639417942833</c:v>
                </c:pt>
                <c:pt idx="19">
                  <c:v>0.27392465604867677</c:v>
                </c:pt>
                <c:pt idx="20">
                  <c:v>0.34423805849500294</c:v>
                </c:pt>
                <c:pt idx="21">
                  <c:v>0.20829398921530975</c:v>
                </c:pt>
                <c:pt idx="22">
                  <c:v>0.24721751157868868</c:v>
                </c:pt>
                <c:pt idx="23">
                  <c:v>0.36713581093449654</c:v>
                </c:pt>
                <c:pt idx="24">
                  <c:v>0.14007323473985059</c:v>
                </c:pt>
                <c:pt idx="25">
                  <c:v>0.12235348029583538</c:v>
                </c:pt>
                <c:pt idx="26">
                  <c:v>6.038491027043822E-2</c:v>
                </c:pt>
                <c:pt idx="27">
                  <c:v>0.17723344321622791</c:v>
                </c:pt>
                <c:pt idx="28">
                  <c:v>0.84026185675883269</c:v>
                </c:pt>
                <c:pt idx="29">
                  <c:v>0.17147800058970403</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14 de setiembre</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Agosto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INFSGI-MES-08-2020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447259</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(12,39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(12,48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(12,14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(12,48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(12,02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(12,19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(12,23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(12,47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(11,67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(12,42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(11,54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(11,67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(11,7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(11,51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(12,84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(11,54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(11,55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(11,65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(12,38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12</xdr:row>
      <xdr:rowOff>124238</xdr:rowOff>
    </xdr:from>
    <xdr:to>
      <xdr:col>7</xdr:col>
      <xdr:colOff>430696</xdr:colOff>
      <xdr:row>50</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41932</xdr:colOff>
      <xdr:row>17</xdr:row>
      <xdr:rowOff>62670</xdr:rowOff>
    </xdr:from>
    <xdr:to>
      <xdr:col>3</xdr:col>
      <xdr:colOff>153604</xdr:colOff>
      <xdr:row>32</xdr:row>
      <xdr:rowOff>79093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37</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16</xdr:row>
      <xdr:rowOff>54428</xdr:rowOff>
    </xdr:from>
    <xdr:to>
      <xdr:col>9</xdr:col>
      <xdr:colOff>571499</xdr:colOff>
      <xdr:row>33</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36</xdr:row>
      <xdr:rowOff>43543</xdr:rowOff>
    </xdr:from>
    <xdr:to>
      <xdr:col>9</xdr:col>
      <xdr:colOff>581525</xdr:colOff>
      <xdr:row>48</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597776</xdr:colOff>
      <xdr:row>11</xdr:row>
      <xdr:rowOff>229913</xdr:rowOff>
    </xdr:from>
    <xdr:to>
      <xdr:col>8</xdr:col>
      <xdr:colOff>315294</xdr:colOff>
      <xdr:row>22</xdr:row>
      <xdr:rowOff>78827</xdr:rowOff>
    </xdr:to>
    <xdr:graphicFrame macro="">
      <xdr:nvGraphicFramePr>
        <xdr:cNvPr id="3" name="Chart 2">
          <a:extLst>
            <a:ext uri="{FF2B5EF4-FFF2-40B4-BE49-F238E27FC236}">
              <a16:creationId xmlns:a16="http://schemas.microsoft.com/office/drawing/2014/main" id="{66D0FF3D-0083-4A48-800E-90332BB6F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170793</xdr:colOff>
      <xdr:row>11</xdr:row>
      <xdr:rowOff>190500</xdr:rowOff>
    </xdr:from>
    <xdr:to>
      <xdr:col>1</xdr:col>
      <xdr:colOff>522484</xdr:colOff>
      <xdr:row>11</xdr:row>
      <xdr:rowOff>363385</xdr:rowOff>
    </xdr:to>
    <xdr:sp macro="" textlink="">
      <xdr:nvSpPr>
        <xdr:cNvPr id="4" name="Rectangle 3">
          <a:extLst>
            <a:ext uri="{FF2B5EF4-FFF2-40B4-BE49-F238E27FC236}">
              <a16:creationId xmlns:a16="http://schemas.microsoft.com/office/drawing/2014/main" id="{5CAF75DB-0808-4ED5-8221-746950134588}"/>
            </a:ext>
          </a:extLst>
        </xdr:cNvPr>
        <xdr:cNvSpPr/>
      </xdr:nvSpPr>
      <xdr:spPr>
        <a:xfrm>
          <a:off x="853965" y="3139966"/>
          <a:ext cx="351691" cy="172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64</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Normal="70" zoomScaleSheetLayoutView="100" zoomScalePageLayoutView="115" workbookViewId="0">
      <selection activeCell="N25" sqref="N25"/>
    </sheetView>
  </sheetViews>
  <sheetFormatPr defaultColWidth="9.33203125" defaultRowHeight="11.25"/>
  <cols>
    <col min="9" max="9" width="14.6640625" customWidth="1"/>
    <col min="11" max="11" width="13.83203125" customWidth="1"/>
    <col min="12" max="12" width="20.5" customWidth="1"/>
  </cols>
  <sheetData>
    <row r="11" spans="9:9" ht="15.75">
      <c r="I11" s="468"/>
    </row>
    <row r="12" spans="9:9" ht="15.75">
      <c r="I12" s="468"/>
    </row>
    <row r="13" spans="9:9" ht="15.75">
      <c r="I13" s="468"/>
    </row>
    <row r="14" spans="9:9" ht="15.75">
      <c r="I14" s="468"/>
    </row>
    <row r="15" spans="9:9" ht="15.75">
      <c r="I15" s="468"/>
    </row>
  </sheetData>
  <pageMargins left="0.59055118110236227" right="0.39370078740157483" top="0.5500000000000000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N25" sqref="N25"/>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45" t="s">
        <v>246</v>
      </c>
      <c r="B2" s="945"/>
      <c r="C2" s="945"/>
      <c r="D2" s="945"/>
      <c r="E2" s="945"/>
      <c r="F2" s="945"/>
      <c r="G2" s="945"/>
      <c r="H2" s="945"/>
      <c r="I2" s="945"/>
      <c r="J2" s="945"/>
      <c r="K2" s="945"/>
    </row>
    <row r="3" spans="1:12" ht="11.25" customHeight="1">
      <c r="A3" s="17"/>
      <c r="B3" s="17"/>
      <c r="C3" s="17"/>
      <c r="D3" s="17"/>
      <c r="E3" s="17"/>
      <c r="F3" s="17"/>
      <c r="G3" s="17"/>
      <c r="H3" s="17"/>
      <c r="I3" s="17"/>
      <c r="J3" s="17"/>
      <c r="K3" s="17"/>
      <c r="L3" s="36"/>
    </row>
    <row r="4" spans="1:12" ht="11.25" customHeight="1">
      <c r="A4" s="946" t="s">
        <v>383</v>
      </c>
      <c r="B4" s="946"/>
      <c r="C4" s="946"/>
      <c r="D4" s="946"/>
      <c r="E4" s="946"/>
      <c r="F4" s="946"/>
      <c r="G4" s="946"/>
      <c r="H4" s="946"/>
      <c r="I4" s="946"/>
      <c r="J4" s="946"/>
      <c r="K4" s="946"/>
      <c r="L4" s="36"/>
    </row>
    <row r="5" spans="1:12" ht="11.25" customHeight="1">
      <c r="A5" s="17"/>
      <c r="B5" s="67"/>
      <c r="C5" s="68"/>
      <c r="D5" s="69"/>
      <c r="E5" s="69"/>
      <c r="F5" s="69"/>
      <c r="G5" s="69"/>
      <c r="H5" s="70"/>
      <c r="I5" s="66"/>
      <c r="J5" s="66"/>
      <c r="K5" s="71"/>
      <c r="L5" s="8"/>
    </row>
    <row r="6" spans="1:12" ht="12.75" customHeight="1">
      <c r="A6" s="952" t="s">
        <v>214</v>
      </c>
      <c r="B6" s="947" t="s">
        <v>249</v>
      </c>
      <c r="C6" s="948"/>
      <c r="D6" s="948"/>
      <c r="E6" s="948" t="s">
        <v>34</v>
      </c>
      <c r="F6" s="948"/>
      <c r="G6" s="949" t="s">
        <v>248</v>
      </c>
      <c r="H6" s="949"/>
      <c r="I6" s="949"/>
      <c r="J6" s="949"/>
      <c r="K6" s="949"/>
      <c r="L6" s="15"/>
    </row>
    <row r="7" spans="1:12" ht="12.75" customHeight="1">
      <c r="A7" s="952"/>
      <c r="B7" s="571">
        <v>44011.8125</v>
      </c>
      <c r="C7" s="571">
        <v>44035.8125</v>
      </c>
      <c r="D7" s="571">
        <v>44071.791666666664</v>
      </c>
      <c r="E7" s="571">
        <v>43703.8125</v>
      </c>
      <c r="F7" s="950" t="s">
        <v>122</v>
      </c>
      <c r="G7" s="827">
        <v>2020</v>
      </c>
      <c r="H7" s="827">
        <v>2019</v>
      </c>
      <c r="I7" s="950" t="s">
        <v>476</v>
      </c>
      <c r="J7" s="827">
        <v>2018</v>
      </c>
      <c r="K7" s="950" t="s">
        <v>423</v>
      </c>
      <c r="L7" s="13"/>
    </row>
    <row r="8" spans="1:12" ht="12.75" customHeight="1">
      <c r="A8" s="952"/>
      <c r="B8" s="572">
        <v>44011.8125</v>
      </c>
      <c r="C8" s="572">
        <v>44035.8125</v>
      </c>
      <c r="D8" s="572">
        <v>44071.791666666664</v>
      </c>
      <c r="E8" s="572">
        <v>43703.8125</v>
      </c>
      <c r="F8" s="951"/>
      <c r="G8" s="573">
        <v>43886.8125</v>
      </c>
      <c r="H8" s="573">
        <v>43549.791666666664</v>
      </c>
      <c r="I8" s="951"/>
      <c r="J8" s="573">
        <v>43214.78125</v>
      </c>
      <c r="K8" s="951"/>
      <c r="L8" s="14"/>
    </row>
    <row r="9" spans="1:12" ht="12.75" customHeight="1">
      <c r="A9" s="952"/>
      <c r="B9" s="574">
        <v>44011.8125</v>
      </c>
      <c r="C9" s="574">
        <v>44035.8125</v>
      </c>
      <c r="D9" s="574">
        <v>44071.791666666664</v>
      </c>
      <c r="E9" s="574">
        <v>43703.8125</v>
      </c>
      <c r="F9" s="951"/>
      <c r="G9" s="575">
        <v>43886.8125</v>
      </c>
      <c r="H9" s="575">
        <v>43549.791666666664</v>
      </c>
      <c r="I9" s="951"/>
      <c r="J9" s="575">
        <v>43214.78125</v>
      </c>
      <c r="K9" s="951"/>
      <c r="L9" s="14"/>
    </row>
    <row r="10" spans="1:12" ht="12.75" customHeight="1">
      <c r="A10" s="576" t="s">
        <v>36</v>
      </c>
      <c r="B10" s="577">
        <v>3418.7987400000006</v>
      </c>
      <c r="C10" s="578">
        <v>3099.1131699999992</v>
      </c>
      <c r="D10" s="579">
        <v>3157.1887500000012</v>
      </c>
      <c r="E10" s="577">
        <v>3120.0297399999981</v>
      </c>
      <c r="F10" s="580">
        <f>+IF(E10=0,"",D10/E10-1)</f>
        <v>1.190982557749698E-2</v>
      </c>
      <c r="G10" s="577">
        <v>4604.1638600000006</v>
      </c>
      <c r="H10" s="578">
        <v>4580.6239199999991</v>
      </c>
      <c r="I10" s="580">
        <f>+IF(H10=0,"",G10/H10-1)</f>
        <v>5.1390248165148478E-3</v>
      </c>
      <c r="J10" s="577">
        <v>4457.8647499999988</v>
      </c>
      <c r="K10" s="580">
        <f t="shared" ref="K10:K18" si="0">+IF(J10=0,"",H10/J10-1)</f>
        <v>2.7537661388224111E-2</v>
      </c>
      <c r="L10" s="14"/>
    </row>
    <row r="11" spans="1:12" ht="12.75" customHeight="1">
      <c r="A11" s="581" t="s">
        <v>37</v>
      </c>
      <c r="B11" s="582">
        <v>2303.9215900000004</v>
      </c>
      <c r="C11" s="583">
        <v>2889.6063999999992</v>
      </c>
      <c r="D11" s="584">
        <v>3037.1350499999994</v>
      </c>
      <c r="E11" s="582">
        <v>3300.2828599999998</v>
      </c>
      <c r="F11" s="585">
        <f>+IF(E11=0,"",D11/E11-1)</f>
        <v>-7.9734926114787719E-2</v>
      </c>
      <c r="G11" s="582">
        <v>2265.9101700000001</v>
      </c>
      <c r="H11" s="583">
        <v>2106.5043700000006</v>
      </c>
      <c r="I11" s="585">
        <f>+IF(H11=0,"",G11/H11-1)</f>
        <v>7.567313995175784E-2</v>
      </c>
      <c r="J11" s="582">
        <v>1943.7948299999998</v>
      </c>
      <c r="K11" s="585">
        <f>+IF(J11=0,"",H11/J11-1)</f>
        <v>8.3707157509005592E-2</v>
      </c>
      <c r="L11" s="14"/>
    </row>
    <row r="12" spans="1:12" ht="12.75" customHeight="1">
      <c r="A12" s="586" t="s">
        <v>38</v>
      </c>
      <c r="B12" s="587">
        <v>340.21674000000002</v>
      </c>
      <c r="C12" s="588">
        <v>348.54124000000002</v>
      </c>
      <c r="D12" s="589">
        <v>356.40928999999994</v>
      </c>
      <c r="E12" s="587">
        <v>270.27609999999999</v>
      </c>
      <c r="F12" s="590">
        <f>+IF(E12=0,"",D12/E12-1)</f>
        <v>0.31868592894451253</v>
      </c>
      <c r="G12" s="587">
        <v>255.22534999999999</v>
      </c>
      <c r="H12" s="588">
        <v>303.54068999999998</v>
      </c>
      <c r="I12" s="590">
        <f>+IF(H12=0,"",G12/H12-1)</f>
        <v>-0.15917253136638776</v>
      </c>
      <c r="J12" s="587">
        <v>309.01528000000002</v>
      </c>
      <c r="K12" s="590">
        <f>+IF(J12=0,"",H12/J12-1)</f>
        <v>-1.7716243675717336E-2</v>
      </c>
      <c r="L12" s="13"/>
    </row>
    <row r="13" spans="1:12" ht="12.75" customHeight="1">
      <c r="A13" s="591" t="s">
        <v>30</v>
      </c>
      <c r="B13" s="592">
        <v>0</v>
      </c>
      <c r="C13" s="593">
        <v>0</v>
      </c>
      <c r="D13" s="594">
        <v>0</v>
      </c>
      <c r="E13" s="592">
        <v>0</v>
      </c>
      <c r="F13" s="595" t="str">
        <f>+IF(E13=0,"",D13/E13-1)</f>
        <v/>
      </c>
      <c r="G13" s="592">
        <v>0</v>
      </c>
      <c r="H13" s="593">
        <v>0</v>
      </c>
      <c r="I13" s="595" t="str">
        <f>+IF(H13=0,"",G13/H13-1)</f>
        <v/>
      </c>
      <c r="J13" s="592">
        <v>0</v>
      </c>
      <c r="K13" s="595" t="str">
        <f t="shared" si="0"/>
        <v/>
      </c>
      <c r="L13" s="14"/>
    </row>
    <row r="14" spans="1:12" ht="12.75" customHeight="1">
      <c r="A14" s="596" t="s">
        <v>42</v>
      </c>
      <c r="B14" s="567">
        <f>+SUM(B10:B13)</f>
        <v>6062.9370700000009</v>
      </c>
      <c r="C14" s="568">
        <f t="shared" ref="C14:J14" si="1">+SUM(C10:C13)</f>
        <v>6337.2608099999979</v>
      </c>
      <c r="D14" s="569">
        <f t="shared" si="1"/>
        <v>6550.7330899999997</v>
      </c>
      <c r="E14" s="567">
        <f t="shared" si="1"/>
        <v>6690.5886999999975</v>
      </c>
      <c r="F14" s="625">
        <f>+IF(E14=0,"",D14/E14-1)</f>
        <v>-2.0903333962226323E-2</v>
      </c>
      <c r="G14" s="622">
        <f t="shared" si="1"/>
        <v>7125.2993800000004</v>
      </c>
      <c r="H14" s="568">
        <f t="shared" si="1"/>
        <v>6990.6689799999995</v>
      </c>
      <c r="I14" s="625">
        <f>+IF(H14=0,"",G14/H14-1)</f>
        <v>1.9258586035924896E-2</v>
      </c>
      <c r="J14" s="567">
        <f t="shared" si="1"/>
        <v>6710.6748599999983</v>
      </c>
      <c r="K14" s="625">
        <f>+IF(J14=0,"",H14/J14-1)</f>
        <v>4.1723690365174537E-2</v>
      </c>
      <c r="L14" s="14"/>
    </row>
    <row r="15" spans="1:12" ht="6.75" customHeight="1">
      <c r="A15" s="597"/>
      <c r="B15" s="597"/>
      <c r="C15" s="597"/>
      <c r="D15" s="597"/>
      <c r="E15" s="597"/>
      <c r="F15" s="598"/>
      <c r="G15" s="597"/>
      <c r="H15" s="597"/>
      <c r="I15" s="598"/>
      <c r="J15" s="597"/>
      <c r="K15" s="598"/>
      <c r="L15" s="14"/>
    </row>
    <row r="16" spans="1:12" ht="12.75" customHeight="1">
      <c r="A16" s="599" t="s">
        <v>39</v>
      </c>
      <c r="B16" s="600">
        <v>38.844000000000001</v>
      </c>
      <c r="C16" s="601">
        <v>45.825920000000004</v>
      </c>
      <c r="D16" s="602">
        <v>0</v>
      </c>
      <c r="E16" s="600">
        <v>37.891759999999998</v>
      </c>
      <c r="F16" s="602">
        <v>0</v>
      </c>
      <c r="G16" s="600">
        <v>0</v>
      </c>
      <c r="H16" s="601">
        <v>0</v>
      </c>
      <c r="I16" s="602">
        <v>0</v>
      </c>
      <c r="J16" s="600">
        <v>0</v>
      </c>
      <c r="K16" s="603" t="str">
        <f t="shared" si="0"/>
        <v/>
      </c>
      <c r="L16" s="15"/>
    </row>
    <row r="17" spans="1:12" ht="12.75" customHeight="1">
      <c r="A17" s="604" t="s">
        <v>40</v>
      </c>
      <c r="B17" s="605">
        <v>0</v>
      </c>
      <c r="C17" s="606">
        <v>0</v>
      </c>
      <c r="D17" s="607">
        <v>0</v>
      </c>
      <c r="E17" s="605">
        <v>0</v>
      </c>
      <c r="F17" s="607">
        <v>0</v>
      </c>
      <c r="G17" s="605">
        <v>0</v>
      </c>
      <c r="H17" s="606">
        <v>0</v>
      </c>
      <c r="I17" s="607">
        <v>0</v>
      </c>
      <c r="J17" s="605">
        <v>0</v>
      </c>
      <c r="K17" s="608" t="str">
        <f t="shared" si="0"/>
        <v/>
      </c>
      <c r="L17" s="15"/>
    </row>
    <row r="18" spans="1:12" ht="24" customHeight="1">
      <c r="A18" s="609" t="s">
        <v>41</v>
      </c>
      <c r="B18" s="610">
        <f t="shared" ref="B18:J18" si="2">+B17-B16</f>
        <v>-38.844000000000001</v>
      </c>
      <c r="C18" s="611">
        <f t="shared" si="2"/>
        <v>-45.825920000000004</v>
      </c>
      <c r="D18" s="612">
        <f t="shared" si="2"/>
        <v>0</v>
      </c>
      <c r="E18" s="610">
        <f t="shared" si="2"/>
        <v>-37.891759999999998</v>
      </c>
      <c r="F18" s="612">
        <f t="shared" si="2"/>
        <v>0</v>
      </c>
      <c r="G18" s="610">
        <f t="shared" si="2"/>
        <v>0</v>
      </c>
      <c r="H18" s="611">
        <f t="shared" si="2"/>
        <v>0</v>
      </c>
      <c r="I18" s="612">
        <f t="shared" si="2"/>
        <v>0</v>
      </c>
      <c r="J18" s="610">
        <f t="shared" si="2"/>
        <v>0</v>
      </c>
      <c r="K18" s="613" t="str">
        <f t="shared" si="0"/>
        <v/>
      </c>
      <c r="L18" s="15"/>
    </row>
    <row r="19" spans="1:12" ht="6" customHeight="1">
      <c r="A19" s="614"/>
      <c r="B19" s="614"/>
      <c r="C19" s="614"/>
      <c r="D19" s="614"/>
      <c r="E19" s="614"/>
      <c r="F19" s="615"/>
      <c r="G19" s="614"/>
      <c r="H19" s="614"/>
      <c r="I19" s="615"/>
      <c r="J19" s="614"/>
      <c r="K19" s="615"/>
      <c r="L19" s="15"/>
    </row>
    <row r="20" spans="1:12" ht="24" customHeight="1">
      <c r="A20" s="616" t="s">
        <v>247</v>
      </c>
      <c r="B20" s="617">
        <f>+B14-B18</f>
        <v>6101.7810700000009</v>
      </c>
      <c r="C20" s="618">
        <f t="shared" ref="C20" si="3">+C14-C18</f>
        <v>6383.0867299999982</v>
      </c>
      <c r="D20" s="621">
        <f>+D14-D18</f>
        <v>6550.7330899999997</v>
      </c>
      <c r="E20" s="617">
        <f>+E14-E18</f>
        <v>6728.4804599999979</v>
      </c>
      <c r="F20" s="570">
        <f>+IF(E20=0,"",D20/E20-1)</f>
        <v>-2.6417163735063975E-2</v>
      </c>
      <c r="G20" s="764">
        <f>+G14-G18</f>
        <v>7125.2993800000004</v>
      </c>
      <c r="H20" s="617">
        <f>+H14-H18</f>
        <v>6990.6689799999995</v>
      </c>
      <c r="I20" s="570">
        <f>+IF(H20=0,"",G20/H20-1)</f>
        <v>1.9258586035924896E-2</v>
      </c>
      <c r="J20" s="617">
        <f>+J14-J18</f>
        <v>6710.6748599999983</v>
      </c>
      <c r="K20" s="570">
        <f>+IF(J20=0,"",H20/J20-1)</f>
        <v>4.1723690365174537E-2</v>
      </c>
      <c r="L20" s="15"/>
    </row>
    <row r="21" spans="1:12" ht="11.25" customHeight="1">
      <c r="A21" s="264" t="s">
        <v>405</v>
      </c>
      <c r="B21" s="138"/>
      <c r="C21" s="138"/>
      <c r="D21" s="138"/>
      <c r="E21" s="138"/>
      <c r="F21" s="138"/>
      <c r="G21" s="138"/>
      <c r="H21" s="138"/>
      <c r="I21" s="138"/>
      <c r="J21" s="138"/>
      <c r="K21" s="138"/>
      <c r="L21" s="16"/>
    </row>
    <row r="22" spans="1:12" ht="17.25" customHeight="1">
      <c r="A22" s="943"/>
      <c r="B22" s="943"/>
      <c r="C22" s="943"/>
      <c r="D22" s="943"/>
      <c r="E22" s="943"/>
      <c r="F22" s="943"/>
      <c r="G22" s="943"/>
      <c r="H22" s="943"/>
      <c r="I22" s="943"/>
      <c r="J22" s="943"/>
      <c r="K22" s="943"/>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44" t="str">
        <f>"Gráfico N° 11: Comparación de la máxima potencia coincidente de potencia (MW) por tipo de generación en el SEIN en "&amp;'1. Resumen'!Q4</f>
        <v>Gráfico N° 11: Comparación de la máxima potencia coincidente de potencia (MW) por tipo de generación en el SEIN en agosto</v>
      </c>
      <c r="B58" s="944"/>
      <c r="C58" s="944"/>
      <c r="D58" s="944"/>
      <c r="E58" s="944"/>
      <c r="F58" s="944"/>
      <c r="G58" s="944"/>
      <c r="H58" s="944"/>
      <c r="I58" s="944"/>
      <c r="J58" s="944"/>
      <c r="K58" s="944"/>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4"/>
  <sheetViews>
    <sheetView showGridLines="0" view="pageBreakPreview" zoomScaleNormal="100" zoomScaleSheetLayoutView="100" zoomScalePageLayoutView="115" workbookViewId="0">
      <selection activeCell="N25" sqref="N25"/>
    </sheetView>
  </sheetViews>
  <sheetFormatPr defaultColWidth="9.33203125" defaultRowHeight="11.25"/>
  <cols>
    <col min="1" max="1" width="28.6640625" customWidth="1"/>
    <col min="2" max="2" width="11.33203125" customWidth="1"/>
    <col min="3" max="3" width="10.83203125" customWidth="1"/>
    <col min="4" max="4" width="8.6640625" customWidth="1"/>
    <col min="10" max="10" width="11.83203125" customWidth="1"/>
    <col min="11" max="11" width="9.33203125" customWidth="1"/>
    <col min="12" max="12" width="27.83203125" style="422" customWidth="1"/>
    <col min="13" max="14" width="9.33203125" style="630"/>
    <col min="15" max="15" width="9.33203125" style="707"/>
  </cols>
  <sheetData>
    <row r="1" spans="1:15" ht="25.5" customHeight="1">
      <c r="A1" s="953" t="s">
        <v>251</v>
      </c>
      <c r="B1" s="953"/>
      <c r="C1" s="953"/>
      <c r="D1" s="953"/>
      <c r="E1" s="953"/>
      <c r="F1" s="953"/>
      <c r="G1" s="953"/>
      <c r="H1" s="953"/>
      <c r="I1" s="953"/>
      <c r="J1" s="953"/>
    </row>
    <row r="2" spans="1:15" ht="7.5" customHeight="1">
      <c r="A2" s="74"/>
      <c r="B2" s="73"/>
      <c r="C2" s="73"/>
      <c r="D2" s="73"/>
      <c r="E2" s="73"/>
      <c r="F2" s="73"/>
      <c r="G2" s="73"/>
      <c r="H2" s="73"/>
      <c r="I2" s="73"/>
      <c r="J2" s="73"/>
      <c r="K2" s="36"/>
      <c r="L2" s="745"/>
    </row>
    <row r="3" spans="1:15" ht="11.25" customHeight="1">
      <c r="A3" s="954" t="s">
        <v>123</v>
      </c>
      <c r="B3" s="956" t="str">
        <f>+'1. Resumen'!Q4</f>
        <v>agosto</v>
      </c>
      <c r="C3" s="957"/>
      <c r="D3" s="958"/>
      <c r="E3" s="138"/>
      <c r="F3" s="138"/>
      <c r="G3" s="959" t="s">
        <v>478</v>
      </c>
      <c r="H3" s="959"/>
      <c r="I3" s="959"/>
      <c r="J3" s="138"/>
      <c r="K3" s="148"/>
      <c r="L3" s="745"/>
    </row>
    <row r="4" spans="1:15" ht="11.25" customHeight="1">
      <c r="A4" s="954"/>
      <c r="B4" s="480">
        <v>2020</v>
      </c>
      <c r="C4" s="481">
        <v>2019</v>
      </c>
      <c r="D4" s="958" t="s">
        <v>35</v>
      </c>
      <c r="E4" s="138"/>
      <c r="F4" s="138"/>
      <c r="G4" s="138"/>
      <c r="H4" s="138"/>
      <c r="I4" s="138"/>
      <c r="J4" s="138"/>
      <c r="K4" s="24"/>
      <c r="L4" s="746"/>
    </row>
    <row r="5" spans="1:15" ht="11.25" customHeight="1">
      <c r="A5" s="954"/>
      <c r="B5" s="482">
        <f>+'8. Max Potencia'!D8</f>
        <v>44071.791666666664</v>
      </c>
      <c r="C5" s="482">
        <f>+'8. Max Potencia'!E8</f>
        <v>43703.8125</v>
      </c>
      <c r="D5" s="958"/>
      <c r="E5" s="138"/>
      <c r="F5" s="138"/>
      <c r="G5" s="138"/>
      <c r="H5" s="138"/>
      <c r="I5" s="138"/>
      <c r="J5" s="138"/>
      <c r="K5" s="24"/>
      <c r="L5" s="747"/>
    </row>
    <row r="6" spans="1:15" ht="11.25" customHeight="1" thickBot="1">
      <c r="A6" s="955"/>
      <c r="B6" s="483">
        <f>+'8. Max Potencia'!D9</f>
        <v>44071.791666666664</v>
      </c>
      <c r="C6" s="483">
        <f>+'8. Max Potencia'!E9</f>
        <v>43703.8125</v>
      </c>
      <c r="D6" s="960"/>
      <c r="E6" s="138"/>
      <c r="F6" s="138"/>
      <c r="G6" s="138"/>
      <c r="H6" s="138"/>
      <c r="I6" s="138"/>
      <c r="J6" s="138"/>
      <c r="K6" s="25"/>
      <c r="L6" s="746" t="s">
        <v>250</v>
      </c>
      <c r="M6" s="422">
        <v>2020</v>
      </c>
      <c r="N6" s="422">
        <v>2019</v>
      </c>
    </row>
    <row r="7" spans="1:15" ht="9.75" customHeight="1">
      <c r="A7" s="369" t="s">
        <v>410</v>
      </c>
      <c r="B7" s="370">
        <v>1400.7794699999999</v>
      </c>
      <c r="C7" s="370">
        <v>1307.96568</v>
      </c>
      <c r="D7" s="371">
        <f>IF(C7=0,"",B7/C7-1)</f>
        <v>7.0960416943049998E-2</v>
      </c>
      <c r="E7" s="138"/>
      <c r="F7" s="138"/>
      <c r="G7" s="138"/>
      <c r="H7" s="138"/>
      <c r="I7" s="138"/>
      <c r="J7" s="138"/>
      <c r="K7" s="23"/>
      <c r="L7" s="748" t="s">
        <v>105</v>
      </c>
      <c r="M7" s="761">
        <v>0</v>
      </c>
      <c r="N7" s="761">
        <v>156.52760000000001</v>
      </c>
      <c r="O7" s="708"/>
    </row>
    <row r="8" spans="1:15" ht="9.75" customHeight="1">
      <c r="A8" s="372" t="s">
        <v>88</v>
      </c>
      <c r="B8" s="373">
        <v>911.82404999999994</v>
      </c>
      <c r="C8" s="373">
        <v>1083.4622900000002</v>
      </c>
      <c r="D8" s="374">
        <f t="shared" ref="D8:D63" si="0">IF(C8=0,"",B8/C8-1)</f>
        <v>-0.15841644105583053</v>
      </c>
      <c r="E8" s="138"/>
      <c r="F8" s="138"/>
      <c r="G8" s="138"/>
      <c r="H8" s="138"/>
      <c r="I8" s="138"/>
      <c r="J8" s="138"/>
      <c r="K8" s="26"/>
      <c r="L8" s="748" t="s">
        <v>109</v>
      </c>
      <c r="M8" s="761">
        <v>0</v>
      </c>
      <c r="N8" s="761">
        <v>0</v>
      </c>
      <c r="O8" s="708"/>
    </row>
    <row r="9" spans="1:15" ht="9.75" customHeight="1">
      <c r="A9" s="375" t="s">
        <v>89</v>
      </c>
      <c r="B9" s="376">
        <v>804.50688000000002</v>
      </c>
      <c r="C9" s="376">
        <v>850.21248000000003</v>
      </c>
      <c r="D9" s="377">
        <f t="shared" si="0"/>
        <v>-5.3757855918558195E-2</v>
      </c>
      <c r="E9" s="403"/>
      <c r="F9" s="138"/>
      <c r="G9" s="138"/>
      <c r="H9" s="138"/>
      <c r="I9" s="138"/>
      <c r="J9" s="138"/>
      <c r="K9" s="25"/>
      <c r="L9" s="748" t="s">
        <v>119</v>
      </c>
      <c r="M9" s="761">
        <v>0</v>
      </c>
      <c r="N9" s="761">
        <v>0</v>
      </c>
      <c r="O9" s="708"/>
    </row>
    <row r="10" spans="1:15" ht="9.75" customHeight="1">
      <c r="A10" s="372" t="s">
        <v>87</v>
      </c>
      <c r="B10" s="373">
        <v>687.18833000000018</v>
      </c>
      <c r="C10" s="373">
        <v>960.88930000000005</v>
      </c>
      <c r="D10" s="374">
        <f t="shared" si="0"/>
        <v>-0.28484131314606154</v>
      </c>
      <c r="E10" s="138"/>
      <c r="F10" s="138"/>
      <c r="G10" s="138"/>
      <c r="H10" s="138"/>
      <c r="I10" s="138"/>
      <c r="J10" s="138"/>
      <c r="K10" s="25"/>
      <c r="L10" s="748" t="s">
        <v>102</v>
      </c>
      <c r="M10" s="747">
        <v>0</v>
      </c>
      <c r="N10" s="747">
        <v>27.768840000000001</v>
      </c>
      <c r="O10" s="708"/>
    </row>
    <row r="11" spans="1:15" ht="9.75" customHeight="1">
      <c r="A11" s="375" t="s">
        <v>239</v>
      </c>
      <c r="B11" s="376">
        <v>549.85106000000007</v>
      </c>
      <c r="C11" s="376">
        <v>538.19775000000004</v>
      </c>
      <c r="D11" s="377">
        <f t="shared" si="0"/>
        <v>2.1652468818385229E-2</v>
      </c>
      <c r="E11" s="138"/>
      <c r="F11" s="138"/>
      <c r="G11" s="138"/>
      <c r="H11" s="138"/>
      <c r="I11" s="138"/>
      <c r="J11" s="138"/>
      <c r="K11" s="25"/>
      <c r="L11" s="748" t="s">
        <v>244</v>
      </c>
      <c r="M11" s="747">
        <v>0</v>
      </c>
      <c r="N11" s="747">
        <v>0</v>
      </c>
      <c r="O11" s="708"/>
    </row>
    <row r="12" spans="1:15" ht="9.75" customHeight="1">
      <c r="A12" s="372" t="s">
        <v>100</v>
      </c>
      <c r="B12" s="373">
        <v>300.99405000000002</v>
      </c>
      <c r="C12" s="373">
        <v>0</v>
      </c>
      <c r="D12" s="374" t="str">
        <f t="shared" si="0"/>
        <v/>
      </c>
      <c r="E12" s="138"/>
      <c r="F12" s="138"/>
      <c r="G12" s="138"/>
      <c r="H12" s="138"/>
      <c r="I12" s="138"/>
      <c r="J12" s="138"/>
      <c r="K12" s="23"/>
      <c r="L12" s="748" t="s">
        <v>243</v>
      </c>
      <c r="M12" s="761">
        <v>0</v>
      </c>
      <c r="N12" s="761">
        <v>0</v>
      </c>
      <c r="O12" s="708"/>
    </row>
    <row r="13" spans="1:15" ht="9.75" customHeight="1">
      <c r="A13" s="375" t="s">
        <v>90</v>
      </c>
      <c r="B13" s="376">
        <v>215.33111</v>
      </c>
      <c r="C13" s="376">
        <v>199.47209000000001</v>
      </c>
      <c r="D13" s="377">
        <f t="shared" si="0"/>
        <v>7.9504957310067681E-2</v>
      </c>
      <c r="E13" s="138"/>
      <c r="F13" s="138"/>
      <c r="G13" s="138"/>
      <c r="H13" s="138"/>
      <c r="I13" s="138"/>
      <c r="J13" s="138"/>
      <c r="K13" s="26"/>
      <c r="L13" s="748" t="s">
        <v>107</v>
      </c>
      <c r="M13" s="747">
        <v>0</v>
      </c>
      <c r="N13" s="747">
        <v>0</v>
      </c>
      <c r="O13" s="708"/>
    </row>
    <row r="14" spans="1:15" ht="9.75" customHeight="1">
      <c r="A14" s="372" t="s">
        <v>237</v>
      </c>
      <c r="B14" s="373">
        <v>202.32660999999999</v>
      </c>
      <c r="C14" s="373">
        <v>154.16675999999998</v>
      </c>
      <c r="D14" s="374">
        <f t="shared" si="0"/>
        <v>0.31238802709481606</v>
      </c>
      <c r="E14" s="138"/>
      <c r="F14" s="138"/>
      <c r="G14" s="138"/>
      <c r="H14" s="138"/>
      <c r="I14" s="138"/>
      <c r="J14" s="138"/>
      <c r="K14" s="26"/>
      <c r="L14" s="748" t="s">
        <v>110</v>
      </c>
      <c r="M14" s="747">
        <v>0</v>
      </c>
      <c r="N14" s="747">
        <v>0</v>
      </c>
      <c r="O14" s="708"/>
    </row>
    <row r="15" spans="1:15" ht="9.75" customHeight="1">
      <c r="A15" s="375" t="s">
        <v>91</v>
      </c>
      <c r="B15" s="376">
        <v>146.12385</v>
      </c>
      <c r="C15" s="376">
        <v>172.08353000000002</v>
      </c>
      <c r="D15" s="377">
        <f t="shared" si="0"/>
        <v>-0.15085511088713732</v>
      </c>
      <c r="E15" s="138"/>
      <c r="F15" s="138"/>
      <c r="G15" s="138"/>
      <c r="H15" s="138"/>
      <c r="I15" s="138"/>
      <c r="J15" s="138"/>
      <c r="K15" s="26"/>
      <c r="L15" s="748" t="s">
        <v>118</v>
      </c>
      <c r="M15" s="747">
        <v>0</v>
      </c>
      <c r="N15" s="747">
        <v>0</v>
      </c>
      <c r="O15" s="708"/>
    </row>
    <row r="16" spans="1:15" ht="9.75" customHeight="1">
      <c r="A16" s="372" t="s">
        <v>98</v>
      </c>
      <c r="B16" s="373">
        <v>129.74404999999999</v>
      </c>
      <c r="C16" s="373">
        <v>124.61897999999999</v>
      </c>
      <c r="D16" s="374">
        <f t="shared" si="0"/>
        <v>4.1125918379367299E-2</v>
      </c>
      <c r="E16" s="138"/>
      <c r="F16" s="138"/>
      <c r="G16" s="138"/>
      <c r="H16" s="138"/>
      <c r="I16" s="138"/>
      <c r="J16" s="138"/>
      <c r="K16" s="26"/>
      <c r="L16" s="748" t="s">
        <v>412</v>
      </c>
      <c r="M16" s="747">
        <v>0</v>
      </c>
      <c r="N16" s="747">
        <v>0</v>
      </c>
      <c r="O16" s="708"/>
    </row>
    <row r="17" spans="1:15" ht="9.75" customHeight="1">
      <c r="A17" s="375" t="s">
        <v>241</v>
      </c>
      <c r="B17" s="376">
        <v>128.66714000000002</v>
      </c>
      <c r="C17" s="376">
        <v>115.6277</v>
      </c>
      <c r="D17" s="377">
        <f t="shared" si="0"/>
        <v>0.11277090178218563</v>
      </c>
      <c r="E17" s="138"/>
      <c r="F17" s="138"/>
      <c r="G17" s="138"/>
      <c r="H17" s="138"/>
      <c r="I17" s="138"/>
      <c r="J17" s="138"/>
      <c r="K17" s="26"/>
      <c r="L17" s="748" t="s">
        <v>112</v>
      </c>
      <c r="M17" s="761">
        <v>0</v>
      </c>
      <c r="N17" s="761">
        <v>0</v>
      </c>
      <c r="O17" s="708"/>
    </row>
    <row r="18" spans="1:15" ht="9.75" customHeight="1">
      <c r="A18" s="372" t="s">
        <v>92</v>
      </c>
      <c r="B18" s="373">
        <v>108.31863000000001</v>
      </c>
      <c r="C18" s="373">
        <v>102.22711</v>
      </c>
      <c r="D18" s="374">
        <f t="shared" si="0"/>
        <v>5.9588107303434557E-2</v>
      </c>
      <c r="E18" s="138"/>
      <c r="F18" s="138"/>
      <c r="G18" s="138"/>
      <c r="H18" s="138"/>
      <c r="I18" s="138"/>
      <c r="J18" s="138"/>
      <c r="K18" s="26"/>
      <c r="L18" s="748" t="s">
        <v>111</v>
      </c>
      <c r="M18" s="747">
        <v>0</v>
      </c>
      <c r="N18" s="747">
        <v>0</v>
      </c>
      <c r="O18" s="708"/>
    </row>
    <row r="19" spans="1:15" ht="9.75" customHeight="1">
      <c r="A19" s="375" t="s">
        <v>97</v>
      </c>
      <c r="B19" s="376">
        <v>103.02385</v>
      </c>
      <c r="C19" s="376">
        <v>87.63673</v>
      </c>
      <c r="D19" s="377">
        <f t="shared" si="0"/>
        <v>0.17557843611919344</v>
      </c>
      <c r="E19" s="138"/>
      <c r="F19" s="138"/>
      <c r="G19" s="138"/>
      <c r="H19" s="138"/>
      <c r="I19" s="138"/>
      <c r="J19" s="138"/>
      <c r="K19" s="26"/>
      <c r="L19" s="748" t="s">
        <v>115</v>
      </c>
      <c r="M19" s="747">
        <v>0</v>
      </c>
      <c r="N19" s="747">
        <v>2.0775000000000001</v>
      </c>
      <c r="O19" s="708"/>
    </row>
    <row r="20" spans="1:15" ht="9.75" customHeight="1">
      <c r="A20" s="372" t="s">
        <v>95</v>
      </c>
      <c r="B20" s="373">
        <v>98.360510000000005</v>
      </c>
      <c r="C20" s="373">
        <v>108.23007</v>
      </c>
      <c r="D20" s="374">
        <f t="shared" si="0"/>
        <v>-9.1190553604926894E-2</v>
      </c>
      <c r="E20" s="138"/>
      <c r="F20" s="138"/>
      <c r="G20" s="138"/>
      <c r="H20" s="138"/>
      <c r="I20" s="138"/>
      <c r="J20" s="138"/>
      <c r="K20" s="29"/>
      <c r="L20" s="748" t="s">
        <v>453</v>
      </c>
      <c r="M20" s="747">
        <v>0</v>
      </c>
      <c r="N20" s="747">
        <v>0.69691999999999998</v>
      </c>
      <c r="O20" s="708"/>
    </row>
    <row r="21" spans="1:15" ht="9.75" customHeight="1">
      <c r="A21" s="375" t="s">
        <v>94</v>
      </c>
      <c r="B21" s="376">
        <v>95.538979999999995</v>
      </c>
      <c r="C21" s="376">
        <v>149.95659000000001</v>
      </c>
      <c r="D21" s="377">
        <f t="shared" si="0"/>
        <v>-0.3628890867683775</v>
      </c>
      <c r="E21" s="138"/>
      <c r="F21" s="138"/>
      <c r="G21" s="138"/>
      <c r="H21" s="138"/>
      <c r="I21" s="138"/>
      <c r="J21" s="138"/>
      <c r="K21" s="26"/>
      <c r="L21" s="748" t="s">
        <v>236</v>
      </c>
      <c r="M21" s="761">
        <v>0</v>
      </c>
      <c r="N21" s="761">
        <v>0</v>
      </c>
      <c r="O21" s="708"/>
    </row>
    <row r="22" spans="1:15" ht="9.75" customHeight="1">
      <c r="A22" s="372" t="s">
        <v>99</v>
      </c>
      <c r="B22" s="373">
        <v>92.034350000000003</v>
      </c>
      <c r="C22" s="373">
        <v>46.159990000000001</v>
      </c>
      <c r="D22" s="374">
        <f t="shared" si="0"/>
        <v>0.99381217370281072</v>
      </c>
      <c r="E22" s="138"/>
      <c r="F22" s="138"/>
      <c r="G22" s="138"/>
      <c r="H22" s="138"/>
      <c r="I22" s="138"/>
      <c r="J22" s="138"/>
      <c r="K22" s="26"/>
      <c r="L22" s="748" t="s">
        <v>117</v>
      </c>
      <c r="M22" s="761">
        <v>0.69376000000000004</v>
      </c>
      <c r="N22" s="761">
        <v>1.5064</v>
      </c>
      <c r="O22" s="708"/>
    </row>
    <row r="23" spans="1:15" ht="9.75" customHeight="1">
      <c r="A23" s="375" t="s">
        <v>96</v>
      </c>
      <c r="B23" s="376">
        <v>91.420199999999994</v>
      </c>
      <c r="C23" s="376">
        <v>91.368700000000004</v>
      </c>
      <c r="D23" s="377">
        <f t="shared" si="0"/>
        <v>5.6365035291072729E-4</v>
      </c>
      <c r="E23" s="138"/>
      <c r="F23" s="138"/>
      <c r="G23" s="138"/>
      <c r="H23" s="138"/>
      <c r="I23" s="138"/>
      <c r="J23" s="138"/>
      <c r="K23" s="26"/>
      <c r="L23" s="748" t="s">
        <v>458</v>
      </c>
      <c r="M23" s="747">
        <v>1.48062</v>
      </c>
      <c r="N23" s="747"/>
      <c r="O23" s="708"/>
    </row>
    <row r="24" spans="1:15" ht="9.75" customHeight="1">
      <c r="A24" s="372" t="s">
        <v>238</v>
      </c>
      <c r="B24" s="373">
        <v>86.26097</v>
      </c>
      <c r="C24" s="373">
        <v>72.703100000000006</v>
      </c>
      <c r="D24" s="374">
        <f t="shared" si="0"/>
        <v>0.18648269468564593</v>
      </c>
      <c r="E24" s="138"/>
      <c r="F24" s="138"/>
      <c r="G24" s="138"/>
      <c r="H24" s="138"/>
      <c r="I24" s="138"/>
      <c r="J24" s="138"/>
      <c r="K24" s="29"/>
      <c r="L24" s="748" t="s">
        <v>486</v>
      </c>
      <c r="M24" s="747">
        <v>2.9434300000000002</v>
      </c>
      <c r="N24" s="747"/>
      <c r="O24" s="708"/>
    </row>
    <row r="25" spans="1:15" ht="9.75" customHeight="1">
      <c r="A25" s="375" t="s">
        <v>93</v>
      </c>
      <c r="B25" s="376">
        <v>61.637020000000007</v>
      </c>
      <c r="C25" s="376">
        <v>56.991610000000001</v>
      </c>
      <c r="D25" s="377">
        <f t="shared" si="0"/>
        <v>8.1510418814278118E-2</v>
      </c>
      <c r="E25" s="138"/>
      <c r="F25" s="138"/>
      <c r="G25" s="138"/>
      <c r="H25" s="138"/>
      <c r="I25" s="138"/>
      <c r="J25" s="138"/>
      <c r="K25" s="26"/>
      <c r="L25" s="748" t="s">
        <v>120</v>
      </c>
      <c r="M25" s="761">
        <v>3.1625200000000002</v>
      </c>
      <c r="N25" s="761">
        <v>3.0144199999999999</v>
      </c>
      <c r="O25" s="708"/>
    </row>
    <row r="26" spans="1:15" ht="9.75" customHeight="1">
      <c r="A26" s="372" t="s">
        <v>430</v>
      </c>
      <c r="B26" s="373">
        <v>57.099510000000002</v>
      </c>
      <c r="C26" s="373">
        <v>52.899090000000001</v>
      </c>
      <c r="D26" s="374">
        <f t="shared" si="0"/>
        <v>7.9404390510309453E-2</v>
      </c>
      <c r="E26" s="138"/>
      <c r="F26" s="138"/>
      <c r="G26" s="138"/>
      <c r="H26" s="138"/>
      <c r="I26" s="138"/>
      <c r="J26" s="138"/>
      <c r="K26" s="26"/>
      <c r="L26" s="748" t="s">
        <v>104</v>
      </c>
      <c r="M26" s="747">
        <v>3.1765500000000002</v>
      </c>
      <c r="N26" s="747">
        <v>0</v>
      </c>
      <c r="O26" s="708"/>
    </row>
    <row r="27" spans="1:15" ht="9.75" customHeight="1">
      <c r="A27" s="375" t="s">
        <v>242</v>
      </c>
      <c r="B27" s="376">
        <v>31.607040000000001</v>
      </c>
      <c r="C27" s="376">
        <v>11.8604</v>
      </c>
      <c r="D27" s="377">
        <f t="shared" si="0"/>
        <v>1.6649219250615492</v>
      </c>
      <c r="E27" s="138"/>
      <c r="F27" s="138"/>
      <c r="G27" s="138"/>
      <c r="H27" s="138"/>
      <c r="I27" s="138"/>
      <c r="J27" s="138"/>
      <c r="K27" s="26"/>
      <c r="L27" s="748" t="s">
        <v>116</v>
      </c>
      <c r="M27" s="747">
        <v>3.2</v>
      </c>
      <c r="N27" s="747">
        <v>3.6</v>
      </c>
      <c r="O27" s="708"/>
    </row>
    <row r="28" spans="1:15" ht="9.75" customHeight="1">
      <c r="A28" s="372" t="s">
        <v>101</v>
      </c>
      <c r="B28" s="373">
        <v>26.07</v>
      </c>
      <c r="C28" s="373">
        <v>25.584000000000003</v>
      </c>
      <c r="D28" s="374">
        <f t="shared" si="0"/>
        <v>1.8996247654784026E-2</v>
      </c>
      <c r="E28" s="138"/>
      <c r="F28" s="138"/>
      <c r="G28" s="138"/>
      <c r="H28" s="138"/>
      <c r="I28" s="138"/>
      <c r="J28" s="138"/>
      <c r="K28" s="26"/>
      <c r="L28" s="748" t="s">
        <v>421</v>
      </c>
      <c r="M28" s="747">
        <v>4.0071399999999997</v>
      </c>
      <c r="N28" s="747">
        <v>4.7752100000000004</v>
      </c>
      <c r="O28" s="708"/>
    </row>
    <row r="29" spans="1:15" ht="9.75" customHeight="1">
      <c r="A29" s="378" t="s">
        <v>113</v>
      </c>
      <c r="B29" s="379">
        <v>22.754869999999997</v>
      </c>
      <c r="C29" s="379">
        <v>22.52779</v>
      </c>
      <c r="D29" s="380">
        <f t="shared" si="0"/>
        <v>1.0079994531198899E-2</v>
      </c>
      <c r="E29" s="138"/>
      <c r="F29" s="138"/>
      <c r="G29" s="138"/>
      <c r="H29" s="138"/>
      <c r="I29" s="138"/>
      <c r="J29" s="138"/>
      <c r="K29" s="26"/>
      <c r="L29" s="748" t="s">
        <v>114</v>
      </c>
      <c r="M29" s="747">
        <v>5.0324499999999999</v>
      </c>
      <c r="N29" s="747">
        <v>4.0161100000000003</v>
      </c>
      <c r="O29" s="708"/>
    </row>
    <row r="30" spans="1:15" ht="9.75" customHeight="1">
      <c r="A30" s="381" t="s">
        <v>418</v>
      </c>
      <c r="B30" s="382">
        <v>20.602629999999998</v>
      </c>
      <c r="C30" s="382">
        <v>18.87162</v>
      </c>
      <c r="D30" s="383">
        <f t="shared" si="0"/>
        <v>9.1725564630911194E-2</v>
      </c>
      <c r="E30" s="138"/>
      <c r="F30" s="138"/>
      <c r="G30" s="138"/>
      <c r="H30" s="138"/>
      <c r="I30" s="138"/>
      <c r="J30" s="138"/>
      <c r="K30" s="26"/>
      <c r="L30" s="748" t="s">
        <v>431</v>
      </c>
      <c r="M30" s="747">
        <v>5.68</v>
      </c>
      <c r="N30" s="747">
        <v>6.5880000000000001</v>
      </c>
      <c r="O30" s="708"/>
    </row>
    <row r="31" spans="1:15" ht="9.75" customHeight="1">
      <c r="A31" s="384" t="s">
        <v>121</v>
      </c>
      <c r="B31" s="385">
        <v>19.217739999999999</v>
      </c>
      <c r="C31" s="385">
        <v>8.4545300000000001</v>
      </c>
      <c r="D31" s="386">
        <f t="shared" si="0"/>
        <v>1.2730701765798926</v>
      </c>
      <c r="E31" s="138"/>
      <c r="F31" s="138"/>
      <c r="G31" s="138"/>
      <c r="H31" s="138"/>
      <c r="I31" s="138"/>
      <c r="J31" s="138"/>
      <c r="K31" s="26"/>
      <c r="L31" s="748" t="s">
        <v>457</v>
      </c>
      <c r="M31" s="747">
        <v>9.59375</v>
      </c>
      <c r="N31" s="747"/>
      <c r="O31" s="708"/>
    </row>
    <row r="32" spans="1:15" ht="9.75" customHeight="1">
      <c r="A32" s="381" t="s">
        <v>108</v>
      </c>
      <c r="B32" s="382">
        <v>17.92005</v>
      </c>
      <c r="C32" s="382">
        <v>17.98564</v>
      </c>
      <c r="D32" s="383">
        <f t="shared" si="0"/>
        <v>-3.6467982234715812E-3</v>
      </c>
      <c r="E32" s="138"/>
      <c r="F32" s="138"/>
      <c r="G32" s="138"/>
      <c r="H32" s="138"/>
      <c r="I32" s="138"/>
      <c r="J32" s="138"/>
      <c r="K32" s="26"/>
      <c r="L32" s="748" t="s">
        <v>446</v>
      </c>
      <c r="M32" s="747">
        <v>10.02636</v>
      </c>
      <c r="N32" s="747">
        <v>10.7232</v>
      </c>
      <c r="O32" s="708"/>
    </row>
    <row r="33" spans="1:15" ht="13.5" customHeight="1">
      <c r="A33" s="532" t="s">
        <v>402</v>
      </c>
      <c r="B33" s="385">
        <v>16.507159999999999</v>
      </c>
      <c r="C33" s="385">
        <v>17.30902</v>
      </c>
      <c r="D33" s="386">
        <f t="shared" si="0"/>
        <v>-4.6326135159587389E-2</v>
      </c>
      <c r="E33" s="138"/>
      <c r="F33" s="138"/>
      <c r="G33" s="138"/>
      <c r="H33" s="138"/>
      <c r="I33" s="138"/>
      <c r="J33" s="138"/>
      <c r="K33" s="26"/>
      <c r="L33" s="748" t="s">
        <v>411</v>
      </c>
      <c r="M33" s="747">
        <v>10.165650000000001</v>
      </c>
      <c r="N33" s="747">
        <v>7.0596500000000004</v>
      </c>
      <c r="O33" s="708"/>
    </row>
    <row r="34" spans="1:15" ht="11.25" customHeight="1">
      <c r="A34" s="381" t="s">
        <v>103</v>
      </c>
      <c r="B34" s="382">
        <v>16.06062</v>
      </c>
      <c r="C34" s="382">
        <v>17.236000000000001</v>
      </c>
      <c r="D34" s="383">
        <f t="shared" si="0"/>
        <v>-6.8193316314690167E-2</v>
      </c>
      <c r="E34" s="138"/>
      <c r="F34" s="138"/>
      <c r="G34" s="138"/>
      <c r="H34" s="138"/>
      <c r="I34" s="138"/>
      <c r="J34" s="138"/>
      <c r="K34" s="26"/>
      <c r="L34" s="748" t="s">
        <v>425</v>
      </c>
      <c r="M34" s="747">
        <v>10.46153</v>
      </c>
      <c r="N34" s="747">
        <v>10.202970000000001</v>
      </c>
      <c r="O34" s="708"/>
    </row>
    <row r="35" spans="1:15" ht="13.5" customHeight="1">
      <c r="A35" s="532" t="s">
        <v>106</v>
      </c>
      <c r="B35" s="385">
        <v>14.33882</v>
      </c>
      <c r="C35" s="385">
        <v>11.10478</v>
      </c>
      <c r="D35" s="386">
        <f t="shared" si="0"/>
        <v>0.29122954259336975</v>
      </c>
      <c r="E35" s="138"/>
      <c r="F35" s="138"/>
      <c r="G35" s="138"/>
      <c r="H35" s="138"/>
      <c r="I35" s="138"/>
      <c r="J35" s="138"/>
      <c r="K35" s="26"/>
      <c r="L35" s="748" t="s">
        <v>455</v>
      </c>
      <c r="M35" s="747">
        <v>11.739000000000001</v>
      </c>
      <c r="N35" s="747">
        <v>13.249409999999999</v>
      </c>
      <c r="O35" s="708"/>
    </row>
    <row r="36" spans="1:15" ht="11.25" customHeight="1">
      <c r="A36" s="381" t="s">
        <v>240</v>
      </c>
      <c r="B36" s="382">
        <v>13.26078</v>
      </c>
      <c r="C36" s="382">
        <v>12.979140000000001</v>
      </c>
      <c r="D36" s="383">
        <f t="shared" si="0"/>
        <v>2.1699434631262227E-2</v>
      </c>
      <c r="E36" s="138"/>
      <c r="F36" s="138"/>
      <c r="G36" s="138"/>
      <c r="H36" s="138"/>
      <c r="I36" s="138"/>
      <c r="J36" s="138"/>
      <c r="K36" s="34"/>
      <c r="L36" s="748" t="s">
        <v>240</v>
      </c>
      <c r="M36" s="747">
        <v>13.26078</v>
      </c>
      <c r="N36" s="747">
        <v>12.979140000000001</v>
      </c>
      <c r="O36" s="708"/>
    </row>
    <row r="37" spans="1:15" ht="11.25" customHeight="1">
      <c r="A37" s="532" t="s">
        <v>455</v>
      </c>
      <c r="B37" s="385">
        <v>11.739000000000001</v>
      </c>
      <c r="C37" s="385">
        <v>13.249409999999999</v>
      </c>
      <c r="D37" s="386">
        <f t="shared" si="0"/>
        <v>-0.1139982836971607</v>
      </c>
      <c r="E37" s="138"/>
      <c r="F37" s="138"/>
      <c r="G37" s="138"/>
      <c r="H37" s="138"/>
      <c r="I37" s="138"/>
      <c r="J37" s="138"/>
      <c r="K37" s="34"/>
      <c r="L37" s="748" t="s">
        <v>106</v>
      </c>
      <c r="M37" s="761">
        <v>14.33882</v>
      </c>
      <c r="N37" s="761">
        <v>11.10478</v>
      </c>
      <c r="O37" s="708"/>
    </row>
    <row r="38" spans="1:15" ht="22.5" customHeight="1">
      <c r="A38" s="742" t="s">
        <v>425</v>
      </c>
      <c r="B38" s="382">
        <v>10.46153</v>
      </c>
      <c r="C38" s="382">
        <v>10.202970000000001</v>
      </c>
      <c r="D38" s="383">
        <f t="shared" si="0"/>
        <v>2.5341640718339775E-2</v>
      </c>
      <c r="E38" s="138"/>
      <c r="F38" s="138"/>
      <c r="G38" s="138"/>
      <c r="H38" s="138"/>
      <c r="I38" s="138"/>
      <c r="J38" s="138"/>
      <c r="K38" s="29"/>
      <c r="L38" s="748" t="s">
        <v>103</v>
      </c>
      <c r="M38" s="747">
        <v>16.06062</v>
      </c>
      <c r="N38" s="747">
        <v>17.236000000000001</v>
      </c>
      <c r="O38" s="708"/>
    </row>
    <row r="39" spans="1:15" ht="11.25" customHeight="1">
      <c r="A39" s="532" t="s">
        <v>411</v>
      </c>
      <c r="B39" s="385">
        <v>10.165650000000001</v>
      </c>
      <c r="C39" s="385">
        <v>7.0596500000000004</v>
      </c>
      <c r="D39" s="386">
        <f t="shared" si="0"/>
        <v>0.43996515407987657</v>
      </c>
      <c r="E39" s="138"/>
      <c r="F39" s="138"/>
      <c r="G39" s="138"/>
      <c r="H39" s="138"/>
      <c r="I39" s="138"/>
      <c r="J39" s="138"/>
      <c r="K39" s="29"/>
      <c r="L39" s="748" t="s">
        <v>402</v>
      </c>
      <c r="M39" s="747">
        <v>16.507159999999999</v>
      </c>
      <c r="N39" s="747">
        <v>17.30902</v>
      </c>
      <c r="O39" s="708"/>
    </row>
    <row r="40" spans="1:15" ht="11.25" customHeight="1">
      <c r="A40" s="743" t="s">
        <v>446</v>
      </c>
      <c r="B40" s="382">
        <v>10.02636</v>
      </c>
      <c r="C40" s="382">
        <v>10.7232</v>
      </c>
      <c r="D40" s="383">
        <f t="shared" si="0"/>
        <v>-6.498433303491491E-2</v>
      </c>
      <c r="E40" s="138"/>
      <c r="F40" s="138"/>
      <c r="G40" s="138"/>
      <c r="H40" s="138"/>
      <c r="I40" s="138"/>
      <c r="J40" s="138"/>
      <c r="K40" s="29"/>
      <c r="L40" s="748" t="s">
        <v>108</v>
      </c>
      <c r="M40" s="747">
        <v>17.92005</v>
      </c>
      <c r="N40" s="747">
        <v>17.98564</v>
      </c>
      <c r="O40" s="708"/>
    </row>
    <row r="41" spans="1:15" ht="9.75" customHeight="1">
      <c r="A41" s="384" t="s">
        <v>457</v>
      </c>
      <c r="B41" s="385">
        <v>9.59375</v>
      </c>
      <c r="C41" s="385"/>
      <c r="D41" s="386" t="str">
        <f t="shared" si="0"/>
        <v/>
      </c>
      <c r="E41" s="138"/>
      <c r="F41" s="138"/>
      <c r="G41" s="138"/>
      <c r="H41" s="138"/>
      <c r="I41" s="138"/>
      <c r="J41" s="138"/>
      <c r="K41" s="34"/>
      <c r="L41" s="748" t="s">
        <v>121</v>
      </c>
      <c r="M41" s="747">
        <v>19.217739999999999</v>
      </c>
      <c r="N41" s="747">
        <v>8.4545300000000001</v>
      </c>
      <c r="O41" s="708"/>
    </row>
    <row r="42" spans="1:15" ht="9.75" customHeight="1">
      <c r="A42" s="381" t="s">
        <v>431</v>
      </c>
      <c r="B42" s="382">
        <v>5.68</v>
      </c>
      <c r="C42" s="382">
        <v>6.5880000000000001</v>
      </c>
      <c r="D42" s="383">
        <f t="shared" si="0"/>
        <v>-0.13782635094110507</v>
      </c>
      <c r="E42" s="138"/>
      <c r="F42" s="138"/>
      <c r="G42" s="138"/>
      <c r="H42" s="138"/>
      <c r="I42" s="138"/>
      <c r="J42" s="138"/>
      <c r="K42" s="34"/>
      <c r="L42" s="748" t="s">
        <v>418</v>
      </c>
      <c r="M42" s="747">
        <v>20.602629999999998</v>
      </c>
      <c r="N42" s="747">
        <v>18.87162</v>
      </c>
      <c r="O42" s="708"/>
    </row>
    <row r="43" spans="1:15" ht="9.75" customHeight="1">
      <c r="A43" s="384" t="s">
        <v>114</v>
      </c>
      <c r="B43" s="385">
        <v>5.0324499999999999</v>
      </c>
      <c r="C43" s="385">
        <v>4.0161100000000003</v>
      </c>
      <c r="D43" s="386">
        <f t="shared" si="0"/>
        <v>0.25306577758079318</v>
      </c>
      <c r="E43" s="138"/>
      <c r="F43" s="138"/>
      <c r="G43" s="138"/>
      <c r="H43" s="138"/>
      <c r="I43" s="138"/>
      <c r="J43" s="138"/>
      <c r="K43" s="34"/>
      <c r="L43" s="748" t="s">
        <v>113</v>
      </c>
      <c r="M43" s="747">
        <v>22.754869999999997</v>
      </c>
      <c r="N43" s="747">
        <v>22.52779</v>
      </c>
      <c r="O43" s="708"/>
    </row>
    <row r="44" spans="1:15" ht="9.75" customHeight="1">
      <c r="A44" s="381" t="s">
        <v>421</v>
      </c>
      <c r="B44" s="382">
        <v>4.0071399999999997</v>
      </c>
      <c r="C44" s="382">
        <v>4.7752100000000004</v>
      </c>
      <c r="D44" s="383">
        <f t="shared" si="0"/>
        <v>-0.16084528219701344</v>
      </c>
      <c r="E44" s="138"/>
      <c r="F44" s="138"/>
      <c r="G44" s="138"/>
      <c r="H44" s="138"/>
      <c r="I44" s="138"/>
      <c r="J44" s="138"/>
      <c r="L44" s="748" t="s">
        <v>101</v>
      </c>
      <c r="M44" s="747">
        <v>26.07</v>
      </c>
      <c r="N44" s="747">
        <v>25.584000000000003</v>
      </c>
      <c r="O44" s="708"/>
    </row>
    <row r="45" spans="1:15" ht="9.75" customHeight="1">
      <c r="A45" s="384" t="s">
        <v>116</v>
      </c>
      <c r="B45" s="385">
        <v>3.2</v>
      </c>
      <c r="C45" s="385">
        <v>3.6</v>
      </c>
      <c r="D45" s="386">
        <f t="shared" si="0"/>
        <v>-0.11111111111111105</v>
      </c>
      <c r="E45" s="138"/>
      <c r="F45" s="138"/>
      <c r="G45" s="138"/>
      <c r="H45" s="138"/>
      <c r="I45" s="138"/>
      <c r="J45" s="138"/>
      <c r="L45" s="748" t="s">
        <v>242</v>
      </c>
      <c r="M45" s="747">
        <v>31.607040000000001</v>
      </c>
      <c r="N45" s="747">
        <v>11.8604</v>
      </c>
      <c r="O45" s="708"/>
    </row>
    <row r="46" spans="1:15" ht="9.75" customHeight="1">
      <c r="A46" s="381" t="s">
        <v>104</v>
      </c>
      <c r="B46" s="382">
        <v>3.1765500000000002</v>
      </c>
      <c r="C46" s="382">
        <v>0</v>
      </c>
      <c r="D46" s="383" t="str">
        <f t="shared" si="0"/>
        <v/>
      </c>
      <c r="E46" s="138"/>
      <c r="F46" s="138"/>
      <c r="G46" s="138"/>
      <c r="H46" s="138"/>
      <c r="I46" s="138"/>
      <c r="J46" s="138"/>
      <c r="L46" s="748" t="s">
        <v>430</v>
      </c>
      <c r="M46" s="747">
        <v>57.099510000000002</v>
      </c>
      <c r="N46" s="747">
        <v>52.899090000000001</v>
      </c>
      <c r="O46" s="708"/>
    </row>
    <row r="47" spans="1:15" ht="9.75" customHeight="1">
      <c r="A47" s="384" t="s">
        <v>120</v>
      </c>
      <c r="B47" s="385">
        <v>3.1625200000000002</v>
      </c>
      <c r="C47" s="385">
        <v>3.0144199999999999</v>
      </c>
      <c r="D47" s="386">
        <f t="shared" si="0"/>
        <v>4.9130512669103954E-2</v>
      </c>
      <c r="E47" s="138"/>
      <c r="F47" s="138"/>
      <c r="G47" s="138"/>
      <c r="H47" s="138"/>
      <c r="I47" s="138"/>
      <c r="J47" s="138"/>
      <c r="L47" s="748" t="s">
        <v>93</v>
      </c>
      <c r="M47" s="747">
        <v>61.637020000000007</v>
      </c>
      <c r="N47" s="747">
        <v>56.991610000000001</v>
      </c>
      <c r="O47" s="708"/>
    </row>
    <row r="48" spans="1:15" ht="24" customHeight="1">
      <c r="A48" s="742" t="s">
        <v>486</v>
      </c>
      <c r="B48" s="382">
        <v>2.9434300000000002</v>
      </c>
      <c r="C48" s="382"/>
      <c r="D48" s="383" t="str">
        <f t="shared" si="0"/>
        <v/>
      </c>
      <c r="E48" s="138"/>
      <c r="F48" s="138"/>
      <c r="G48" s="138"/>
      <c r="H48" s="138"/>
      <c r="I48" s="138"/>
      <c r="J48" s="138"/>
      <c r="L48" s="748" t="s">
        <v>238</v>
      </c>
      <c r="M48" s="747">
        <v>86.26097</v>
      </c>
      <c r="N48" s="747">
        <v>72.703100000000006</v>
      </c>
      <c r="O48" s="708"/>
    </row>
    <row r="49" spans="1:15" ht="11.25" customHeight="1">
      <c r="A49" s="532" t="s">
        <v>458</v>
      </c>
      <c r="B49" s="385">
        <v>1.48062</v>
      </c>
      <c r="C49" s="385"/>
      <c r="D49" s="386" t="str">
        <f t="shared" si="0"/>
        <v/>
      </c>
      <c r="E49" s="138"/>
      <c r="F49" s="138"/>
      <c r="G49" s="138"/>
      <c r="H49" s="138"/>
      <c r="I49" s="138"/>
      <c r="J49" s="138"/>
      <c r="L49" s="748" t="s">
        <v>96</v>
      </c>
      <c r="M49" s="747">
        <v>91.420199999999994</v>
      </c>
      <c r="N49" s="747">
        <v>91.368700000000004</v>
      </c>
      <c r="O49" s="708"/>
    </row>
    <row r="50" spans="1:15" ht="12" customHeight="1">
      <c r="A50" s="742" t="s">
        <v>117</v>
      </c>
      <c r="B50" s="382">
        <v>0.69376000000000004</v>
      </c>
      <c r="C50" s="382">
        <v>1.5064</v>
      </c>
      <c r="D50" s="383">
        <f t="shared" si="0"/>
        <v>-0.53945831120552312</v>
      </c>
      <c r="E50" s="138"/>
      <c r="F50" s="138"/>
      <c r="G50" s="138"/>
      <c r="H50" s="138"/>
      <c r="I50" s="138"/>
      <c r="J50" s="138"/>
      <c r="L50" s="748" t="s">
        <v>99</v>
      </c>
      <c r="M50" s="747">
        <v>92.034350000000003</v>
      </c>
      <c r="N50" s="747">
        <v>46.159990000000001</v>
      </c>
      <c r="O50" s="708"/>
    </row>
    <row r="51" spans="1:15" ht="9.75" customHeight="1">
      <c r="A51" s="532" t="s">
        <v>236</v>
      </c>
      <c r="B51" s="385">
        <v>0</v>
      </c>
      <c r="C51" s="385">
        <v>0</v>
      </c>
      <c r="D51" s="386" t="str">
        <f t="shared" si="0"/>
        <v/>
      </c>
      <c r="E51" s="138"/>
      <c r="F51" s="138"/>
      <c r="G51" s="138"/>
      <c r="H51" s="138"/>
      <c r="I51" s="138"/>
      <c r="J51" s="138"/>
      <c r="L51" s="748" t="s">
        <v>94</v>
      </c>
      <c r="M51" s="747">
        <v>95.538979999999995</v>
      </c>
      <c r="N51" s="747">
        <v>149.95659000000001</v>
      </c>
      <c r="O51" s="708"/>
    </row>
    <row r="52" spans="1:15" ht="9.75" customHeight="1">
      <c r="A52" s="381" t="s">
        <v>453</v>
      </c>
      <c r="B52" s="382">
        <v>0</v>
      </c>
      <c r="C52" s="382">
        <v>0.69691999999999998</v>
      </c>
      <c r="D52" s="383">
        <f t="shared" si="0"/>
        <v>-1</v>
      </c>
      <c r="E52" s="138"/>
      <c r="F52" s="138"/>
      <c r="G52" s="138"/>
      <c r="H52" s="138"/>
      <c r="I52" s="138"/>
      <c r="J52" s="138"/>
      <c r="L52" s="748" t="s">
        <v>95</v>
      </c>
      <c r="M52" s="747">
        <v>98.360510000000005</v>
      </c>
      <c r="N52" s="747">
        <v>108.23007</v>
      </c>
      <c r="O52" s="708"/>
    </row>
    <row r="53" spans="1:15" ht="9.75" customHeight="1">
      <c r="A53" s="384" t="s">
        <v>115</v>
      </c>
      <c r="B53" s="385">
        <v>0</v>
      </c>
      <c r="C53" s="385">
        <v>2.0775000000000001</v>
      </c>
      <c r="D53" s="386">
        <f t="shared" si="0"/>
        <v>-1</v>
      </c>
      <c r="E53" s="138"/>
      <c r="F53" s="138"/>
      <c r="G53" s="138"/>
      <c r="H53" s="138"/>
      <c r="I53" s="138"/>
      <c r="J53" s="138"/>
      <c r="L53" s="748" t="s">
        <v>97</v>
      </c>
      <c r="M53" s="747">
        <v>103.02385</v>
      </c>
      <c r="N53" s="747">
        <v>87.63673</v>
      </c>
      <c r="O53" s="708"/>
    </row>
    <row r="54" spans="1:15" ht="9.75" customHeight="1">
      <c r="A54" s="381" t="s">
        <v>111</v>
      </c>
      <c r="B54" s="382">
        <v>0</v>
      </c>
      <c r="C54" s="382">
        <v>0</v>
      </c>
      <c r="D54" s="383" t="str">
        <f t="shared" si="0"/>
        <v/>
      </c>
      <c r="E54" s="138"/>
      <c r="F54" s="138"/>
      <c r="G54" s="138"/>
      <c r="H54" s="138"/>
      <c r="I54" s="138"/>
      <c r="J54" s="138"/>
      <c r="L54" s="748" t="s">
        <v>92</v>
      </c>
      <c r="M54" s="747">
        <v>108.31863000000001</v>
      </c>
      <c r="N54" s="747">
        <v>102.22711</v>
      </c>
      <c r="O54" s="708"/>
    </row>
    <row r="55" spans="1:15" ht="9.75" customHeight="1">
      <c r="A55" s="384" t="s">
        <v>112</v>
      </c>
      <c r="B55" s="385">
        <v>0</v>
      </c>
      <c r="C55" s="385">
        <v>0</v>
      </c>
      <c r="D55" s="386" t="str">
        <f t="shared" si="0"/>
        <v/>
      </c>
      <c r="E55" s="138"/>
      <c r="F55" s="138"/>
      <c r="G55" s="138"/>
      <c r="H55" s="138"/>
      <c r="I55" s="138"/>
      <c r="J55" s="138"/>
      <c r="L55" s="748" t="s">
        <v>241</v>
      </c>
      <c r="M55" s="747">
        <v>128.66714000000002</v>
      </c>
      <c r="N55" s="747">
        <v>115.6277</v>
      </c>
      <c r="O55" s="708"/>
    </row>
    <row r="56" spans="1:15" ht="9.75" customHeight="1">
      <c r="A56" s="381" t="s">
        <v>412</v>
      </c>
      <c r="B56" s="382">
        <v>0</v>
      </c>
      <c r="C56" s="382">
        <v>0</v>
      </c>
      <c r="D56" s="383" t="str">
        <f t="shared" si="0"/>
        <v/>
      </c>
      <c r="E56" s="138"/>
      <c r="F56" s="138"/>
      <c r="G56" s="138"/>
      <c r="H56" s="138"/>
      <c r="I56" s="138"/>
      <c r="J56" s="138"/>
      <c r="L56" s="748" t="s">
        <v>98</v>
      </c>
      <c r="M56" s="747">
        <v>129.74404999999999</v>
      </c>
      <c r="N56" s="747">
        <v>124.61897999999999</v>
      </c>
      <c r="O56" s="708"/>
    </row>
    <row r="57" spans="1:15" ht="9.75" customHeight="1">
      <c r="A57" s="384" t="s">
        <v>118</v>
      </c>
      <c r="B57" s="385">
        <v>0</v>
      </c>
      <c r="C57" s="385">
        <v>0</v>
      </c>
      <c r="D57" s="386" t="str">
        <f t="shared" si="0"/>
        <v/>
      </c>
      <c r="E57" s="138"/>
      <c r="F57" s="138"/>
      <c r="G57" s="138"/>
      <c r="H57" s="138"/>
      <c r="I57" s="138"/>
      <c r="J57" s="138"/>
      <c r="L57" s="748" t="s">
        <v>91</v>
      </c>
      <c r="M57" s="747">
        <v>146.12385</v>
      </c>
      <c r="N57" s="747">
        <v>172.08353000000002</v>
      </c>
      <c r="O57" s="708"/>
    </row>
    <row r="58" spans="1:15" ht="9.75" customHeight="1">
      <c r="A58" s="381" t="s">
        <v>110</v>
      </c>
      <c r="B58" s="382">
        <v>0</v>
      </c>
      <c r="C58" s="382">
        <v>0</v>
      </c>
      <c r="D58" s="383" t="str">
        <f t="shared" si="0"/>
        <v/>
      </c>
      <c r="E58" s="138"/>
      <c r="F58" s="138"/>
      <c r="G58" s="138"/>
      <c r="H58" s="138"/>
      <c r="I58" s="138"/>
      <c r="J58" s="138"/>
      <c r="L58" s="748" t="s">
        <v>237</v>
      </c>
      <c r="M58" s="747">
        <v>202.32660999999999</v>
      </c>
      <c r="N58" s="747">
        <v>154.16675999999998</v>
      </c>
      <c r="O58" s="708"/>
    </row>
    <row r="59" spans="1:15" ht="9.75" customHeight="1">
      <c r="A59" s="365" t="s">
        <v>107</v>
      </c>
      <c r="B59" s="366">
        <v>0</v>
      </c>
      <c r="C59" s="366">
        <v>0</v>
      </c>
      <c r="D59" s="386" t="str">
        <f t="shared" si="0"/>
        <v/>
      </c>
      <c r="E59" s="138"/>
      <c r="F59" s="138"/>
      <c r="G59" s="138"/>
      <c r="H59" s="138"/>
      <c r="I59" s="138"/>
      <c r="J59" s="138"/>
      <c r="L59" s="748" t="s">
        <v>90</v>
      </c>
      <c r="M59" s="747">
        <v>215.33111</v>
      </c>
      <c r="N59" s="747">
        <v>199.47209000000001</v>
      </c>
      <c r="O59" s="708"/>
    </row>
    <row r="60" spans="1:15" ht="9.75" customHeight="1">
      <c r="A60" s="387" t="s">
        <v>243</v>
      </c>
      <c r="B60" s="388">
        <v>0</v>
      </c>
      <c r="C60" s="388">
        <v>0</v>
      </c>
      <c r="D60" s="389" t="str">
        <f t="shared" si="0"/>
        <v/>
      </c>
      <c r="E60" s="138"/>
      <c r="F60" s="138"/>
      <c r="G60" s="138"/>
      <c r="H60" s="138"/>
      <c r="I60" s="138"/>
      <c r="J60" s="138"/>
      <c r="L60" s="748" t="s">
        <v>100</v>
      </c>
      <c r="M60" s="747">
        <v>300.99405000000002</v>
      </c>
      <c r="N60" s="747">
        <v>0</v>
      </c>
      <c r="O60" s="708"/>
    </row>
    <row r="61" spans="1:15" ht="9.75" customHeight="1">
      <c r="A61" s="365" t="s">
        <v>244</v>
      </c>
      <c r="B61" s="366">
        <v>0</v>
      </c>
      <c r="C61" s="366">
        <v>0</v>
      </c>
      <c r="D61" s="377" t="str">
        <f t="shared" si="0"/>
        <v/>
      </c>
      <c r="E61" s="138"/>
      <c r="F61" s="138"/>
      <c r="G61" s="138"/>
      <c r="H61" s="138"/>
      <c r="I61" s="138"/>
      <c r="J61" s="138"/>
      <c r="L61" s="748" t="s">
        <v>239</v>
      </c>
      <c r="M61" s="747">
        <v>549.85106000000007</v>
      </c>
      <c r="N61" s="747">
        <v>538.19775000000004</v>
      </c>
      <c r="O61" s="708"/>
    </row>
    <row r="62" spans="1:15" ht="9.75" customHeight="1">
      <c r="A62" s="387" t="s">
        <v>102</v>
      </c>
      <c r="B62" s="388">
        <v>0</v>
      </c>
      <c r="C62" s="388">
        <v>27.768840000000001</v>
      </c>
      <c r="D62" s="389">
        <f t="shared" si="0"/>
        <v>-1</v>
      </c>
      <c r="E62" s="138"/>
      <c r="F62" s="138"/>
      <c r="G62" s="138"/>
      <c r="H62" s="138"/>
      <c r="I62" s="138"/>
      <c r="J62" s="138"/>
      <c r="L62" s="748" t="s">
        <v>87</v>
      </c>
      <c r="M62" s="747">
        <v>687.18833000000018</v>
      </c>
      <c r="N62" s="747">
        <v>960.88930000000005</v>
      </c>
      <c r="O62" s="708"/>
    </row>
    <row r="63" spans="1:15" s="730" customFormat="1" ht="9.75" customHeight="1">
      <c r="A63" s="365" t="s">
        <v>119</v>
      </c>
      <c r="B63" s="366">
        <v>0</v>
      </c>
      <c r="C63" s="366">
        <v>0</v>
      </c>
      <c r="D63" s="377" t="str">
        <f t="shared" si="0"/>
        <v/>
      </c>
      <c r="E63" s="138"/>
      <c r="F63" s="138"/>
      <c r="G63" s="138"/>
      <c r="H63" s="138"/>
      <c r="I63" s="138"/>
      <c r="J63" s="138"/>
      <c r="L63" s="748" t="s">
        <v>89</v>
      </c>
      <c r="M63" s="747">
        <v>804.50688000000002</v>
      </c>
      <c r="N63" s="747">
        <v>850.21248000000003</v>
      </c>
      <c r="O63" s="708"/>
    </row>
    <row r="64" spans="1:15" s="730" customFormat="1" ht="9.75" customHeight="1">
      <c r="A64" s="758" t="s">
        <v>109</v>
      </c>
      <c r="B64" s="760">
        <v>0</v>
      </c>
      <c r="C64" s="760">
        <v>0</v>
      </c>
      <c r="D64" s="759"/>
      <c r="E64" s="138"/>
      <c r="F64" s="138"/>
      <c r="G64" s="138"/>
      <c r="H64" s="138"/>
      <c r="I64" s="138"/>
      <c r="J64" s="138"/>
      <c r="L64" s="748" t="s">
        <v>88</v>
      </c>
      <c r="M64" s="747">
        <v>911.82404999999994</v>
      </c>
      <c r="N64" s="747">
        <v>1083.4622900000002</v>
      </c>
      <c r="O64" s="708"/>
    </row>
    <row r="65" spans="1:15" s="730" customFormat="1" ht="9.75" customHeight="1">
      <c r="A65" s="844" t="s">
        <v>105</v>
      </c>
      <c r="B65" s="839">
        <v>0</v>
      </c>
      <c r="C65" s="839">
        <v>156.52760000000001</v>
      </c>
      <c r="D65" s="838"/>
      <c r="E65" s="138"/>
      <c r="F65" s="138"/>
      <c r="G65" s="138"/>
      <c r="H65" s="138"/>
      <c r="I65" s="138"/>
      <c r="J65" s="138"/>
      <c r="L65" s="748" t="s">
        <v>410</v>
      </c>
      <c r="M65" s="747">
        <v>1400.7794699999999</v>
      </c>
      <c r="N65" s="747">
        <v>1307.96568</v>
      </c>
      <c r="O65" s="708"/>
    </row>
    <row r="66" spans="1:15" ht="9.75" customHeight="1">
      <c r="A66" s="367" t="s">
        <v>42</v>
      </c>
      <c r="B66" s="619">
        <f>SUM(B7:B65)</f>
        <v>6550.7330899999988</v>
      </c>
      <c r="C66" s="619">
        <f>SUM(C7:C65)</f>
        <v>6690.5887000000012</v>
      </c>
      <c r="D66" s="368">
        <f>IF(C66=0,"",B66/C66-1)</f>
        <v>-2.0903333962226989E-2</v>
      </c>
      <c r="E66" s="138"/>
      <c r="F66" s="138"/>
      <c r="G66" s="138"/>
      <c r="H66" s="138"/>
      <c r="I66" s="138"/>
      <c r="J66" s="138"/>
      <c r="L66" s="748"/>
      <c r="M66" s="749"/>
      <c r="N66" s="749"/>
      <c r="O66" s="708"/>
    </row>
    <row r="67" spans="1:15" ht="51.75" customHeight="1">
      <c r="A67" s="939" t="str">
        <f>"Cuadro N° 8: Participación de las empresas generadoras del COES en la máxima potencia coincidente (MW) en "&amp;'1. Resumen'!Q4</f>
        <v>Cuadro N° 8: Participación de las empresas generadoras del COES en la máxima potencia coincidente (MW) en agosto</v>
      </c>
      <c r="B67" s="939"/>
      <c r="C67" s="939"/>
      <c r="D67" s="939"/>
      <c r="E67" s="132"/>
      <c r="F67" s="939" t="str">
        <f>"Gráfico N° 12: Comparación de la máxima potencia coincidente  (MW) de las empresas generadoras del COES en "&amp;'1. Resumen'!Q4</f>
        <v>Gráfico N° 12: Comparación de la máxima potencia coincidente  (MW) de las empresas generadoras del COES en agosto</v>
      </c>
      <c r="G67" s="939"/>
      <c r="H67" s="939"/>
      <c r="I67" s="939"/>
      <c r="J67" s="939"/>
      <c r="L67" s="748"/>
      <c r="M67" s="750"/>
      <c r="N67" s="750"/>
    </row>
    <row r="68" spans="1:15" ht="25.5" customHeight="1">
      <c r="A68" s="942"/>
      <c r="B68" s="942"/>
      <c r="C68" s="942"/>
      <c r="D68" s="942"/>
      <c r="E68" s="942"/>
      <c r="F68" s="942"/>
      <c r="G68" s="942"/>
      <c r="H68" s="942"/>
      <c r="I68" s="942"/>
      <c r="J68" s="942"/>
    </row>
    <row r="69" spans="1:15" ht="17.25" customHeight="1">
      <c r="A69" s="941"/>
      <c r="B69" s="941"/>
      <c r="C69" s="941"/>
      <c r="D69" s="941"/>
      <c r="E69" s="941"/>
      <c r="F69" s="941"/>
      <c r="G69" s="941"/>
      <c r="H69" s="941"/>
      <c r="I69" s="941"/>
      <c r="J69" s="941"/>
    </row>
    <row r="70" spans="1:15">
      <c r="A70" s="941"/>
      <c r="B70" s="941"/>
      <c r="C70" s="941"/>
      <c r="D70" s="941"/>
      <c r="E70" s="941"/>
      <c r="F70" s="941"/>
      <c r="G70" s="941"/>
      <c r="H70" s="941"/>
      <c r="I70" s="941"/>
      <c r="J70" s="941"/>
    </row>
    <row r="71" spans="1:15">
      <c r="A71" s="934"/>
      <c r="B71" s="934"/>
      <c r="C71" s="934"/>
      <c r="D71" s="934"/>
      <c r="E71" s="934"/>
      <c r="F71" s="934"/>
      <c r="G71" s="934"/>
      <c r="H71" s="934"/>
      <c r="I71" s="934"/>
      <c r="J71" s="934"/>
    </row>
    <row r="72" spans="1:15">
      <c r="A72" s="933"/>
      <c r="B72" s="933"/>
      <c r="C72" s="933"/>
      <c r="D72" s="933"/>
      <c r="E72" s="933"/>
      <c r="F72" s="933"/>
      <c r="G72" s="933"/>
      <c r="H72" s="933"/>
      <c r="I72" s="933"/>
      <c r="J72" s="933"/>
    </row>
    <row r="73" spans="1:15">
      <c r="A73" s="962"/>
      <c r="B73" s="962"/>
      <c r="C73" s="962"/>
      <c r="D73" s="962"/>
      <c r="E73" s="962"/>
      <c r="F73" s="962"/>
      <c r="G73" s="962"/>
      <c r="H73" s="962"/>
      <c r="I73" s="962"/>
      <c r="J73" s="962"/>
    </row>
    <row r="74" spans="1:15">
      <c r="A74" s="961"/>
      <c r="B74" s="961"/>
      <c r="C74" s="961"/>
      <c r="D74" s="961"/>
      <c r="E74" s="961"/>
      <c r="F74" s="961"/>
      <c r="G74" s="961"/>
      <c r="H74" s="961"/>
      <c r="I74" s="961"/>
      <c r="J74" s="961"/>
    </row>
  </sheetData>
  <mergeCells count="14">
    <mergeCell ref="A74:J74"/>
    <mergeCell ref="A70:J70"/>
    <mergeCell ref="A71:J71"/>
    <mergeCell ref="A72:J72"/>
    <mergeCell ref="A73:J73"/>
    <mergeCell ref="A68:J68"/>
    <mergeCell ref="A69:J69"/>
    <mergeCell ref="A67:D67"/>
    <mergeCell ref="F67:J67"/>
    <mergeCell ref="A1:J1"/>
    <mergeCell ref="A3:A6"/>
    <mergeCell ref="B3:D3"/>
    <mergeCell ref="G3:I3"/>
    <mergeCell ref="D4:D6"/>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30" workbookViewId="0">
      <selection activeCell="N25" sqref="N25"/>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07" customWidth="1"/>
    <col min="12" max="31" width="9.33203125" style="307"/>
    <col min="32" max="16384" width="9.33203125" style="46"/>
  </cols>
  <sheetData>
    <row r="1" spans="1:38" ht="11.25" customHeight="1"/>
    <row r="2" spans="1:38" ht="17.25" customHeight="1">
      <c r="A2" s="945" t="s">
        <v>252</v>
      </c>
      <c r="B2" s="945"/>
      <c r="C2" s="945"/>
      <c r="D2" s="945"/>
      <c r="E2" s="945"/>
      <c r="F2" s="945"/>
      <c r="G2" s="945"/>
      <c r="H2" s="945"/>
    </row>
    <row r="3" spans="1:38" ht="11.25" customHeight="1">
      <c r="A3" s="77"/>
      <c r="B3" s="77"/>
      <c r="C3" s="77"/>
      <c r="D3" s="77"/>
      <c r="E3" s="77"/>
      <c r="F3" s="82"/>
      <c r="G3" s="82"/>
      <c r="H3" s="82"/>
      <c r="I3" s="36"/>
      <c r="J3" s="316"/>
    </row>
    <row r="4" spans="1:38" ht="15.75" customHeight="1">
      <c r="A4" s="963" t="s">
        <v>441</v>
      </c>
      <c r="B4" s="963"/>
      <c r="C4" s="963"/>
      <c r="D4" s="963"/>
      <c r="E4" s="963"/>
      <c r="F4" s="963"/>
      <c r="G4" s="963"/>
      <c r="H4" s="963"/>
      <c r="I4" s="36"/>
      <c r="J4" s="316"/>
    </row>
    <row r="5" spans="1:38" ht="11.25" customHeight="1">
      <c r="A5" s="77"/>
      <c r="B5" s="164"/>
      <c r="C5" s="79"/>
      <c r="D5" s="79"/>
      <c r="E5" s="80"/>
      <c r="F5" s="76"/>
      <c r="G5" s="76"/>
      <c r="H5" s="81"/>
      <c r="I5" s="165"/>
      <c r="J5" s="317"/>
    </row>
    <row r="6" spans="1:38" ht="42.75" customHeight="1">
      <c r="A6" s="77"/>
      <c r="C6" s="484" t="s">
        <v>124</v>
      </c>
      <c r="D6" s="485" t="s">
        <v>676</v>
      </c>
      <c r="E6" s="485" t="s">
        <v>677</v>
      </c>
      <c r="F6" s="486" t="s">
        <v>125</v>
      </c>
      <c r="G6" s="169"/>
      <c r="H6" s="170"/>
    </row>
    <row r="7" spans="1:38" ht="11.25" customHeight="1">
      <c r="A7" s="77"/>
      <c r="C7" s="534" t="s">
        <v>126</v>
      </c>
      <c r="D7" s="535">
        <v>26.91200066</v>
      </c>
      <c r="E7" s="765">
        <v>17.361000059999999</v>
      </c>
      <c r="F7" s="536">
        <f>IF(E7=0,"",(D7-E7)/E7)</f>
        <v>0.55014115356209514</v>
      </c>
      <c r="G7" s="137"/>
      <c r="H7" s="268"/>
    </row>
    <row r="8" spans="1:38" ht="11.25" customHeight="1">
      <c r="A8" s="77"/>
      <c r="C8" s="537" t="s">
        <v>127</v>
      </c>
      <c r="D8" s="538">
        <v>127.19300079999999</v>
      </c>
      <c r="E8" s="539">
        <v>101.1029968</v>
      </c>
      <c r="F8" s="540">
        <f t="shared" ref="F8:F20" si="0">IF(E8=0,"",(D8-E8)/E8)</f>
        <v>0.25805371577274544</v>
      </c>
      <c r="G8" s="137"/>
      <c r="H8" s="268"/>
    </row>
    <row r="9" spans="1:38" ht="11.25" customHeight="1">
      <c r="A9" s="77"/>
      <c r="C9" s="541" t="s">
        <v>128</v>
      </c>
      <c r="D9" s="542">
        <v>65.632003780000005</v>
      </c>
      <c r="E9" s="543">
        <v>70.873001099999996</v>
      </c>
      <c r="F9" s="544">
        <f t="shared" si="0"/>
        <v>-7.3949137734481959E-2</v>
      </c>
      <c r="G9" s="137"/>
      <c r="H9" s="268"/>
      <c r="M9" s="318" t="s">
        <v>258</v>
      </c>
      <c r="N9" s="319"/>
      <c r="O9" s="319"/>
      <c r="P9" s="319"/>
      <c r="Q9" s="319"/>
      <c r="R9" s="319"/>
      <c r="S9" s="319"/>
      <c r="T9" s="319"/>
      <c r="U9" s="319"/>
      <c r="V9" s="319"/>
      <c r="W9" s="319"/>
      <c r="X9" s="319"/>
      <c r="Y9" s="319"/>
      <c r="Z9" s="319"/>
      <c r="AA9" s="319"/>
      <c r="AB9" s="319"/>
      <c r="AC9" s="319"/>
      <c r="AD9" s="319"/>
      <c r="AE9" s="319"/>
      <c r="AF9" s="216"/>
      <c r="AG9" s="216"/>
      <c r="AH9" s="216"/>
      <c r="AI9" s="216"/>
      <c r="AJ9" s="216"/>
      <c r="AK9" s="216"/>
      <c r="AL9" s="216"/>
    </row>
    <row r="10" spans="1:38" ht="11.25" customHeight="1">
      <c r="A10" s="77"/>
      <c r="C10" s="537" t="s">
        <v>129</v>
      </c>
      <c r="D10" s="538">
        <v>46.953998570000003</v>
      </c>
      <c r="E10" s="539">
        <v>77.795997619999994</v>
      </c>
      <c r="F10" s="540">
        <f t="shared" si="0"/>
        <v>-0.39644711802077398</v>
      </c>
      <c r="G10" s="137"/>
      <c r="H10" s="268"/>
      <c r="M10" s="318" t="s">
        <v>259</v>
      </c>
      <c r="N10" s="319"/>
      <c r="O10" s="319"/>
      <c r="P10" s="319"/>
      <c r="Q10" s="319"/>
      <c r="R10" s="319"/>
      <c r="S10" s="319"/>
      <c r="T10" s="319"/>
      <c r="AD10" s="319"/>
      <c r="AE10" s="319"/>
      <c r="AF10" s="216"/>
      <c r="AG10" s="216"/>
      <c r="AH10" s="216"/>
      <c r="AI10" s="216"/>
      <c r="AJ10" s="216"/>
      <c r="AK10" s="216"/>
      <c r="AL10" s="216"/>
    </row>
    <row r="11" spans="1:38" ht="11.25" customHeight="1">
      <c r="A11" s="77"/>
      <c r="C11" s="541" t="s">
        <v>130</v>
      </c>
      <c r="D11" s="542">
        <v>17.573999400000002</v>
      </c>
      <c r="E11" s="543">
        <v>20.149000170000001</v>
      </c>
      <c r="F11" s="544">
        <f>IF(E11=0,"",(D11-E11)/E11)</f>
        <v>-0.12779794274030218</v>
      </c>
      <c r="G11" s="137"/>
      <c r="H11" s="268"/>
      <c r="M11" s="319"/>
      <c r="N11" s="320">
        <v>2017</v>
      </c>
      <c r="O11" s="320">
        <v>2018</v>
      </c>
      <c r="P11" s="320">
        <v>2019</v>
      </c>
      <c r="Q11" s="320">
        <v>2020</v>
      </c>
      <c r="R11" s="319"/>
      <c r="S11" s="319"/>
      <c r="T11" s="319"/>
      <c r="AD11" s="319"/>
      <c r="AE11" s="319"/>
      <c r="AF11" s="216"/>
      <c r="AG11" s="216"/>
      <c r="AH11" s="216"/>
      <c r="AI11" s="216"/>
      <c r="AJ11" s="216"/>
      <c r="AK11" s="216"/>
      <c r="AL11" s="216"/>
    </row>
    <row r="12" spans="1:38" ht="11.25" customHeight="1">
      <c r="A12" s="77"/>
      <c r="C12" s="537" t="s">
        <v>131</v>
      </c>
      <c r="D12" s="538">
        <v>6.4580001830000002</v>
      </c>
      <c r="E12" s="539">
        <v>4.4499998090000004</v>
      </c>
      <c r="F12" s="540">
        <f t="shared" si="0"/>
        <v>0.45123605846878356</v>
      </c>
      <c r="G12" s="137"/>
      <c r="H12" s="268"/>
      <c r="M12" s="321">
        <v>1</v>
      </c>
      <c r="N12" s="322">
        <v>93.1</v>
      </c>
      <c r="O12" s="322">
        <v>104.46</v>
      </c>
      <c r="P12" s="322">
        <v>117.2900009</v>
      </c>
      <c r="Q12" s="557">
        <v>117.290000915527</v>
      </c>
      <c r="R12" s="319"/>
      <c r="S12" s="319"/>
      <c r="T12" s="319"/>
      <c r="AD12" s="319"/>
      <c r="AE12" s="319"/>
      <c r="AF12" s="216"/>
      <c r="AG12" s="216"/>
      <c r="AH12" s="216"/>
      <c r="AI12" s="216"/>
      <c r="AJ12" s="216"/>
      <c r="AK12" s="216"/>
      <c r="AL12" s="216"/>
    </row>
    <row r="13" spans="1:38" ht="11.25" customHeight="1">
      <c r="A13" s="77"/>
      <c r="C13" s="541" t="s">
        <v>132</v>
      </c>
      <c r="D13" s="542">
        <v>92.709999080000003</v>
      </c>
      <c r="E13" s="543">
        <v>63.930000309999997</v>
      </c>
      <c r="F13" s="544">
        <f t="shared" si="0"/>
        <v>0.45017986282565697</v>
      </c>
      <c r="G13" s="137"/>
      <c r="H13" s="268"/>
      <c r="M13" s="321">
        <v>2</v>
      </c>
      <c r="N13" s="322">
        <v>93.1</v>
      </c>
      <c r="O13" s="322">
        <v>103.4720001</v>
      </c>
      <c r="P13" s="322">
        <v>116.0110016</v>
      </c>
      <c r="Q13" s="557">
        <v>146.93600459999999</v>
      </c>
      <c r="R13" s="319"/>
      <c r="S13" s="319"/>
      <c r="T13" s="319"/>
      <c r="AD13" s="319"/>
      <c r="AE13" s="319"/>
      <c r="AF13" s="216"/>
      <c r="AG13" s="216"/>
      <c r="AH13" s="216"/>
      <c r="AI13" s="216"/>
      <c r="AJ13" s="216"/>
      <c r="AK13" s="216"/>
      <c r="AL13" s="216"/>
    </row>
    <row r="14" spans="1:38" ht="11.25" customHeight="1">
      <c r="A14" s="77"/>
      <c r="C14" s="537" t="s">
        <v>133</v>
      </c>
      <c r="D14" s="538">
        <v>251.3690033</v>
      </c>
      <c r="E14" s="539">
        <v>227.0690002</v>
      </c>
      <c r="F14" s="540">
        <f t="shared" si="0"/>
        <v>0.1070159426368056</v>
      </c>
      <c r="G14" s="137"/>
      <c r="H14" s="268"/>
      <c r="M14" s="321">
        <v>3</v>
      </c>
      <c r="N14" s="322">
        <v>98.74</v>
      </c>
      <c r="O14" s="322">
        <v>106.08699799999999</v>
      </c>
      <c r="P14" s="322">
        <v>117.6</v>
      </c>
      <c r="Q14" s="557">
        <v>149.93200680000001</v>
      </c>
      <c r="R14" s="319"/>
      <c r="S14" s="319"/>
      <c r="T14" s="319"/>
      <c r="AD14" s="319"/>
      <c r="AE14" s="319"/>
      <c r="AF14" s="216"/>
      <c r="AG14" s="216"/>
      <c r="AH14" s="216"/>
      <c r="AI14" s="216"/>
      <c r="AJ14" s="216"/>
      <c r="AK14" s="216"/>
      <c r="AL14" s="216"/>
    </row>
    <row r="15" spans="1:38" ht="11.25" customHeight="1">
      <c r="A15" s="77"/>
      <c r="C15" s="541" t="s">
        <v>134</v>
      </c>
      <c r="D15" s="542">
        <v>37.560001370000002</v>
      </c>
      <c r="E15" s="543">
        <v>33.900001529999997</v>
      </c>
      <c r="F15" s="544">
        <f t="shared" si="0"/>
        <v>0.1079645921774094</v>
      </c>
      <c r="G15" s="137"/>
      <c r="H15" s="268"/>
      <c r="M15" s="321">
        <v>4</v>
      </c>
      <c r="N15" s="322">
        <v>98.74</v>
      </c>
      <c r="O15" s="322">
        <v>112.7200012</v>
      </c>
      <c r="P15" s="322">
        <v>128.32000729999999</v>
      </c>
      <c r="Q15" s="557">
        <v>152.6190033</v>
      </c>
      <c r="R15" s="319"/>
      <c r="S15" s="319"/>
      <c r="T15" s="319"/>
      <c r="AD15" s="319"/>
      <c r="AE15" s="319"/>
      <c r="AF15" s="216"/>
      <c r="AG15" s="216"/>
      <c r="AH15" s="216"/>
      <c r="AI15" s="216"/>
      <c r="AJ15" s="216"/>
      <c r="AK15" s="216"/>
      <c r="AL15" s="216"/>
    </row>
    <row r="16" spans="1:38" ht="11.25" customHeight="1">
      <c r="A16" s="77"/>
      <c r="C16" s="537" t="s">
        <v>135</v>
      </c>
      <c r="D16" s="538">
        <v>173.28700259999999</v>
      </c>
      <c r="E16" s="539">
        <v>176.73300169999999</v>
      </c>
      <c r="F16" s="540">
        <f t="shared" si="0"/>
        <v>-1.9498334022807439E-2</v>
      </c>
      <c r="G16" s="137"/>
      <c r="H16" s="268"/>
      <c r="M16" s="321">
        <v>5</v>
      </c>
      <c r="N16" s="322">
        <v>125.15</v>
      </c>
      <c r="O16" s="322">
        <v>122.3190002</v>
      </c>
      <c r="P16" s="322">
        <v>139.2400055</v>
      </c>
      <c r="Q16" s="557">
        <v>162.19599909999999</v>
      </c>
      <c r="R16" s="319"/>
      <c r="S16" s="319"/>
      <c r="T16" s="319"/>
      <c r="AD16" s="319"/>
      <c r="AE16" s="319"/>
      <c r="AF16" s="216"/>
      <c r="AG16" s="216"/>
      <c r="AH16" s="216"/>
      <c r="AI16" s="216"/>
      <c r="AJ16" s="216"/>
      <c r="AK16" s="216"/>
      <c r="AL16" s="216"/>
    </row>
    <row r="17" spans="1:38" ht="11.25" customHeight="1">
      <c r="A17" s="77"/>
      <c r="C17" s="541" t="s">
        <v>136</v>
      </c>
      <c r="D17" s="542">
        <v>129.67999270000001</v>
      </c>
      <c r="E17" s="543">
        <v>116.0400009</v>
      </c>
      <c r="F17" s="544">
        <f t="shared" si="0"/>
        <v>0.11754560232858477</v>
      </c>
      <c r="G17" s="137"/>
      <c r="H17" s="268"/>
      <c r="M17" s="321">
        <v>6</v>
      </c>
      <c r="N17" s="322">
        <v>125.15</v>
      </c>
      <c r="O17" s="322">
        <v>126.1559982</v>
      </c>
      <c r="P17" s="322">
        <v>150.94</v>
      </c>
      <c r="Q17" s="557">
        <v>168.51100158691401</v>
      </c>
      <c r="R17" s="319"/>
      <c r="S17" s="319"/>
      <c r="T17" s="319"/>
      <c r="AD17" s="319"/>
      <c r="AE17" s="319"/>
      <c r="AF17" s="216"/>
      <c r="AG17" s="216"/>
      <c r="AH17" s="216"/>
      <c r="AI17" s="216"/>
      <c r="AJ17" s="216"/>
      <c r="AK17" s="216"/>
      <c r="AL17" s="216"/>
    </row>
    <row r="18" spans="1:38" ht="11.25" customHeight="1">
      <c r="A18" s="77"/>
      <c r="C18" s="537" t="s">
        <v>137</v>
      </c>
      <c r="D18" s="538">
        <v>18.365999219999999</v>
      </c>
      <c r="E18" s="539">
        <v>10.30500031</v>
      </c>
      <c r="F18" s="540">
        <f t="shared" si="0"/>
        <v>0.78224150097090084</v>
      </c>
      <c r="G18" s="137"/>
      <c r="H18" s="268"/>
      <c r="M18" s="321">
        <v>7</v>
      </c>
      <c r="N18" s="322">
        <v>142.99</v>
      </c>
      <c r="O18" s="322">
        <v>142.9900055</v>
      </c>
      <c r="P18" s="322">
        <v>162.4909973</v>
      </c>
      <c r="Q18" s="557">
        <v>175.46800229999999</v>
      </c>
      <c r="R18" s="319"/>
      <c r="S18" s="319"/>
      <c r="T18" s="319"/>
      <c r="AD18" s="319"/>
      <c r="AE18" s="319"/>
      <c r="AF18" s="216"/>
      <c r="AG18" s="216"/>
      <c r="AH18" s="216"/>
      <c r="AI18" s="216"/>
      <c r="AJ18" s="216"/>
      <c r="AK18" s="216"/>
      <c r="AL18" s="216"/>
    </row>
    <row r="19" spans="1:38" ht="12.75" customHeight="1">
      <c r="A19" s="77"/>
      <c r="C19" s="541" t="s">
        <v>138</v>
      </c>
      <c r="D19" s="542">
        <v>51.241500850000001</v>
      </c>
      <c r="E19" s="543">
        <v>20.25</v>
      </c>
      <c r="F19" s="544">
        <f t="shared" si="0"/>
        <v>1.5304444864197531</v>
      </c>
      <c r="G19" s="137"/>
      <c r="H19" s="268"/>
      <c r="M19" s="321">
        <v>8</v>
      </c>
      <c r="N19" s="322">
        <v>142.99</v>
      </c>
      <c r="O19" s="322">
        <v>134.13600159999999</v>
      </c>
      <c r="P19" s="322">
        <v>169.03700259999999</v>
      </c>
      <c r="Q19" s="557">
        <v>188.82800292968699</v>
      </c>
      <c r="R19" s="319"/>
      <c r="S19" s="319"/>
      <c r="T19" s="319"/>
      <c r="AD19" s="319"/>
      <c r="AE19" s="319"/>
      <c r="AF19" s="216"/>
      <c r="AG19" s="216"/>
      <c r="AH19" s="216"/>
      <c r="AI19" s="216"/>
      <c r="AJ19" s="216"/>
      <c r="AK19" s="216"/>
      <c r="AL19" s="216"/>
    </row>
    <row r="20" spans="1:38" ht="13.5" customHeight="1">
      <c r="A20" s="77"/>
      <c r="C20" s="537" t="s">
        <v>139</v>
      </c>
      <c r="D20" s="538">
        <v>20.741519929999999</v>
      </c>
      <c r="E20" s="539">
        <v>18.819000240000001</v>
      </c>
      <c r="F20" s="540">
        <f t="shared" si="0"/>
        <v>0.10215843910313897</v>
      </c>
      <c r="G20" s="137"/>
      <c r="H20" s="268"/>
      <c r="M20" s="321">
        <v>9</v>
      </c>
      <c r="N20" s="322">
        <v>159.53</v>
      </c>
      <c r="O20" s="322">
        <v>153.34500120000001</v>
      </c>
      <c r="P20" s="322">
        <v>182.64300539999999</v>
      </c>
      <c r="Q20" s="557">
        <v>196.47700499999999</v>
      </c>
      <c r="R20" s="319"/>
      <c r="S20" s="319"/>
      <c r="T20" s="319"/>
      <c r="AD20" s="319"/>
      <c r="AE20" s="319"/>
      <c r="AF20" s="216"/>
      <c r="AG20" s="216"/>
      <c r="AH20" s="216"/>
      <c r="AI20" s="216"/>
      <c r="AJ20" s="216"/>
      <c r="AK20" s="216"/>
      <c r="AL20" s="216"/>
    </row>
    <row r="21" spans="1:38" ht="11.25" customHeight="1">
      <c r="A21" s="77"/>
      <c r="C21" s="541" t="s">
        <v>140</v>
      </c>
      <c r="D21" s="542">
        <v>4.7360000610000004</v>
      </c>
      <c r="E21" s="543">
        <v>5.9959998130000001</v>
      </c>
      <c r="F21" s="544">
        <f t="shared" ref="F21:F27" si="1">IF(E21=0,"",(D21-E21)/E21)</f>
        <v>-0.21014005858842405</v>
      </c>
      <c r="M21" s="321">
        <v>10</v>
      </c>
      <c r="N21" s="322">
        <v>159.53</v>
      </c>
      <c r="O21" s="322">
        <v>153.0590057</v>
      </c>
      <c r="P21" s="322">
        <v>190.99600219999999</v>
      </c>
      <c r="Q21" s="557">
        <v>199.98199460000001</v>
      </c>
      <c r="R21" s="319"/>
      <c r="S21" s="319"/>
      <c r="T21" s="319"/>
      <c r="AD21" s="319"/>
      <c r="AE21" s="319"/>
      <c r="AF21" s="216"/>
      <c r="AG21" s="216"/>
      <c r="AH21" s="216"/>
      <c r="AI21" s="216"/>
      <c r="AJ21" s="216"/>
      <c r="AK21" s="216"/>
      <c r="AL21" s="216"/>
    </row>
    <row r="22" spans="1:38" ht="11.25" customHeight="1">
      <c r="A22" s="77"/>
      <c r="C22" s="537" t="s">
        <v>141</v>
      </c>
      <c r="D22" s="538">
        <v>1.6490000490000001</v>
      </c>
      <c r="E22" s="539">
        <v>1.2719999550000001</v>
      </c>
      <c r="F22" s="540">
        <f t="shared" si="1"/>
        <v>0.29638373218338676</v>
      </c>
      <c r="G22" s="137"/>
      <c r="H22" s="268"/>
      <c r="M22" s="321">
        <v>11</v>
      </c>
      <c r="N22" s="322">
        <v>184.94</v>
      </c>
      <c r="O22" s="322">
        <v>162.93200680000001</v>
      </c>
      <c r="P22" s="322">
        <v>200.89500427246</v>
      </c>
      <c r="Q22" s="362">
        <v>200.89500430000001</v>
      </c>
      <c r="AF22" s="269"/>
      <c r="AG22" s="269"/>
      <c r="AH22" s="269"/>
      <c r="AI22" s="269"/>
      <c r="AJ22" s="269"/>
      <c r="AK22" s="269"/>
      <c r="AL22" s="269"/>
    </row>
    <row r="23" spans="1:38" ht="11.25" customHeight="1">
      <c r="A23" s="77"/>
      <c r="C23" s="541" t="s">
        <v>417</v>
      </c>
      <c r="D23" s="542">
        <v>3.2730000019999999</v>
      </c>
      <c r="E23" s="543">
        <v>0.409000009</v>
      </c>
      <c r="F23" s="544">
        <f t="shared" si="1"/>
        <v>7.002444816572118</v>
      </c>
      <c r="G23" s="137"/>
      <c r="H23" s="268"/>
      <c r="M23" s="321">
        <v>12</v>
      </c>
      <c r="N23" s="322">
        <v>184.94</v>
      </c>
      <c r="O23" s="322">
        <v>172.76199339999999</v>
      </c>
      <c r="P23" s="322">
        <v>209.09500120000001</v>
      </c>
      <c r="Q23" s="362">
        <v>210.61200000000002</v>
      </c>
      <c r="AF23" s="269"/>
      <c r="AG23" s="269"/>
      <c r="AH23" s="269"/>
      <c r="AI23" s="269"/>
      <c r="AJ23" s="269"/>
      <c r="AK23" s="269"/>
      <c r="AL23" s="269"/>
    </row>
    <row r="24" spans="1:38" ht="11.25" customHeight="1">
      <c r="A24" s="77"/>
      <c r="C24" s="537" t="s">
        <v>142</v>
      </c>
      <c r="D24" s="539">
        <v>183.14799500000001</v>
      </c>
      <c r="E24" s="539">
        <v>170.0189972</v>
      </c>
      <c r="F24" s="540">
        <f t="shared" si="1"/>
        <v>7.7220769538805439E-2</v>
      </c>
      <c r="G24" s="137"/>
      <c r="H24" s="268"/>
      <c r="M24" s="321">
        <v>13</v>
      </c>
      <c r="N24" s="322">
        <v>203.73</v>
      </c>
      <c r="O24" s="322">
        <v>182.13900760000001</v>
      </c>
      <c r="P24" s="322">
        <v>215.7310028</v>
      </c>
      <c r="Q24" s="362">
        <v>221.91900634765599</v>
      </c>
      <c r="AF24" s="269"/>
      <c r="AG24" s="269"/>
      <c r="AH24" s="269"/>
      <c r="AI24" s="269"/>
      <c r="AJ24" s="269"/>
      <c r="AK24" s="269"/>
      <c r="AL24" s="269"/>
    </row>
    <row r="25" spans="1:38" ht="11.25" customHeight="1">
      <c r="A25" s="77"/>
      <c r="C25" s="541" t="s">
        <v>143</v>
      </c>
      <c r="D25" s="543">
        <v>27.43000031</v>
      </c>
      <c r="E25" s="543">
        <v>29.906999590000002</v>
      </c>
      <c r="F25" s="544">
        <f t="shared" si="1"/>
        <v>-8.2823396327200774E-2</v>
      </c>
      <c r="G25" s="137"/>
      <c r="H25" s="268"/>
      <c r="M25" s="321">
        <v>14</v>
      </c>
      <c r="N25" s="322">
        <v>203.73</v>
      </c>
      <c r="O25" s="322">
        <v>191.4750061</v>
      </c>
      <c r="P25" s="322">
        <v>219.1710052</v>
      </c>
      <c r="Q25" s="362">
        <v>223.19599909999999</v>
      </c>
      <c r="AF25" s="269"/>
      <c r="AG25" s="269"/>
      <c r="AH25" s="269"/>
      <c r="AI25" s="269"/>
      <c r="AJ25" s="269"/>
      <c r="AK25" s="269"/>
      <c r="AL25" s="269"/>
    </row>
    <row r="26" spans="1:38" ht="11.25" customHeight="1">
      <c r="A26" s="77"/>
      <c r="C26" s="537" t="s">
        <v>144</v>
      </c>
      <c r="D26" s="539">
        <v>49.887</v>
      </c>
      <c r="E26" s="539">
        <v>54.302999999999997</v>
      </c>
      <c r="F26" s="540">
        <f t="shared" si="1"/>
        <v>-8.1321473951715323E-2</v>
      </c>
      <c r="G26" s="137"/>
      <c r="H26" s="137"/>
      <c r="M26" s="321">
        <v>15</v>
      </c>
      <c r="N26" s="322">
        <v>203.73</v>
      </c>
      <c r="O26" s="322">
        <v>198.43899540000001</v>
      </c>
      <c r="P26" s="322">
        <v>220.17399599999999</v>
      </c>
      <c r="Q26" s="362">
        <v>225.0500031</v>
      </c>
      <c r="AF26" s="269"/>
      <c r="AG26" s="269"/>
      <c r="AH26" s="269"/>
      <c r="AI26" s="269"/>
      <c r="AJ26" s="269"/>
      <c r="AK26" s="269"/>
      <c r="AL26" s="269"/>
    </row>
    <row r="27" spans="1:38" ht="11.25" customHeight="1">
      <c r="A27" s="77"/>
      <c r="C27" s="541" t="s">
        <v>145</v>
      </c>
      <c r="D27" s="542">
        <v>127.15899659999999</v>
      </c>
      <c r="E27" s="543">
        <v>324.98901369999999</v>
      </c>
      <c r="F27" s="544">
        <f t="shared" si="1"/>
        <v>-0.60872832237528651</v>
      </c>
      <c r="G27" s="137"/>
      <c r="H27" s="137"/>
      <c r="M27" s="321">
        <v>16</v>
      </c>
      <c r="N27" s="322">
        <v>222.8</v>
      </c>
      <c r="O27" s="322">
        <v>201.52999879999999</v>
      </c>
      <c r="P27" s="322">
        <v>220.3150024</v>
      </c>
      <c r="Q27" s="362">
        <v>224.84800720000001</v>
      </c>
      <c r="AF27" s="269"/>
      <c r="AG27" s="269"/>
      <c r="AH27" s="269"/>
      <c r="AI27" s="269"/>
      <c r="AJ27" s="269"/>
      <c r="AK27" s="269"/>
      <c r="AL27" s="269"/>
    </row>
    <row r="28" spans="1:38" ht="26.25" customHeight="1">
      <c r="A28" s="77"/>
      <c r="C28" s="964" t="str">
        <f>"Cuadro N°9: Volumen útil de los principales embalses y lagunas del SEIN al término del periodo mensual ("&amp;'1. Resumen'!Q7&amp;" de "&amp;'1. Resumen'!Q4&amp;") "</f>
        <v xml:space="preserve">Cuadro N°9: Volumen útil de los principales embalses y lagunas del SEIN al término del periodo mensual (31 de agosto) </v>
      </c>
      <c r="D28" s="964"/>
      <c r="E28" s="964"/>
      <c r="F28" s="964"/>
      <c r="G28" s="137"/>
      <c r="H28" s="137"/>
      <c r="M28" s="321">
        <v>17</v>
      </c>
      <c r="N28" s="322">
        <v>222.8</v>
      </c>
      <c r="O28" s="322">
        <v>206.03700259999999</v>
      </c>
      <c r="P28" s="322">
        <v>220.56</v>
      </c>
      <c r="Q28" s="362">
        <v>225.27900695800699</v>
      </c>
      <c r="AF28" s="269"/>
      <c r="AG28" s="269"/>
      <c r="AH28" s="269"/>
      <c r="AI28" s="269"/>
      <c r="AJ28" s="269"/>
      <c r="AK28" s="269"/>
      <c r="AL28" s="269"/>
    </row>
    <row r="29" spans="1:38" ht="12" customHeight="1">
      <c r="A29" s="75"/>
      <c r="G29" s="137"/>
      <c r="H29" s="137"/>
      <c r="I29" s="167"/>
      <c r="J29" s="323"/>
      <c r="M29" s="321">
        <v>18</v>
      </c>
      <c r="N29" s="322">
        <v>225.58</v>
      </c>
      <c r="O29" s="322">
        <v>213.67399599999999</v>
      </c>
      <c r="P29" s="322">
        <v>224.15199279999999</v>
      </c>
      <c r="Q29" s="725">
        <v>226.44200129999999</v>
      </c>
      <c r="AF29" s="269"/>
      <c r="AG29" s="269"/>
      <c r="AH29" s="269"/>
      <c r="AI29" s="269"/>
      <c r="AJ29" s="269"/>
      <c r="AK29" s="269"/>
      <c r="AL29" s="269"/>
    </row>
    <row r="30" spans="1:38" ht="11.25" customHeight="1">
      <c r="A30" s="75"/>
      <c r="B30" s="173"/>
      <c r="C30" s="173"/>
      <c r="D30" s="173"/>
      <c r="E30" s="173"/>
      <c r="F30" s="171"/>
      <c r="G30" s="137"/>
      <c r="H30" s="137"/>
      <c r="M30" s="321">
        <v>19</v>
      </c>
      <c r="N30" s="322">
        <v>225.58</v>
      </c>
      <c r="O30" s="322">
        <v>216.75700380000001</v>
      </c>
      <c r="P30" s="322">
        <v>224.378006</v>
      </c>
      <c r="Q30" s="725">
        <v>227.14199830000001</v>
      </c>
      <c r="AF30" s="269"/>
      <c r="AG30" s="269"/>
      <c r="AH30" s="269"/>
      <c r="AI30" s="269"/>
      <c r="AJ30" s="269"/>
      <c r="AK30" s="269"/>
      <c r="AL30" s="269"/>
    </row>
    <row r="31" spans="1:38" ht="11.25" customHeight="1">
      <c r="A31" s="75"/>
      <c r="B31" s="173"/>
      <c r="C31" s="173"/>
      <c r="D31" s="173"/>
      <c r="E31" s="173"/>
      <c r="F31" s="171"/>
      <c r="G31" s="171"/>
      <c r="H31" s="171"/>
      <c r="I31" s="167"/>
      <c r="J31" s="323"/>
      <c r="M31" s="321">
        <v>20</v>
      </c>
      <c r="N31" s="322">
        <v>226.61</v>
      </c>
      <c r="O31" s="322">
        <v>217.29400630000001</v>
      </c>
      <c r="P31" s="322">
        <v>224.60401920000001</v>
      </c>
      <c r="Q31" s="725">
        <v>227.625</v>
      </c>
      <c r="AF31" s="269"/>
      <c r="AG31" s="269"/>
      <c r="AH31" s="269"/>
      <c r="AI31" s="269"/>
      <c r="AJ31" s="269"/>
      <c r="AK31" s="269"/>
      <c r="AL31" s="269"/>
    </row>
    <row r="32" spans="1:38" ht="13.5" customHeight="1">
      <c r="A32" s="963" t="s">
        <v>440</v>
      </c>
      <c r="B32" s="963"/>
      <c r="C32" s="963"/>
      <c r="D32" s="963"/>
      <c r="E32" s="963"/>
      <c r="F32" s="963"/>
      <c r="G32" s="963"/>
      <c r="H32" s="963"/>
      <c r="I32" s="56"/>
      <c r="J32" s="323"/>
      <c r="M32" s="321">
        <v>21</v>
      </c>
      <c r="N32" s="322">
        <v>226.61</v>
      </c>
      <c r="O32" s="322">
        <v>218.3190002</v>
      </c>
      <c r="P32" s="322">
        <v>223.4909973</v>
      </c>
      <c r="Q32" s="725">
        <v>227.75800000000001</v>
      </c>
      <c r="AF32" s="269"/>
      <c r="AG32" s="269"/>
      <c r="AH32" s="269"/>
      <c r="AI32" s="269"/>
      <c r="AJ32" s="269"/>
      <c r="AK32" s="269"/>
      <c r="AL32" s="269"/>
    </row>
    <row r="33" spans="1:38" ht="11.25" customHeight="1">
      <c r="A33" s="75"/>
      <c r="B33" s="82"/>
      <c r="C33" s="82"/>
      <c r="D33" s="82"/>
      <c r="E33" s="82"/>
      <c r="F33" s="82"/>
      <c r="G33" s="82"/>
      <c r="H33" s="82"/>
      <c r="I33" s="56"/>
      <c r="J33" s="323"/>
      <c r="M33" s="321">
        <v>22</v>
      </c>
      <c r="N33" s="322">
        <v>227.42</v>
      </c>
      <c r="O33" s="322">
        <v>218.79899599999999</v>
      </c>
      <c r="P33" s="322">
        <v>222.62600710000001</v>
      </c>
      <c r="Q33" s="725">
        <v>226.41700739999999</v>
      </c>
      <c r="AF33" s="269"/>
      <c r="AG33" s="269"/>
      <c r="AH33" s="269"/>
      <c r="AI33" s="269"/>
      <c r="AJ33" s="269"/>
      <c r="AK33" s="269"/>
      <c r="AL33" s="269"/>
    </row>
    <row r="34" spans="1:38" ht="11.25" customHeight="1">
      <c r="A34" s="75"/>
      <c r="B34" s="82"/>
      <c r="C34" s="82"/>
      <c r="D34" s="82"/>
      <c r="E34" s="82"/>
      <c r="F34" s="82"/>
      <c r="G34" s="82"/>
      <c r="H34" s="82"/>
      <c r="I34" s="56"/>
      <c r="J34" s="323"/>
      <c r="M34" s="321">
        <v>23</v>
      </c>
      <c r="N34" s="322">
        <v>227.42</v>
      </c>
      <c r="O34" s="322">
        <v>217.8880005</v>
      </c>
      <c r="P34" s="322">
        <v>221.62399289999999</v>
      </c>
      <c r="Q34" s="725">
        <v>224.4589996</v>
      </c>
      <c r="AF34" s="269"/>
      <c r="AG34" s="269"/>
      <c r="AH34" s="269"/>
      <c r="AI34" s="269"/>
      <c r="AJ34" s="269"/>
      <c r="AK34" s="269"/>
      <c r="AL34" s="269"/>
    </row>
    <row r="35" spans="1:38" ht="11.25" customHeight="1">
      <c r="A35" s="75"/>
      <c r="B35" s="82"/>
      <c r="C35" s="82"/>
      <c r="D35" s="82"/>
      <c r="E35" s="82"/>
      <c r="F35" s="82"/>
      <c r="G35" s="82"/>
      <c r="H35" s="82"/>
      <c r="I35" s="168"/>
      <c r="J35" s="323"/>
      <c r="M35" s="321">
        <v>24</v>
      </c>
      <c r="N35" s="322">
        <v>227.45</v>
      </c>
      <c r="O35" s="322">
        <v>216.04899599999999</v>
      </c>
      <c r="P35" s="322">
        <v>218.3840027</v>
      </c>
      <c r="Q35" s="725">
        <v>220.634994506835</v>
      </c>
      <c r="AF35" s="269"/>
      <c r="AG35" s="269"/>
      <c r="AH35" s="269"/>
      <c r="AI35" s="269"/>
      <c r="AJ35" s="269"/>
      <c r="AK35" s="269"/>
      <c r="AL35" s="269"/>
    </row>
    <row r="36" spans="1:38" ht="11.25" customHeight="1">
      <c r="A36" s="75"/>
      <c r="B36" s="82"/>
      <c r="C36" s="82"/>
      <c r="D36" s="82"/>
      <c r="E36" s="82"/>
      <c r="F36" s="82"/>
      <c r="G36" s="82"/>
      <c r="H36" s="82"/>
      <c r="I36" s="56"/>
      <c r="J36" s="323"/>
      <c r="M36" s="321">
        <v>25</v>
      </c>
      <c r="N36" s="322">
        <v>227.45</v>
      </c>
      <c r="O36" s="322">
        <v>212.24600219999999</v>
      </c>
      <c r="P36" s="322">
        <v>215.08099369999999</v>
      </c>
      <c r="Q36" s="725">
        <v>218.28599550000001</v>
      </c>
      <c r="AF36" s="269"/>
      <c r="AG36" s="269"/>
      <c r="AH36" s="269"/>
      <c r="AI36" s="269"/>
      <c r="AJ36" s="269"/>
      <c r="AK36" s="269"/>
      <c r="AL36" s="269"/>
    </row>
    <row r="37" spans="1:38" ht="11.25" customHeight="1">
      <c r="A37" s="75"/>
      <c r="B37" s="82"/>
      <c r="C37" s="82"/>
      <c r="D37" s="82"/>
      <c r="E37" s="82"/>
      <c r="F37" s="82"/>
      <c r="G37" s="82"/>
      <c r="H37" s="82"/>
      <c r="I37" s="56"/>
      <c r="J37" s="324"/>
      <c r="M37" s="321">
        <v>26</v>
      </c>
      <c r="N37" s="322">
        <v>225.56</v>
      </c>
      <c r="O37" s="322">
        <v>210.22099299999999</v>
      </c>
      <c r="P37" s="322">
        <v>210.41900630000001</v>
      </c>
      <c r="Q37" s="725">
        <v>214.90499879999999</v>
      </c>
      <c r="AF37" s="269"/>
      <c r="AG37" s="269"/>
      <c r="AH37" s="269"/>
      <c r="AI37" s="269"/>
      <c r="AJ37" s="269"/>
      <c r="AK37" s="269"/>
      <c r="AL37" s="269"/>
    </row>
    <row r="38" spans="1:38" ht="11.25" customHeight="1">
      <c r="A38" s="75"/>
      <c r="B38" s="82"/>
      <c r="C38" s="82"/>
      <c r="D38" s="82"/>
      <c r="E38" s="82"/>
      <c r="F38" s="82"/>
      <c r="G38" s="82"/>
      <c r="H38" s="82"/>
      <c r="I38" s="56"/>
      <c r="J38" s="324"/>
      <c r="M38" s="321">
        <v>27</v>
      </c>
      <c r="N38" s="322">
        <v>225.56</v>
      </c>
      <c r="O38" s="322">
        <v>209.85200499999999</v>
      </c>
      <c r="P38" s="322">
        <v>204.23</v>
      </c>
      <c r="Q38" s="725">
        <v>210.91799926757801</v>
      </c>
      <c r="AF38" s="269"/>
      <c r="AG38" s="269"/>
      <c r="AH38" s="269"/>
      <c r="AI38" s="269"/>
      <c r="AJ38" s="269"/>
      <c r="AK38" s="269"/>
      <c r="AL38" s="269"/>
    </row>
    <row r="39" spans="1:38" ht="11.25" customHeight="1">
      <c r="A39" s="75"/>
      <c r="B39" s="82"/>
      <c r="C39" s="82"/>
      <c r="D39" s="82"/>
      <c r="E39" s="82"/>
      <c r="F39" s="82"/>
      <c r="G39" s="82"/>
      <c r="H39" s="82"/>
      <c r="I39" s="56"/>
      <c r="J39" s="325"/>
      <c r="M39" s="321">
        <v>28</v>
      </c>
      <c r="N39" s="322">
        <v>225.56</v>
      </c>
      <c r="O39" s="326">
        <v>203.92900090000001</v>
      </c>
      <c r="P39" s="326">
        <v>201.1309967</v>
      </c>
      <c r="Q39" s="725">
        <v>207.96099849999999</v>
      </c>
      <c r="AF39" s="269"/>
      <c r="AG39" s="269"/>
      <c r="AH39" s="269"/>
      <c r="AI39" s="269"/>
      <c r="AJ39" s="269"/>
      <c r="AK39" s="269"/>
      <c r="AL39" s="269"/>
    </row>
    <row r="40" spans="1:38" ht="11.25" customHeight="1">
      <c r="A40" s="75"/>
      <c r="B40" s="82"/>
      <c r="C40" s="82"/>
      <c r="D40" s="82"/>
      <c r="E40" s="82"/>
      <c r="F40" s="82"/>
      <c r="G40" s="82"/>
      <c r="H40" s="82"/>
      <c r="I40" s="56"/>
      <c r="J40" s="325"/>
      <c r="M40" s="321">
        <v>29</v>
      </c>
      <c r="N40" s="322">
        <v>222.04</v>
      </c>
      <c r="O40" s="322">
        <v>200.56300350000001</v>
      </c>
      <c r="P40" s="322">
        <v>196.16000366210901</v>
      </c>
      <c r="Q40" s="725">
        <v>205.66700739999999</v>
      </c>
      <c r="AF40" s="269"/>
      <c r="AG40" s="269"/>
      <c r="AH40" s="269"/>
      <c r="AI40" s="269"/>
      <c r="AJ40" s="269"/>
      <c r="AK40" s="269"/>
      <c r="AL40" s="269"/>
    </row>
    <row r="41" spans="1:38" ht="11.25" customHeight="1">
      <c r="A41" s="75"/>
      <c r="B41" s="82"/>
      <c r="C41" s="82"/>
      <c r="D41" s="82"/>
      <c r="E41" s="82"/>
      <c r="F41" s="82"/>
      <c r="G41" s="82"/>
      <c r="H41" s="82"/>
      <c r="I41" s="56"/>
      <c r="J41" s="325"/>
      <c r="M41" s="321">
        <v>30</v>
      </c>
      <c r="N41" s="322">
        <v>222.04</v>
      </c>
      <c r="O41" s="322">
        <v>194.94900509999999</v>
      </c>
      <c r="P41" s="322">
        <v>193.86</v>
      </c>
      <c r="Q41" s="725">
        <v>197.3999939</v>
      </c>
      <c r="AF41" s="269"/>
      <c r="AG41" s="269"/>
      <c r="AH41" s="269"/>
      <c r="AI41" s="269"/>
      <c r="AJ41" s="269"/>
      <c r="AK41" s="269"/>
      <c r="AL41" s="269"/>
    </row>
    <row r="42" spans="1:38" ht="11.25" customHeight="1">
      <c r="A42" s="75"/>
      <c r="B42" s="82"/>
      <c r="C42" s="82"/>
      <c r="D42" s="82"/>
      <c r="E42" s="82"/>
      <c r="F42" s="82"/>
      <c r="G42" s="82"/>
      <c r="H42" s="82"/>
      <c r="I42" s="168"/>
      <c r="J42" s="324"/>
      <c r="M42" s="321">
        <v>31</v>
      </c>
      <c r="N42" s="322">
        <v>213.13</v>
      </c>
      <c r="O42" s="322">
        <v>188.386</v>
      </c>
      <c r="P42" s="322">
        <v>186.24800110000001</v>
      </c>
      <c r="Q42" s="725">
        <v>194.98199460000001</v>
      </c>
      <c r="AF42" s="269"/>
      <c r="AG42" s="269"/>
      <c r="AH42" s="269"/>
      <c r="AI42" s="269"/>
      <c r="AJ42" s="269"/>
      <c r="AK42" s="269"/>
      <c r="AL42" s="269"/>
    </row>
    <row r="43" spans="1:38" ht="11.25" customHeight="1">
      <c r="A43" s="75"/>
      <c r="B43" s="82"/>
      <c r="C43" s="82"/>
      <c r="D43" s="82"/>
      <c r="E43" s="82"/>
      <c r="F43" s="82"/>
      <c r="G43" s="82"/>
      <c r="H43" s="82"/>
      <c r="I43" s="56"/>
      <c r="J43" s="324"/>
      <c r="M43" s="321">
        <v>32</v>
      </c>
      <c r="N43" s="322">
        <v>213.13</v>
      </c>
      <c r="O43" s="322">
        <v>184.72900390000001</v>
      </c>
      <c r="P43" s="322">
        <v>182.40899659999999</v>
      </c>
      <c r="Q43" s="307">
        <v>190.13999938964801</v>
      </c>
      <c r="AF43" s="269"/>
      <c r="AG43" s="269"/>
      <c r="AH43" s="269"/>
      <c r="AI43" s="269"/>
      <c r="AJ43" s="269"/>
      <c r="AK43" s="269"/>
      <c r="AL43" s="269"/>
    </row>
    <row r="44" spans="1:38" ht="11.25" customHeight="1">
      <c r="A44" s="75"/>
      <c r="B44" s="82"/>
      <c r="C44" s="82"/>
      <c r="D44" s="82"/>
      <c r="E44" s="82"/>
      <c r="F44" s="82"/>
      <c r="G44" s="82"/>
      <c r="H44" s="82"/>
      <c r="I44" s="56"/>
      <c r="J44" s="324"/>
      <c r="M44" s="321">
        <v>33</v>
      </c>
      <c r="N44" s="322">
        <v>205.97</v>
      </c>
      <c r="O44" s="322">
        <v>178.8809967</v>
      </c>
      <c r="P44" s="322">
        <v>178.6940002</v>
      </c>
      <c r="Q44" s="307">
        <v>186.17300420000001</v>
      </c>
      <c r="AF44" s="269"/>
      <c r="AG44" s="269"/>
      <c r="AH44" s="269"/>
      <c r="AI44" s="269"/>
      <c r="AJ44" s="269"/>
      <c r="AK44" s="269"/>
      <c r="AL44" s="269"/>
    </row>
    <row r="45" spans="1:38" ht="11.25" customHeight="1">
      <c r="A45" s="75"/>
      <c r="B45" s="82"/>
      <c r="C45" s="82"/>
      <c r="D45" s="82"/>
      <c r="E45" s="82"/>
      <c r="F45" s="82"/>
      <c r="G45" s="82"/>
      <c r="H45" s="82"/>
      <c r="I45" s="59"/>
      <c r="J45" s="327"/>
      <c r="M45" s="321">
        <v>34</v>
      </c>
      <c r="N45" s="322">
        <v>199.49</v>
      </c>
      <c r="O45" s="322">
        <v>176.98599239999999</v>
      </c>
      <c r="P45" s="322">
        <v>173.61300660000001</v>
      </c>
      <c r="Q45" s="307">
        <v>183.14799500000001</v>
      </c>
      <c r="AF45" s="269"/>
      <c r="AG45" s="269"/>
      <c r="AH45" s="269"/>
      <c r="AI45" s="269"/>
      <c r="AJ45" s="269"/>
      <c r="AK45" s="269"/>
      <c r="AL45" s="269"/>
    </row>
    <row r="46" spans="1:38" ht="11.25" customHeight="1">
      <c r="A46" s="75"/>
      <c r="B46" s="82"/>
      <c r="C46" s="82"/>
      <c r="D46" s="82"/>
      <c r="E46" s="82"/>
      <c r="F46" s="82"/>
      <c r="G46" s="82"/>
      <c r="H46" s="82"/>
      <c r="I46" s="59"/>
      <c r="J46" s="327"/>
      <c r="M46" s="321">
        <v>35</v>
      </c>
      <c r="N46" s="328">
        <v>193.4</v>
      </c>
      <c r="O46" s="322">
        <v>173.36999510000001</v>
      </c>
      <c r="P46" s="322">
        <v>170.0189972</v>
      </c>
      <c r="Q46" s="307">
        <v>175.24000549316401</v>
      </c>
      <c r="AF46" s="269"/>
      <c r="AG46" s="269"/>
      <c r="AH46" s="269"/>
      <c r="AI46" s="269"/>
      <c r="AJ46" s="269"/>
      <c r="AK46" s="269"/>
      <c r="AL46" s="269"/>
    </row>
    <row r="47" spans="1:38" ht="11.25" customHeight="1">
      <c r="A47" s="75"/>
      <c r="B47" s="82"/>
      <c r="C47" s="82"/>
      <c r="D47" s="82"/>
      <c r="E47" s="82"/>
      <c r="F47" s="82"/>
      <c r="G47" s="82"/>
      <c r="H47" s="82"/>
      <c r="I47" s="59"/>
      <c r="J47" s="327"/>
      <c r="M47" s="321">
        <v>36</v>
      </c>
      <c r="N47" s="328">
        <v>187.93</v>
      </c>
      <c r="O47" s="322">
        <v>167.63</v>
      </c>
      <c r="P47" s="322">
        <v>166.0690002</v>
      </c>
      <c r="AF47" s="269"/>
      <c r="AG47" s="269"/>
      <c r="AH47" s="269"/>
      <c r="AI47" s="269"/>
      <c r="AJ47" s="269"/>
      <c r="AK47" s="269"/>
      <c r="AL47" s="269"/>
    </row>
    <row r="48" spans="1:38" ht="11.25" customHeight="1">
      <c r="A48" s="75"/>
      <c r="B48" s="82"/>
      <c r="C48" s="82"/>
      <c r="D48" s="82"/>
      <c r="E48" s="82"/>
      <c r="F48" s="82"/>
      <c r="G48" s="82"/>
      <c r="H48" s="82"/>
      <c r="I48" s="59"/>
      <c r="J48" s="327"/>
      <c r="M48" s="321">
        <v>37</v>
      </c>
      <c r="N48" s="322">
        <v>182.85</v>
      </c>
      <c r="O48" s="322">
        <v>162.30700680000001</v>
      </c>
      <c r="P48" s="322">
        <v>159.17399599999999</v>
      </c>
      <c r="AF48" s="269"/>
      <c r="AG48" s="269"/>
      <c r="AH48" s="269"/>
      <c r="AI48" s="269"/>
      <c r="AJ48" s="269"/>
      <c r="AK48" s="269"/>
      <c r="AL48" s="269"/>
    </row>
    <row r="49" spans="1:38" ht="11.25" customHeight="1">
      <c r="A49" s="75"/>
      <c r="B49" s="82"/>
      <c r="C49" s="82"/>
      <c r="D49" s="82"/>
      <c r="E49" s="82"/>
      <c r="F49" s="82"/>
      <c r="G49" s="82"/>
      <c r="H49" s="82"/>
      <c r="I49" s="59"/>
      <c r="J49" s="327"/>
      <c r="M49" s="321">
        <v>38</v>
      </c>
      <c r="N49" s="322">
        <v>179.77</v>
      </c>
      <c r="O49" s="322">
        <v>159.02699279999999</v>
      </c>
      <c r="P49" s="322">
        <v>157.84</v>
      </c>
      <c r="AF49" s="269"/>
      <c r="AG49" s="269"/>
      <c r="AH49" s="269"/>
      <c r="AI49" s="269"/>
      <c r="AJ49" s="269"/>
      <c r="AK49" s="269"/>
      <c r="AL49" s="269"/>
    </row>
    <row r="50" spans="1:38" ht="12.75">
      <c r="A50" s="75"/>
      <c r="B50" s="82"/>
      <c r="C50" s="82"/>
      <c r="D50" s="82"/>
      <c r="E50" s="82"/>
      <c r="F50" s="82"/>
      <c r="G50" s="82"/>
      <c r="H50" s="82"/>
      <c r="I50" s="59"/>
      <c r="J50" s="327"/>
      <c r="M50" s="321">
        <v>39</v>
      </c>
      <c r="N50" s="322">
        <v>173.62</v>
      </c>
      <c r="O50" s="322">
        <v>153.61700440000001</v>
      </c>
      <c r="P50" s="322">
        <v>156.28199768066401</v>
      </c>
      <c r="AF50" s="269"/>
      <c r="AG50" s="269"/>
      <c r="AH50" s="269"/>
      <c r="AI50" s="269"/>
      <c r="AJ50" s="269"/>
      <c r="AK50" s="269"/>
      <c r="AL50" s="269"/>
    </row>
    <row r="51" spans="1:38" ht="10.5" customHeight="1">
      <c r="A51" s="75"/>
      <c r="B51" s="82"/>
      <c r="C51" s="82"/>
      <c r="D51" s="82"/>
      <c r="E51" s="82"/>
      <c r="F51" s="82"/>
      <c r="G51" s="82"/>
      <c r="H51" s="82"/>
      <c r="I51" s="59"/>
      <c r="J51" s="327"/>
      <c r="M51" s="321">
        <v>40</v>
      </c>
      <c r="N51" s="322">
        <v>163</v>
      </c>
      <c r="O51" s="322">
        <v>151.72999569999999</v>
      </c>
      <c r="P51" s="322">
        <v>148.3529968</v>
      </c>
      <c r="AF51" s="269"/>
      <c r="AG51" s="269"/>
      <c r="AH51" s="269"/>
      <c r="AI51" s="269"/>
      <c r="AJ51" s="269"/>
      <c r="AK51" s="269"/>
      <c r="AL51" s="269"/>
    </row>
    <row r="52" spans="1:38" ht="12.75">
      <c r="A52" s="75"/>
      <c r="B52" s="82"/>
      <c r="C52" s="82"/>
      <c r="D52" s="82"/>
      <c r="E52" s="82"/>
      <c r="F52" s="82"/>
      <c r="G52" s="82"/>
      <c r="H52" s="82"/>
      <c r="I52" s="59"/>
      <c r="J52" s="327"/>
      <c r="M52" s="321">
        <v>41</v>
      </c>
      <c r="N52" s="322">
        <v>156.5</v>
      </c>
      <c r="O52" s="322">
        <v>147.996002197265</v>
      </c>
      <c r="P52" s="322">
        <v>151.04400630000001</v>
      </c>
      <c r="AF52" s="269"/>
      <c r="AG52" s="269"/>
      <c r="AH52" s="269"/>
      <c r="AI52" s="269"/>
      <c r="AJ52" s="269"/>
      <c r="AK52" s="269"/>
      <c r="AL52" s="269"/>
    </row>
    <row r="53" spans="1:38" ht="12.75">
      <c r="A53" s="75"/>
      <c r="B53" s="82"/>
      <c r="C53" s="82"/>
      <c r="D53" s="82"/>
      <c r="E53" s="82"/>
      <c r="F53" s="82"/>
      <c r="G53" s="82"/>
      <c r="H53" s="82"/>
      <c r="I53" s="59"/>
      <c r="J53" s="327"/>
      <c r="M53" s="321">
        <v>42</v>
      </c>
      <c r="N53" s="322">
        <v>152.78</v>
      </c>
      <c r="O53" s="322">
        <v>144.53999328613199</v>
      </c>
      <c r="P53" s="322">
        <v>146.53</v>
      </c>
      <c r="AF53" s="269"/>
      <c r="AG53" s="269"/>
      <c r="AH53" s="269"/>
      <c r="AI53" s="269"/>
      <c r="AJ53" s="269"/>
      <c r="AK53" s="269"/>
      <c r="AL53" s="269"/>
    </row>
    <row r="54" spans="1:38" ht="12.75">
      <c r="A54" s="75"/>
      <c r="B54" s="82"/>
      <c r="C54" s="82"/>
      <c r="D54" s="82"/>
      <c r="E54" s="82"/>
      <c r="F54" s="82"/>
      <c r="G54" s="82"/>
      <c r="H54" s="82"/>
      <c r="I54" s="59"/>
      <c r="J54" s="327"/>
      <c r="M54" s="321">
        <v>43</v>
      </c>
      <c r="N54" s="322">
        <v>148.63</v>
      </c>
      <c r="O54" s="322">
        <v>143.72300720214801</v>
      </c>
      <c r="P54" s="322">
        <v>137.7400055</v>
      </c>
      <c r="AF54" s="269"/>
      <c r="AG54" s="269"/>
      <c r="AH54" s="269"/>
      <c r="AI54" s="269"/>
      <c r="AJ54" s="269"/>
      <c r="AK54" s="269"/>
      <c r="AL54" s="269"/>
    </row>
    <row r="55" spans="1:38" ht="12.75">
      <c r="A55" s="75"/>
      <c r="B55" s="82"/>
      <c r="C55" s="82"/>
      <c r="D55" s="82"/>
      <c r="E55" s="82"/>
      <c r="F55" s="82"/>
      <c r="G55" s="82"/>
      <c r="H55" s="82"/>
      <c r="I55" s="59"/>
      <c r="J55" s="327"/>
      <c r="M55" s="321">
        <v>44</v>
      </c>
      <c r="N55" s="322">
        <v>142.91</v>
      </c>
      <c r="O55" s="322">
        <v>142.33900449999999</v>
      </c>
      <c r="P55" s="322">
        <v>133.1380005</v>
      </c>
      <c r="AF55" s="269"/>
      <c r="AG55" s="269"/>
      <c r="AH55" s="269"/>
      <c r="AI55" s="269"/>
      <c r="AJ55" s="269"/>
      <c r="AK55" s="269"/>
      <c r="AL55" s="269"/>
    </row>
    <row r="56" spans="1:38" ht="12.75">
      <c r="A56" s="75"/>
      <c r="B56" s="82"/>
      <c r="C56" s="82"/>
      <c r="D56" s="82"/>
      <c r="E56" s="82"/>
      <c r="F56" s="82"/>
      <c r="G56" s="82"/>
      <c r="H56" s="82"/>
      <c r="I56" s="59"/>
      <c r="J56" s="327"/>
      <c r="M56" s="321">
        <v>45</v>
      </c>
      <c r="N56" s="322">
        <v>137.04</v>
      </c>
      <c r="O56" s="322">
        <v>143.13200380000001</v>
      </c>
      <c r="P56" s="322">
        <v>125.7330017</v>
      </c>
      <c r="AF56" s="269"/>
      <c r="AG56" s="269"/>
      <c r="AH56" s="269"/>
      <c r="AI56" s="269"/>
      <c r="AJ56" s="269"/>
      <c r="AK56" s="269"/>
      <c r="AL56" s="269"/>
    </row>
    <row r="57" spans="1:38" ht="12.75">
      <c r="A57" s="75"/>
      <c r="B57" s="82"/>
      <c r="C57" s="82"/>
      <c r="D57" s="82"/>
      <c r="E57" s="82"/>
      <c r="F57" s="82"/>
      <c r="G57" s="82"/>
      <c r="H57" s="82"/>
      <c r="M57" s="321">
        <v>46</v>
      </c>
      <c r="N57" s="322">
        <v>131.22999999999999</v>
      </c>
      <c r="O57" s="322">
        <v>141.37</v>
      </c>
      <c r="P57" s="322">
        <v>125.2030029</v>
      </c>
      <c r="AF57" s="269"/>
      <c r="AG57" s="269"/>
      <c r="AH57" s="269"/>
      <c r="AI57" s="269"/>
      <c r="AJ57" s="269"/>
      <c r="AK57" s="269"/>
      <c r="AL57" s="269"/>
    </row>
    <row r="58" spans="1:38" ht="12.75">
      <c r="A58" s="75"/>
      <c r="B58" s="82"/>
      <c r="C58" s="82"/>
      <c r="D58" s="82"/>
      <c r="E58" s="82"/>
      <c r="F58" s="82"/>
      <c r="G58" s="82"/>
      <c r="H58" s="82"/>
      <c r="M58" s="321">
        <v>47</v>
      </c>
      <c r="N58" s="322">
        <v>125.5</v>
      </c>
      <c r="O58" s="322">
        <v>140.33900449999999</v>
      </c>
      <c r="P58" s="322">
        <v>120.5130005</v>
      </c>
      <c r="AF58" s="269"/>
      <c r="AG58" s="269"/>
      <c r="AH58" s="269"/>
      <c r="AI58" s="269"/>
      <c r="AJ58" s="269"/>
      <c r="AK58" s="269"/>
      <c r="AL58" s="269"/>
    </row>
    <row r="59" spans="1:38" ht="12.75">
      <c r="A59" s="266" t="s">
        <v>475</v>
      </c>
      <c r="B59" s="82"/>
      <c r="C59" s="82"/>
      <c r="D59" s="82"/>
      <c r="E59" s="82"/>
      <c r="F59" s="82"/>
      <c r="G59" s="82"/>
      <c r="H59" s="82"/>
      <c r="M59" s="321">
        <v>48</v>
      </c>
      <c r="N59" s="322">
        <v>120.41</v>
      </c>
      <c r="O59" s="322">
        <v>137.8150024</v>
      </c>
      <c r="P59" s="322">
        <v>119.3089981</v>
      </c>
      <c r="AF59" s="269"/>
      <c r="AG59" s="269"/>
      <c r="AH59" s="269"/>
      <c r="AI59" s="269"/>
      <c r="AJ59" s="269"/>
      <c r="AK59" s="269"/>
      <c r="AL59" s="269"/>
    </row>
    <row r="60" spans="1:38" ht="12.75">
      <c r="A60" s="54"/>
      <c r="B60" s="82"/>
      <c r="C60" s="82"/>
      <c r="D60" s="82"/>
      <c r="E60" s="82"/>
      <c r="F60" s="82"/>
      <c r="G60" s="82"/>
      <c r="H60" s="82"/>
      <c r="M60" s="321">
        <v>49</v>
      </c>
      <c r="N60" s="322">
        <v>115.91300200000001</v>
      </c>
      <c r="O60" s="322">
        <v>129.0279999</v>
      </c>
      <c r="P60" s="322">
        <v>119.33200069999999</v>
      </c>
      <c r="AF60" s="269"/>
      <c r="AG60" s="269"/>
      <c r="AH60" s="269"/>
      <c r="AI60" s="269"/>
      <c r="AJ60" s="269"/>
      <c r="AK60" s="269"/>
      <c r="AL60" s="269"/>
    </row>
    <row r="61" spans="1:38">
      <c r="M61" s="321">
        <v>50</v>
      </c>
      <c r="N61" s="322">
        <v>110.0599976</v>
      </c>
      <c r="O61" s="322">
        <v>129.30000000000001</v>
      </c>
      <c r="P61" s="322">
        <v>135.91499329999999</v>
      </c>
      <c r="AD61" s="319"/>
      <c r="AE61" s="319"/>
      <c r="AF61" s="216"/>
      <c r="AG61" s="216"/>
      <c r="AH61" s="216"/>
      <c r="AI61" s="216"/>
      <c r="AJ61" s="216"/>
      <c r="AK61" s="216"/>
      <c r="AL61" s="216"/>
    </row>
    <row r="62" spans="1:38">
      <c r="M62" s="321">
        <v>51</v>
      </c>
      <c r="N62" s="322">
        <v>107.5970001</v>
      </c>
      <c r="O62" s="322">
        <v>129</v>
      </c>
      <c r="P62" s="322">
        <v>131.21000670000001</v>
      </c>
      <c r="AD62" s="319"/>
      <c r="AE62" s="319"/>
      <c r="AF62" s="216"/>
      <c r="AG62" s="216"/>
      <c r="AH62" s="216"/>
      <c r="AI62" s="216"/>
      <c r="AJ62" s="216"/>
      <c r="AK62" s="216"/>
      <c r="AL62" s="216"/>
    </row>
    <row r="63" spans="1:38">
      <c r="M63" s="321">
        <v>52</v>
      </c>
      <c r="N63" s="322">
        <v>104.4029999</v>
      </c>
      <c r="O63" s="322">
        <v>130.4810028</v>
      </c>
      <c r="P63" s="322">
        <v>139.86399840000001</v>
      </c>
      <c r="AD63" s="319"/>
      <c r="AE63" s="319"/>
      <c r="AF63" s="216"/>
      <c r="AG63" s="216"/>
      <c r="AH63" s="216"/>
      <c r="AI63" s="216"/>
      <c r="AJ63" s="216"/>
      <c r="AK63" s="216"/>
      <c r="AL63" s="216"/>
    </row>
    <row r="64" spans="1:38">
      <c r="M64" s="321">
        <v>53</v>
      </c>
      <c r="N64" s="322"/>
      <c r="O64" s="322"/>
      <c r="P64" s="771">
        <v>146.8090057</v>
      </c>
      <c r="AD64" s="319"/>
      <c r="AE64" s="319"/>
      <c r="AF64" s="216"/>
      <c r="AG64" s="216"/>
      <c r="AH64" s="216"/>
      <c r="AI64" s="216"/>
      <c r="AJ64" s="216"/>
      <c r="AK64" s="216"/>
      <c r="AL64" s="216"/>
    </row>
    <row r="65" spans="13:38">
      <c r="M65" s="319"/>
      <c r="N65" s="319"/>
      <c r="O65" s="319"/>
      <c r="P65" s="319"/>
      <c r="Q65" s="319"/>
      <c r="R65" s="319"/>
      <c r="S65" s="319"/>
      <c r="T65" s="319"/>
      <c r="AD65" s="319"/>
      <c r="AE65" s="31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N25" sqref="N25"/>
    </sheetView>
  </sheetViews>
  <sheetFormatPr defaultColWidth="9.33203125" defaultRowHeight="11.25"/>
  <cols>
    <col min="10" max="11" width="9.33203125" customWidth="1"/>
    <col min="14" max="28" width="9.33203125" style="423"/>
    <col min="29" max="31" width="9.33203125" style="413"/>
  </cols>
  <sheetData>
    <row r="1" spans="1:23" ht="11.25" customHeight="1"/>
    <row r="2" spans="1:23" ht="11.25" customHeight="1">
      <c r="A2" s="297"/>
      <c r="B2" s="304"/>
      <c r="C2" s="304"/>
      <c r="D2" s="304"/>
      <c r="E2" s="304"/>
      <c r="F2" s="304"/>
      <c r="G2" s="305"/>
      <c r="H2" s="30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26" t="s">
        <v>260</v>
      </c>
      <c r="T4" s="427" t="s">
        <v>261</v>
      </c>
    </row>
    <row r="5" spans="1:23" ht="11.25" customHeight="1">
      <c r="A5" s="965"/>
      <c r="B5" s="965"/>
      <c r="C5" s="965"/>
      <c r="D5" s="965"/>
      <c r="E5" s="965"/>
      <c r="F5" s="965"/>
      <c r="G5" s="965"/>
      <c r="H5" s="965"/>
      <c r="I5" s="965"/>
      <c r="J5" s="12"/>
      <c r="K5" s="12"/>
      <c r="L5" s="8"/>
      <c r="O5" s="428">
        <v>2017</v>
      </c>
      <c r="P5" s="428">
        <v>2018</v>
      </c>
      <c r="Q5" s="428">
        <v>2019</v>
      </c>
      <c r="R5" s="428">
        <v>2020</v>
      </c>
      <c r="T5" s="428">
        <v>2017</v>
      </c>
      <c r="U5" s="428">
        <v>2018</v>
      </c>
      <c r="V5" s="428">
        <v>2019</v>
      </c>
      <c r="W5" s="428">
        <v>2020</v>
      </c>
    </row>
    <row r="6" spans="1:23" ht="11.25" customHeight="1">
      <c r="A6" s="17"/>
      <c r="B6" s="159"/>
      <c r="C6" s="68"/>
      <c r="D6" s="69"/>
      <c r="E6" s="69"/>
      <c r="F6" s="70"/>
      <c r="G6" s="66"/>
      <c r="H6" s="66"/>
      <c r="I6" s="71"/>
      <c r="J6" s="12"/>
      <c r="K6" s="12"/>
      <c r="L6" s="5"/>
      <c r="N6" s="429">
        <v>1</v>
      </c>
      <c r="O6" s="430">
        <v>27.559000019999999</v>
      </c>
      <c r="P6" s="430">
        <v>34.76</v>
      </c>
      <c r="Q6" s="431">
        <v>71.125</v>
      </c>
      <c r="R6" s="834">
        <v>133.42999267578099</v>
      </c>
      <c r="S6" s="429">
        <v>1</v>
      </c>
      <c r="T6" s="430">
        <v>122.19600180599998</v>
      </c>
      <c r="U6" s="430">
        <v>210.20000000000002</v>
      </c>
      <c r="V6" s="431">
        <v>190.20000426299998</v>
      </c>
      <c r="W6" s="834">
        <v>186.65300035476668</v>
      </c>
    </row>
    <row r="7" spans="1:23" ht="11.25" customHeight="1">
      <c r="A7" s="17"/>
      <c r="B7" s="966"/>
      <c r="C7" s="966"/>
      <c r="D7" s="160"/>
      <c r="E7" s="160"/>
      <c r="F7" s="70"/>
      <c r="G7" s="66"/>
      <c r="H7" s="66"/>
      <c r="I7" s="71"/>
      <c r="J7" s="3"/>
      <c r="K7" s="3"/>
      <c r="L7" s="15"/>
      <c r="N7" s="429">
        <v>2</v>
      </c>
      <c r="O7" s="430">
        <v>36.5890007</v>
      </c>
      <c r="P7" s="430">
        <v>47.749000549999998</v>
      </c>
      <c r="Q7" s="431">
        <v>79.228996280000004</v>
      </c>
      <c r="R7" s="834">
        <v>141.27299500000001</v>
      </c>
      <c r="S7" s="429">
        <v>2</v>
      </c>
      <c r="T7" s="430">
        <v>136.535000822</v>
      </c>
      <c r="U7" s="430">
        <v>216.70300435500002</v>
      </c>
      <c r="V7" s="431">
        <v>185.80498987600001</v>
      </c>
      <c r="W7" s="834">
        <v>194.494995117</v>
      </c>
    </row>
    <row r="8" spans="1:23" ht="11.25" customHeight="1">
      <c r="A8" s="17"/>
      <c r="B8" s="161"/>
      <c r="C8" s="39"/>
      <c r="D8" s="162"/>
      <c r="E8" s="162"/>
      <c r="F8" s="70"/>
      <c r="G8" s="66"/>
      <c r="H8" s="66"/>
      <c r="I8" s="71"/>
      <c r="J8" s="4"/>
      <c r="K8" s="4"/>
      <c r="L8" s="12"/>
      <c r="N8" s="429">
        <v>3</v>
      </c>
      <c r="O8" s="430">
        <v>63.17599869</v>
      </c>
      <c r="P8" s="430">
        <v>67.130996699999997</v>
      </c>
      <c r="Q8" s="431">
        <v>106.65</v>
      </c>
      <c r="R8" s="834">
        <v>151.56199649999999</v>
      </c>
      <c r="S8" s="429">
        <v>3</v>
      </c>
      <c r="T8" s="430">
        <v>170.80799961000002</v>
      </c>
      <c r="U8" s="430">
        <v>232.83600043999999</v>
      </c>
      <c r="V8" s="431">
        <v>190.06000000000003</v>
      </c>
      <c r="W8" s="834">
        <v>212.15300178999999</v>
      </c>
    </row>
    <row r="9" spans="1:23" ht="11.25" customHeight="1">
      <c r="A9" s="17"/>
      <c r="B9" s="161"/>
      <c r="C9" s="39"/>
      <c r="D9" s="162"/>
      <c r="E9" s="162"/>
      <c r="F9" s="70"/>
      <c r="G9" s="66"/>
      <c r="H9" s="66"/>
      <c r="I9" s="71"/>
      <c r="J9" s="3"/>
      <c r="K9" s="6"/>
      <c r="L9" s="15"/>
      <c r="N9" s="429">
        <v>4</v>
      </c>
      <c r="O9" s="430">
        <v>113.2139969</v>
      </c>
      <c r="P9" s="430">
        <v>93.789001459999994</v>
      </c>
      <c r="Q9" s="431">
        <v>140.34500120000001</v>
      </c>
      <c r="R9" s="834">
        <v>167.9100037</v>
      </c>
      <c r="S9" s="429">
        <v>4</v>
      </c>
      <c r="T9" s="430">
        <v>186.385000214</v>
      </c>
      <c r="U9" s="430">
        <v>271.78000545999998</v>
      </c>
      <c r="V9" s="431">
        <v>198.06799936900001</v>
      </c>
      <c r="W9" s="834">
        <v>213.71899984999999</v>
      </c>
    </row>
    <row r="10" spans="1:23" ht="11.25" customHeight="1">
      <c r="A10" s="17"/>
      <c r="B10" s="161"/>
      <c r="C10" s="39"/>
      <c r="D10" s="162"/>
      <c r="E10" s="162"/>
      <c r="F10" s="70"/>
      <c r="G10" s="66"/>
      <c r="H10" s="66"/>
      <c r="I10" s="71"/>
      <c r="J10" s="3"/>
      <c r="K10" s="3"/>
      <c r="L10" s="15"/>
      <c r="N10" s="429">
        <v>5</v>
      </c>
      <c r="O10" s="430">
        <v>156.8220062</v>
      </c>
      <c r="P10" s="430">
        <v>111.01599880000001</v>
      </c>
      <c r="Q10" s="431">
        <v>186.18299870000001</v>
      </c>
      <c r="R10" s="834">
        <v>209.06850435244098</v>
      </c>
      <c r="S10" s="429">
        <v>5</v>
      </c>
      <c r="T10" s="430">
        <v>204.80799868699998</v>
      </c>
      <c r="U10" s="430">
        <v>269.07999802</v>
      </c>
      <c r="V10" s="431">
        <v>217.55805158600003</v>
      </c>
      <c r="W10" s="834">
        <v>219.56099320000001</v>
      </c>
    </row>
    <row r="11" spans="1:23" ht="11.25" customHeight="1">
      <c r="A11" s="17"/>
      <c r="B11" s="162"/>
      <c r="C11" s="39"/>
      <c r="D11" s="162"/>
      <c r="E11" s="162"/>
      <c r="F11" s="70"/>
      <c r="G11" s="66"/>
      <c r="H11" s="66"/>
      <c r="I11" s="71"/>
      <c r="J11" s="3"/>
      <c r="K11" s="3"/>
      <c r="L11" s="15"/>
      <c r="N11" s="429">
        <v>6</v>
      </c>
      <c r="O11" s="430">
        <v>168.8840027</v>
      </c>
      <c r="P11" s="430">
        <v>126.6029968</v>
      </c>
      <c r="Q11" s="431">
        <v>222.22</v>
      </c>
      <c r="R11" s="834">
        <v>250.22700500488199</v>
      </c>
      <c r="S11" s="429">
        <v>6</v>
      </c>
      <c r="T11" s="430">
        <v>201.82999366799999</v>
      </c>
      <c r="U11" s="430">
        <v>273.52000047000001</v>
      </c>
      <c r="V11" s="431">
        <v>279.10000000000002</v>
      </c>
      <c r="W11" s="834">
        <v>285.12099838256813</v>
      </c>
    </row>
    <row r="12" spans="1:23" ht="11.25" customHeight="1">
      <c r="A12" s="17"/>
      <c r="B12" s="162"/>
      <c r="C12" s="39"/>
      <c r="D12" s="162"/>
      <c r="E12" s="162"/>
      <c r="F12" s="70"/>
      <c r="G12" s="66"/>
      <c r="H12" s="66"/>
      <c r="I12" s="71"/>
      <c r="J12" s="3"/>
      <c r="K12" s="3"/>
      <c r="L12" s="15"/>
      <c r="N12" s="429">
        <v>7</v>
      </c>
      <c r="O12" s="430">
        <v>196.28300479999999</v>
      </c>
      <c r="P12" s="430">
        <v>135.7250061</v>
      </c>
      <c r="Q12" s="431">
        <v>277.02099609999999</v>
      </c>
      <c r="R12" s="834">
        <v>274.18798829999997</v>
      </c>
      <c r="S12" s="429">
        <v>7</v>
      </c>
      <c r="T12" s="430">
        <v>199.59600258</v>
      </c>
      <c r="U12" s="430">
        <v>302.63299941999998</v>
      </c>
      <c r="V12" s="431">
        <v>338.21854399</v>
      </c>
      <c r="W12" s="834">
        <v>329.34199910000001</v>
      </c>
    </row>
    <row r="13" spans="1:23" ht="11.25" customHeight="1">
      <c r="A13" s="17"/>
      <c r="B13" s="162"/>
      <c r="C13" s="39"/>
      <c r="D13" s="162"/>
      <c r="E13" s="162"/>
      <c r="F13" s="70"/>
      <c r="G13" s="66"/>
      <c r="H13" s="66"/>
      <c r="I13" s="71"/>
      <c r="J13" s="4"/>
      <c r="K13" s="4"/>
      <c r="L13" s="12"/>
      <c r="N13" s="429">
        <v>8</v>
      </c>
      <c r="O13" s="430">
        <v>230.18899540000001</v>
      </c>
      <c r="P13" s="430">
        <v>159.2149963</v>
      </c>
      <c r="Q13" s="431">
        <v>293.06698610000001</v>
      </c>
      <c r="R13" s="834">
        <v>291.3330078125</v>
      </c>
      <c r="S13" s="429">
        <v>8</v>
      </c>
      <c r="T13" s="430">
        <v>214.34299659800001</v>
      </c>
      <c r="U13" s="430">
        <v>328.23703</v>
      </c>
      <c r="V13" s="431">
        <v>388.64800643000001</v>
      </c>
      <c r="W13" s="834">
        <v>352.60932731628355</v>
      </c>
    </row>
    <row r="14" spans="1:23" ht="11.25" customHeight="1">
      <c r="A14" s="17"/>
      <c r="B14" s="162"/>
      <c r="C14" s="39"/>
      <c r="D14" s="162"/>
      <c r="E14" s="162"/>
      <c r="F14" s="70"/>
      <c r="G14" s="66"/>
      <c r="H14" s="66"/>
      <c r="I14" s="71"/>
      <c r="J14" s="3"/>
      <c r="K14" s="6"/>
      <c r="L14" s="15"/>
      <c r="N14" s="429">
        <v>9</v>
      </c>
      <c r="O14" s="430">
        <v>249.13000489999999</v>
      </c>
      <c r="P14" s="430">
        <v>186.18299870000001</v>
      </c>
      <c r="Q14" s="431">
        <v>294.29501340000002</v>
      </c>
      <c r="R14" s="834">
        <v>281.57400510000002</v>
      </c>
      <c r="S14" s="429">
        <v>9</v>
      </c>
      <c r="T14" s="430">
        <v>250.89400288000002</v>
      </c>
      <c r="U14" s="430">
        <v>343.54049999999995</v>
      </c>
      <c r="V14" s="431">
        <v>377.13099283000003</v>
      </c>
      <c r="W14" s="834">
        <v>377.95000650999998</v>
      </c>
    </row>
    <row r="15" spans="1:23" ht="11.25" customHeight="1">
      <c r="A15" s="17"/>
      <c r="B15" s="162"/>
      <c r="C15" s="39"/>
      <c r="D15" s="162"/>
      <c r="E15" s="162"/>
      <c r="F15" s="70"/>
      <c r="G15" s="66"/>
      <c r="H15" s="66"/>
      <c r="I15" s="71"/>
      <c r="J15" s="3"/>
      <c r="K15" s="6"/>
      <c r="L15" s="15"/>
      <c r="N15" s="429">
        <v>10</v>
      </c>
      <c r="O15" s="430">
        <v>311.77999999999997</v>
      </c>
      <c r="P15" s="430">
        <v>203.96099849999999</v>
      </c>
      <c r="Q15" s="431">
        <v>291.91101070000002</v>
      </c>
      <c r="R15" s="834">
        <v>277.58898929999998</v>
      </c>
      <c r="S15" s="429">
        <v>10</v>
      </c>
      <c r="T15" s="430">
        <v>298.99899296000001</v>
      </c>
      <c r="U15" s="430">
        <v>371.29100467000001</v>
      </c>
      <c r="V15" s="431">
        <v>385.62499995999997</v>
      </c>
      <c r="W15" s="834">
        <v>383.25900259000002</v>
      </c>
    </row>
    <row r="16" spans="1:23" ht="11.25" customHeight="1">
      <c r="A16" s="17"/>
      <c r="B16" s="162"/>
      <c r="C16" s="39"/>
      <c r="D16" s="162"/>
      <c r="E16" s="162"/>
      <c r="F16" s="70"/>
      <c r="G16" s="66"/>
      <c r="H16" s="66"/>
      <c r="I16" s="71"/>
      <c r="J16" s="3"/>
      <c r="K16" s="6"/>
      <c r="L16" s="15"/>
      <c r="N16" s="429">
        <v>11</v>
      </c>
      <c r="O16" s="430">
        <v>332.70800000000003</v>
      </c>
      <c r="P16" s="430">
        <v>230.18899540000001</v>
      </c>
      <c r="Q16" s="431">
        <v>301.204986572265</v>
      </c>
      <c r="R16" s="835">
        <v>288.4509888</v>
      </c>
      <c r="S16" s="429">
        <v>11</v>
      </c>
      <c r="T16" s="430">
        <v>321.03300188000003</v>
      </c>
      <c r="U16" s="430">
        <v>390.38299555999998</v>
      </c>
      <c r="V16" s="431">
        <v>389.38100242614604</v>
      </c>
      <c r="W16" s="834">
        <v>394.92200288000009</v>
      </c>
    </row>
    <row r="17" spans="1:23" ht="11.25" customHeight="1">
      <c r="A17" s="17"/>
      <c r="B17" s="162"/>
      <c r="C17" s="39"/>
      <c r="D17" s="162"/>
      <c r="E17" s="162"/>
      <c r="F17" s="70"/>
      <c r="G17" s="66"/>
      <c r="H17" s="66"/>
      <c r="I17" s="71"/>
      <c r="J17" s="3"/>
      <c r="K17" s="6"/>
      <c r="L17" s="15"/>
      <c r="N17" s="429">
        <v>12</v>
      </c>
      <c r="O17" s="430">
        <v>344.881012</v>
      </c>
      <c r="P17" s="430">
        <v>282.71701050000001</v>
      </c>
      <c r="Q17" s="431">
        <v>310.0090027</v>
      </c>
      <c r="R17" s="835">
        <v>295.38400268554602</v>
      </c>
      <c r="S17" s="429">
        <v>12</v>
      </c>
      <c r="T17" s="430">
        <v>332.34900279999999</v>
      </c>
      <c r="U17" s="430">
        <v>412.41217171999995</v>
      </c>
      <c r="V17" s="431">
        <v>386.27799791999996</v>
      </c>
      <c r="W17" s="834">
        <v>390.290998458861</v>
      </c>
    </row>
    <row r="18" spans="1:23" ht="11.25" customHeight="1">
      <c r="A18" s="17"/>
      <c r="B18" s="162"/>
      <c r="C18" s="39"/>
      <c r="D18" s="162"/>
      <c r="E18" s="162"/>
      <c r="F18" s="70"/>
      <c r="G18" s="66"/>
      <c r="H18" s="66"/>
      <c r="I18" s="71"/>
      <c r="J18" s="3"/>
      <c r="K18" s="6"/>
      <c r="L18" s="15"/>
      <c r="N18" s="429">
        <v>13</v>
      </c>
      <c r="O18" s="430">
        <v>338.77499390000003</v>
      </c>
      <c r="P18" s="430">
        <v>329.68899540000001</v>
      </c>
      <c r="Q18" s="431">
        <v>333.91799930000002</v>
      </c>
      <c r="R18" s="835">
        <v>303.54400634765602</v>
      </c>
      <c r="S18" s="429">
        <v>13</v>
      </c>
      <c r="T18" s="430">
        <v>366.02899361000004</v>
      </c>
      <c r="U18" s="430">
        <v>410.83199501000001</v>
      </c>
      <c r="V18" s="431">
        <v>388.98099517000003</v>
      </c>
      <c r="W18" s="834">
        <v>402.17499160766499</v>
      </c>
    </row>
    <row r="19" spans="1:23" ht="11.25" customHeight="1">
      <c r="A19" s="17"/>
      <c r="B19" s="162"/>
      <c r="C19" s="39"/>
      <c r="D19" s="162"/>
      <c r="E19" s="162"/>
      <c r="F19" s="70"/>
      <c r="G19" s="66"/>
      <c r="H19" s="66"/>
      <c r="I19" s="71"/>
      <c r="J19" s="3"/>
      <c r="K19" s="6"/>
      <c r="L19" s="15"/>
      <c r="N19" s="429">
        <v>14</v>
      </c>
      <c r="O19" s="430">
        <v>338.77999390000002</v>
      </c>
      <c r="P19" s="430">
        <v>329.68899540000001</v>
      </c>
      <c r="Q19" s="431">
        <v>335.73699950000002</v>
      </c>
      <c r="R19" s="432">
        <v>296.54501340000002</v>
      </c>
      <c r="S19" s="429">
        <v>14</v>
      </c>
      <c r="T19" s="430">
        <v>382.58400344</v>
      </c>
      <c r="U19" s="430">
        <v>403.70400233999999</v>
      </c>
      <c r="V19" s="431">
        <v>393.36499596000004</v>
      </c>
      <c r="W19" s="423">
        <v>398.93495940999998</v>
      </c>
    </row>
    <row r="20" spans="1:23" ht="11.25" customHeight="1">
      <c r="A20" s="17"/>
      <c r="B20" s="162"/>
      <c r="C20" s="39"/>
      <c r="D20" s="162"/>
      <c r="E20" s="162"/>
      <c r="F20" s="70"/>
      <c r="G20" s="66"/>
      <c r="H20" s="66"/>
      <c r="I20" s="71"/>
      <c r="J20" s="3"/>
      <c r="K20" s="6"/>
      <c r="L20" s="15"/>
      <c r="N20" s="429">
        <v>15</v>
      </c>
      <c r="O20" s="430">
        <v>347.94900510000002</v>
      </c>
      <c r="P20" s="430">
        <v>326.67999270000001</v>
      </c>
      <c r="Q20" s="431">
        <v>335.73699950000002</v>
      </c>
      <c r="R20" s="432">
        <v>289.60299680000003</v>
      </c>
      <c r="S20" s="429">
        <v>15</v>
      </c>
      <c r="T20" s="430">
        <v>385.29699126999998</v>
      </c>
      <c r="U20" s="430">
        <v>399.27400204999998</v>
      </c>
      <c r="V20" s="431">
        <v>385.77799804</v>
      </c>
      <c r="W20" s="423">
        <v>388.01895332999999</v>
      </c>
    </row>
    <row r="21" spans="1:23" ht="11.25" customHeight="1">
      <c r="A21" s="17"/>
      <c r="B21" s="162"/>
      <c r="C21" s="39"/>
      <c r="D21" s="162"/>
      <c r="E21" s="162"/>
      <c r="F21" s="70"/>
      <c r="G21" s="66"/>
      <c r="H21" s="66"/>
      <c r="I21" s="71"/>
      <c r="J21" s="3"/>
      <c r="K21" s="7"/>
      <c r="L21" s="16"/>
      <c r="N21" s="429">
        <v>16</v>
      </c>
      <c r="O21" s="430">
        <v>354.11401369999999</v>
      </c>
      <c r="P21" s="430">
        <v>314.7409973</v>
      </c>
      <c r="Q21" s="431">
        <v>335.73699950000002</v>
      </c>
      <c r="R21" s="432">
        <v>285.006012</v>
      </c>
      <c r="S21" s="429">
        <v>16</v>
      </c>
      <c r="T21" s="430">
        <v>384.95899003</v>
      </c>
      <c r="U21" s="430">
        <v>394.58499913000003</v>
      </c>
      <c r="V21" s="431">
        <v>385.72399323999997</v>
      </c>
      <c r="W21" s="423">
        <v>383.39695458999995</v>
      </c>
    </row>
    <row r="22" spans="1:23" ht="11.25" customHeight="1">
      <c r="A22" s="77"/>
      <c r="B22" s="162"/>
      <c r="C22" s="39"/>
      <c r="D22" s="162"/>
      <c r="E22" s="162"/>
      <c r="F22" s="70"/>
      <c r="G22" s="66"/>
      <c r="H22" s="66"/>
      <c r="I22" s="71"/>
      <c r="J22" s="3"/>
      <c r="K22" s="6"/>
      <c r="L22" s="15"/>
      <c r="N22" s="429">
        <v>17</v>
      </c>
      <c r="O22" s="430">
        <v>351.02700809999999</v>
      </c>
      <c r="P22" s="430">
        <v>305.89001459999997</v>
      </c>
      <c r="Q22" s="431">
        <v>335.73699950000002</v>
      </c>
      <c r="R22" s="432">
        <v>285.00601196289</v>
      </c>
      <c r="S22" s="429">
        <v>17</v>
      </c>
      <c r="T22" s="430">
        <v>381.86699488000005</v>
      </c>
      <c r="U22" s="430">
        <v>392.29800030000007</v>
      </c>
      <c r="V22" s="431">
        <v>388.74200823000001</v>
      </c>
      <c r="W22" s="423">
        <v>381.56399345397853</v>
      </c>
    </row>
    <row r="23" spans="1:23" ht="11.25" customHeight="1">
      <c r="A23" s="77"/>
      <c r="B23" s="162"/>
      <c r="C23" s="39"/>
      <c r="D23" s="162"/>
      <c r="E23" s="162"/>
      <c r="F23" s="70"/>
      <c r="G23" s="66"/>
      <c r="H23" s="66"/>
      <c r="I23" s="71"/>
      <c r="J23" s="3"/>
      <c r="K23" s="6"/>
      <c r="L23" s="15"/>
      <c r="N23" s="429">
        <v>18</v>
      </c>
      <c r="O23" s="430">
        <v>354.11401369999999</v>
      </c>
      <c r="P23" s="430">
        <v>314.7409973</v>
      </c>
      <c r="Q23" s="431">
        <v>335.73699950000002</v>
      </c>
      <c r="R23" s="432">
        <v>285.006012</v>
      </c>
      <c r="S23" s="429">
        <v>18</v>
      </c>
      <c r="T23" s="430">
        <v>382.77999115</v>
      </c>
      <c r="U23" s="430">
        <v>390.15600400999995</v>
      </c>
      <c r="V23" s="431">
        <v>386.49800113000003</v>
      </c>
      <c r="W23" s="423">
        <v>379.87400246999994</v>
      </c>
    </row>
    <row r="24" spans="1:23" ht="11.25" customHeight="1">
      <c r="A24" s="77"/>
      <c r="B24" s="162"/>
      <c r="C24" s="39"/>
      <c r="D24" s="162"/>
      <c r="E24" s="162"/>
      <c r="F24" s="70"/>
      <c r="G24" s="66"/>
      <c r="H24" s="66"/>
      <c r="I24" s="71"/>
      <c r="J24" s="6"/>
      <c r="K24" s="6"/>
      <c r="L24" s="15"/>
      <c r="N24" s="429">
        <v>19</v>
      </c>
      <c r="O24" s="430">
        <v>363.43499759999997</v>
      </c>
      <c r="P24" s="430">
        <v>314.7409973</v>
      </c>
      <c r="Q24" s="431">
        <v>314.7409973</v>
      </c>
      <c r="R24" s="432">
        <v>314.7409973</v>
      </c>
      <c r="S24" s="429">
        <v>19</v>
      </c>
      <c r="T24" s="430">
        <v>381.91700169999996</v>
      </c>
      <c r="U24" s="430">
        <v>386.47099490999994</v>
      </c>
      <c r="V24" s="431">
        <v>384.38200000000001</v>
      </c>
      <c r="W24" s="423">
        <v>375.69400404000004</v>
      </c>
    </row>
    <row r="25" spans="1:23" ht="11.25" customHeight="1">
      <c r="A25" s="267" t="s">
        <v>473</v>
      </c>
      <c r="B25" s="162"/>
      <c r="C25" s="39"/>
      <c r="D25" s="162"/>
      <c r="E25" s="162"/>
      <c r="F25" s="70"/>
      <c r="G25" s="66"/>
      <c r="H25" s="66"/>
      <c r="I25" s="71"/>
      <c r="J25" s="3"/>
      <c r="K25" s="7"/>
      <c r="L25" s="16"/>
      <c r="N25" s="726">
        <v>20</v>
      </c>
      <c r="O25" s="430">
        <v>366.56100459999999</v>
      </c>
      <c r="P25" s="430">
        <v>314.7409973</v>
      </c>
      <c r="Q25" s="431">
        <v>315.3340149</v>
      </c>
      <c r="R25" s="432">
        <v>314.14801030000001</v>
      </c>
      <c r="S25" s="429">
        <v>20</v>
      </c>
      <c r="T25" s="430">
        <v>379.35699083999998</v>
      </c>
      <c r="U25" s="430">
        <v>382.00799562999993</v>
      </c>
      <c r="V25" s="431">
        <v>381.56399727000002</v>
      </c>
      <c r="W25" s="728">
        <v>370.56599616999995</v>
      </c>
    </row>
    <row r="26" spans="1:23" ht="11.25" customHeight="1">
      <c r="A26" s="54"/>
      <c r="B26" s="162"/>
      <c r="C26" s="39"/>
      <c r="D26" s="162"/>
      <c r="E26" s="162"/>
      <c r="F26" s="70"/>
      <c r="G26" s="66"/>
      <c r="H26" s="66"/>
      <c r="I26" s="71"/>
      <c r="J26" s="4"/>
      <c r="K26" s="6"/>
      <c r="L26" s="15"/>
      <c r="N26" s="429">
        <v>21</v>
      </c>
      <c r="O26" s="430">
        <v>357.21099850000002</v>
      </c>
      <c r="P26" s="430">
        <v>314.7409973</v>
      </c>
      <c r="Q26" s="431">
        <v>311.78100590000003</v>
      </c>
      <c r="R26" s="727">
        <v>312.37200927734301</v>
      </c>
      <c r="S26" s="429">
        <v>21</v>
      </c>
      <c r="T26" s="430">
        <v>375.59600258</v>
      </c>
      <c r="U26" s="430">
        <v>378.52099610999994</v>
      </c>
      <c r="V26" s="431">
        <v>376.47088237999998</v>
      </c>
      <c r="W26" s="423">
        <v>365.52200794219863</v>
      </c>
    </row>
    <row r="27" spans="1:23" ht="11.25" customHeight="1">
      <c r="A27" s="77"/>
      <c r="B27" s="162"/>
      <c r="C27" s="39"/>
      <c r="D27" s="162"/>
      <c r="E27" s="162"/>
      <c r="F27" s="73"/>
      <c r="G27" s="73"/>
      <c r="H27" s="73"/>
      <c r="I27" s="73"/>
      <c r="J27" s="4"/>
      <c r="K27" s="6"/>
      <c r="L27" s="15"/>
      <c r="N27" s="429">
        <v>22</v>
      </c>
      <c r="O27" s="430">
        <v>341.82</v>
      </c>
      <c r="P27" s="430">
        <v>311.78100590000003</v>
      </c>
      <c r="Q27" s="431">
        <v>310.60000609999997</v>
      </c>
      <c r="R27" s="727">
        <v>310.60000609999997</v>
      </c>
      <c r="S27" s="429">
        <v>22</v>
      </c>
      <c r="T27" s="430">
        <v>373.52000000000004</v>
      </c>
      <c r="U27" s="430">
        <v>375.20999716</v>
      </c>
      <c r="V27" s="431">
        <v>370.73099807</v>
      </c>
      <c r="W27" s="423">
        <v>359.19900507300002</v>
      </c>
    </row>
    <row r="28" spans="1:23" ht="11.25" customHeight="1">
      <c r="A28" s="77"/>
      <c r="B28" s="162"/>
      <c r="C28" s="39"/>
      <c r="D28" s="162"/>
      <c r="E28" s="162"/>
      <c r="F28" s="73"/>
      <c r="G28" s="73"/>
      <c r="H28" s="73"/>
      <c r="I28" s="73"/>
      <c r="J28" s="4"/>
      <c r="K28" s="6"/>
      <c r="L28" s="15"/>
      <c r="N28" s="429">
        <v>23</v>
      </c>
      <c r="O28" s="430">
        <v>326.67999270000001</v>
      </c>
      <c r="P28" s="430">
        <v>308.82998659999998</v>
      </c>
      <c r="Q28" s="431">
        <v>307.06500240000003</v>
      </c>
      <c r="R28" s="727">
        <v>307.06500240000003</v>
      </c>
      <c r="S28" s="429">
        <v>23</v>
      </c>
      <c r="T28" s="430">
        <v>369.22100255000004</v>
      </c>
      <c r="U28" s="430">
        <v>374.07600211999994</v>
      </c>
      <c r="V28" s="431">
        <v>363.24299430999997</v>
      </c>
      <c r="W28" s="423">
        <v>354.24799921000005</v>
      </c>
    </row>
    <row r="29" spans="1:23" ht="11.25" customHeight="1">
      <c r="A29" s="77"/>
      <c r="B29" s="162"/>
      <c r="C29" s="39"/>
      <c r="D29" s="162"/>
      <c r="E29" s="162"/>
      <c r="F29" s="73"/>
      <c r="G29" s="73"/>
      <c r="H29" s="73"/>
      <c r="I29" s="73"/>
      <c r="J29" s="4"/>
      <c r="K29" s="6"/>
      <c r="L29" s="15"/>
      <c r="N29" s="429">
        <v>24</v>
      </c>
      <c r="O29" s="430">
        <v>308.82998659999998</v>
      </c>
      <c r="P29" s="430">
        <v>300.0379944</v>
      </c>
      <c r="Q29" s="431">
        <v>302.9590149</v>
      </c>
      <c r="R29" s="727">
        <v>300.621002197265</v>
      </c>
      <c r="S29" s="429">
        <v>24</v>
      </c>
      <c r="T29" s="430">
        <v>364.44200138999997</v>
      </c>
      <c r="U29" s="430">
        <v>370.89200402</v>
      </c>
      <c r="V29" s="431">
        <v>357.21200376000002</v>
      </c>
      <c r="W29" s="423">
        <v>348.87000203132561</v>
      </c>
    </row>
    <row r="30" spans="1:23" ht="11.25" customHeight="1">
      <c r="A30" s="74"/>
      <c r="B30" s="73"/>
      <c r="C30" s="73"/>
      <c r="D30" s="73"/>
      <c r="E30" s="73"/>
      <c r="F30" s="73"/>
      <c r="G30" s="73"/>
      <c r="H30" s="73"/>
      <c r="I30" s="73"/>
      <c r="J30" s="3"/>
      <c r="K30" s="6"/>
      <c r="L30" s="15"/>
      <c r="N30" s="429">
        <v>25</v>
      </c>
      <c r="O30" s="430">
        <v>291.33300780000002</v>
      </c>
      <c r="P30" s="430">
        <v>294.22500609999997</v>
      </c>
      <c r="Q30" s="431">
        <v>300.0379944</v>
      </c>
      <c r="R30" s="727">
        <v>286.72698969999999</v>
      </c>
      <c r="S30" s="429">
        <v>25</v>
      </c>
      <c r="T30" s="430">
        <v>359.61999897999999</v>
      </c>
      <c r="U30" s="430">
        <v>366.71700096999996</v>
      </c>
      <c r="V30" s="431">
        <v>352.1909981</v>
      </c>
      <c r="W30" s="423">
        <v>343.83099551700002</v>
      </c>
    </row>
    <row r="31" spans="1:23" ht="11.25" customHeight="1">
      <c r="A31" s="74"/>
      <c r="B31" s="73"/>
      <c r="C31" s="73"/>
      <c r="D31" s="73"/>
      <c r="E31" s="73"/>
      <c r="F31" s="73"/>
      <c r="G31" s="73"/>
      <c r="H31" s="73"/>
      <c r="I31" s="73"/>
      <c r="J31" s="3"/>
      <c r="K31" s="6"/>
      <c r="L31" s="15"/>
      <c r="N31" s="429">
        <v>26</v>
      </c>
      <c r="O31" s="430">
        <v>268.55099489999998</v>
      </c>
      <c r="P31" s="430">
        <v>282.71701050000001</v>
      </c>
      <c r="Q31" s="431">
        <v>296.06698610000001</v>
      </c>
      <c r="R31" s="727">
        <v>266.86801150000002</v>
      </c>
      <c r="S31" s="429">
        <v>26</v>
      </c>
      <c r="T31" s="430">
        <v>354.77499773999995</v>
      </c>
      <c r="U31" s="430">
        <v>361.43599508999995</v>
      </c>
      <c r="V31" s="431">
        <v>346.62612917400003</v>
      </c>
      <c r="W31" s="423">
        <v>338.47100355099997</v>
      </c>
    </row>
    <row r="32" spans="1:23" ht="11.25" customHeight="1">
      <c r="A32" s="74"/>
      <c r="B32" s="73"/>
      <c r="C32" s="73"/>
      <c r="D32" s="73"/>
      <c r="E32" s="73"/>
      <c r="F32" s="73"/>
      <c r="G32" s="73"/>
      <c r="H32" s="73"/>
      <c r="I32" s="73"/>
      <c r="J32" s="3"/>
      <c r="K32" s="6"/>
      <c r="L32" s="15"/>
      <c r="N32" s="429">
        <v>27</v>
      </c>
      <c r="O32" s="430">
        <v>265.7470093</v>
      </c>
      <c r="P32" s="430">
        <v>271.36</v>
      </c>
      <c r="Q32" s="431">
        <v>275.89</v>
      </c>
      <c r="R32" s="727">
        <v>255.73500061035099</v>
      </c>
      <c r="S32" s="429">
        <v>27</v>
      </c>
      <c r="T32" s="430">
        <v>349.77999684000002</v>
      </c>
      <c r="U32" s="430">
        <v>355.34</v>
      </c>
      <c r="V32" s="431">
        <v>341.25900444999996</v>
      </c>
      <c r="W32" s="423">
        <v>333.23996639251612</v>
      </c>
    </row>
    <row r="33" spans="1:23" ht="11.25" customHeight="1">
      <c r="A33" s="74"/>
      <c r="B33" s="73"/>
      <c r="C33" s="73"/>
      <c r="D33" s="73"/>
      <c r="E33" s="73"/>
      <c r="F33" s="73"/>
      <c r="G33" s="73"/>
      <c r="H33" s="73"/>
      <c r="I33" s="73"/>
      <c r="J33" s="3"/>
      <c r="K33" s="6"/>
      <c r="L33" s="15"/>
      <c r="N33" s="429">
        <v>28</v>
      </c>
      <c r="O33" s="430">
        <v>243.66999820000001</v>
      </c>
      <c r="P33" s="433">
        <v>260.16900629999998</v>
      </c>
      <c r="Q33" s="431">
        <v>248.58200070000001</v>
      </c>
      <c r="R33" s="727">
        <v>244.7590027</v>
      </c>
      <c r="S33" s="429">
        <v>28</v>
      </c>
      <c r="T33" s="430">
        <v>344.32400322999996</v>
      </c>
      <c r="U33" s="430">
        <v>349.01599981000004</v>
      </c>
      <c r="V33" s="431">
        <v>337.18899436699996</v>
      </c>
      <c r="W33" s="423">
        <v>327.71050074999999</v>
      </c>
    </row>
    <row r="34" spans="1:23" ht="11.25" customHeight="1">
      <c r="A34" s="74"/>
      <c r="B34" s="73"/>
      <c r="C34" s="73"/>
      <c r="D34" s="73"/>
      <c r="E34" s="73"/>
      <c r="F34" s="73"/>
      <c r="G34" s="73"/>
      <c r="H34" s="73"/>
      <c r="I34" s="73"/>
      <c r="J34" s="3"/>
      <c r="K34" s="6"/>
      <c r="L34" s="15"/>
      <c r="N34" s="429">
        <v>29</v>
      </c>
      <c r="O34" s="430">
        <v>227.5220032</v>
      </c>
      <c r="P34" s="430">
        <v>251.88</v>
      </c>
      <c r="Q34" s="431">
        <v>238.787994384765</v>
      </c>
      <c r="R34" s="727">
        <v>231.25799559999999</v>
      </c>
      <c r="S34" s="429">
        <v>29</v>
      </c>
      <c r="T34" s="430">
        <v>338.60699847999996</v>
      </c>
      <c r="U34" s="430">
        <v>343.97999999999996</v>
      </c>
      <c r="V34" s="431">
        <v>333.50600986443789</v>
      </c>
      <c r="W34" s="423">
        <v>322.11699965099996</v>
      </c>
    </row>
    <row r="35" spans="1:23" ht="11.25" customHeight="1">
      <c r="A35" s="74"/>
      <c r="B35" s="73"/>
      <c r="C35" s="73"/>
      <c r="D35" s="73"/>
      <c r="E35" s="73"/>
      <c r="F35" s="73"/>
      <c r="G35" s="73"/>
      <c r="H35" s="73"/>
      <c r="I35" s="73"/>
      <c r="J35" s="6"/>
      <c r="K35" s="6"/>
      <c r="L35" s="15"/>
      <c r="N35" s="429">
        <v>30</v>
      </c>
      <c r="O35" s="430">
        <v>216.95199579999999</v>
      </c>
      <c r="P35" s="430">
        <v>232.8650055</v>
      </c>
      <c r="Q35" s="431">
        <v>229.12</v>
      </c>
      <c r="R35" s="727">
        <v>219.58000179999999</v>
      </c>
      <c r="S35" s="429">
        <v>30</v>
      </c>
      <c r="T35" s="430">
        <v>332.49400331000004</v>
      </c>
      <c r="U35" s="430">
        <v>342.06599807739167</v>
      </c>
      <c r="V35" s="431">
        <v>324.04999999999995</v>
      </c>
      <c r="W35" s="423">
        <v>316.39600081599997</v>
      </c>
    </row>
    <row r="36" spans="1:23" ht="11.25" customHeight="1">
      <c r="A36" s="74"/>
      <c r="B36" s="73"/>
      <c r="C36" s="73"/>
      <c r="D36" s="73"/>
      <c r="E36" s="73"/>
      <c r="F36" s="73"/>
      <c r="G36" s="73"/>
      <c r="H36" s="73"/>
      <c r="I36" s="73"/>
      <c r="J36" s="3"/>
      <c r="K36" s="6"/>
      <c r="L36" s="15"/>
      <c r="N36" s="429">
        <v>31</v>
      </c>
      <c r="O36" s="430">
        <v>209.128006</v>
      </c>
      <c r="P36" s="430">
        <v>211.726</v>
      </c>
      <c r="Q36" s="431">
        <v>219.05400090000001</v>
      </c>
      <c r="R36" s="727">
        <v>209.128006</v>
      </c>
      <c r="S36" s="429">
        <v>31</v>
      </c>
      <c r="T36" s="430">
        <v>324</v>
      </c>
      <c r="U36" s="430">
        <v>335.23199999999997</v>
      </c>
      <c r="V36" s="431">
        <v>318.10600236499999</v>
      </c>
      <c r="W36" s="423">
        <v>310.66199637099999</v>
      </c>
    </row>
    <row r="37" spans="1:23" ht="11.25" customHeight="1">
      <c r="A37" s="74"/>
      <c r="B37" s="73"/>
      <c r="C37" s="73"/>
      <c r="D37" s="73"/>
      <c r="E37" s="73"/>
      <c r="F37" s="73"/>
      <c r="G37" s="73"/>
      <c r="H37" s="73"/>
      <c r="I37" s="73"/>
      <c r="J37" s="3"/>
      <c r="K37" s="10"/>
      <c r="L37" s="15"/>
      <c r="N37" s="429">
        <v>32</v>
      </c>
      <c r="O37" s="430">
        <v>198.83200070000001</v>
      </c>
      <c r="P37" s="430">
        <v>181.19200129999999</v>
      </c>
      <c r="Q37" s="431">
        <v>209.128006</v>
      </c>
      <c r="R37" s="432">
        <v>201.39199830000001</v>
      </c>
      <c r="S37" s="429">
        <v>32</v>
      </c>
      <c r="T37" s="430">
        <v>320.73399734000003</v>
      </c>
      <c r="U37" s="430">
        <v>329.56800555999996</v>
      </c>
      <c r="V37" s="431">
        <v>312.078003352</v>
      </c>
      <c r="W37" s="423">
        <v>304.63100243800005</v>
      </c>
    </row>
    <row r="38" spans="1:23" ht="11.25" customHeight="1">
      <c r="A38" s="74"/>
      <c r="B38" s="73"/>
      <c r="C38" s="73"/>
      <c r="D38" s="73"/>
      <c r="E38" s="73"/>
      <c r="F38" s="73"/>
      <c r="G38" s="73"/>
      <c r="H38" s="73"/>
      <c r="I38" s="73"/>
      <c r="J38" s="3"/>
      <c r="K38" s="10"/>
      <c r="L38" s="38"/>
      <c r="N38" s="429">
        <v>33</v>
      </c>
      <c r="O38" s="430">
        <v>188.69299319999999</v>
      </c>
      <c r="P38" s="430">
        <v>152.0650024</v>
      </c>
      <c r="Q38" s="431">
        <v>199.85499569999999</v>
      </c>
      <c r="R38" s="432">
        <v>189.6999969</v>
      </c>
      <c r="S38" s="429">
        <v>33</v>
      </c>
      <c r="T38" s="430">
        <v>314.19900131999998</v>
      </c>
      <c r="U38" s="430">
        <v>323.79099748000004</v>
      </c>
      <c r="V38" s="431">
        <v>312.078003352</v>
      </c>
      <c r="W38" s="423">
        <v>299.14499665</v>
      </c>
    </row>
    <row r="39" spans="1:23" ht="11.25" customHeight="1">
      <c r="A39" s="74"/>
      <c r="B39" s="73"/>
      <c r="C39" s="73"/>
      <c r="D39" s="73"/>
      <c r="E39" s="73"/>
      <c r="F39" s="73"/>
      <c r="G39" s="73"/>
      <c r="H39" s="73"/>
      <c r="I39" s="73"/>
      <c r="J39" s="3"/>
      <c r="K39" s="7"/>
      <c r="L39" s="15"/>
      <c r="N39" s="429">
        <v>34</v>
      </c>
      <c r="O39" s="430">
        <v>183.68200680000001</v>
      </c>
      <c r="P39" s="430">
        <v>156.8220062</v>
      </c>
      <c r="Q39" s="431">
        <v>188.69299319999999</v>
      </c>
      <c r="R39" s="432">
        <v>178.71099849999999</v>
      </c>
      <c r="S39" s="429">
        <v>34</v>
      </c>
      <c r="T39" s="430">
        <v>307.85200500000002</v>
      </c>
      <c r="U39" s="430">
        <v>317.64699750999995</v>
      </c>
      <c r="V39" s="431">
        <v>299.58200316099999</v>
      </c>
      <c r="W39" s="423">
        <v>293.22399712800001</v>
      </c>
    </row>
    <row r="40" spans="1:23" ht="11.25" customHeight="1">
      <c r="A40" s="74"/>
      <c r="B40" s="73"/>
      <c r="C40" s="73"/>
      <c r="D40" s="73"/>
      <c r="E40" s="73"/>
      <c r="F40" s="73"/>
      <c r="G40" s="73"/>
      <c r="H40" s="73"/>
      <c r="I40" s="73"/>
      <c r="J40" s="3"/>
      <c r="K40" s="7"/>
      <c r="L40" s="15"/>
      <c r="N40" s="429">
        <v>35</v>
      </c>
      <c r="O40" s="430">
        <v>176.23899840000001</v>
      </c>
      <c r="P40" s="434">
        <v>156.82</v>
      </c>
      <c r="Q40" s="431">
        <v>177.72099299999999</v>
      </c>
      <c r="R40" s="432">
        <v>167.91000366210901</v>
      </c>
      <c r="S40" s="429">
        <v>35</v>
      </c>
      <c r="T40" s="430">
        <v>300.83900069999999</v>
      </c>
      <c r="U40" s="430">
        <v>311.42</v>
      </c>
      <c r="V40" s="431">
        <v>292.71899843200003</v>
      </c>
      <c r="W40" s="423">
        <v>287.11000061035065</v>
      </c>
    </row>
    <row r="41" spans="1:23" ht="11.25" customHeight="1">
      <c r="A41" s="74"/>
      <c r="B41" s="73"/>
      <c r="C41" s="73"/>
      <c r="D41" s="73"/>
      <c r="E41" s="73"/>
      <c r="F41" s="73"/>
      <c r="G41" s="73"/>
      <c r="H41" s="73"/>
      <c r="I41" s="73"/>
      <c r="J41" s="3"/>
      <c r="K41" s="7"/>
      <c r="L41" s="15"/>
      <c r="N41" s="429">
        <v>36</v>
      </c>
      <c r="O41" s="430">
        <v>168.8840027</v>
      </c>
      <c r="P41" s="434">
        <v>159.21</v>
      </c>
      <c r="Q41" s="431">
        <v>164.99800110000001</v>
      </c>
      <c r="R41" s="432"/>
      <c r="S41" s="429">
        <v>36</v>
      </c>
      <c r="T41" s="430">
        <v>293.46100233999999</v>
      </c>
      <c r="U41" s="430">
        <v>305.20999999999998</v>
      </c>
      <c r="V41" s="431">
        <v>286.64699412499999</v>
      </c>
    </row>
    <row r="42" spans="1:23" ht="11.25" customHeight="1">
      <c r="A42" s="74"/>
      <c r="B42" s="73"/>
      <c r="C42" s="73"/>
      <c r="D42" s="73"/>
      <c r="E42" s="73"/>
      <c r="F42" s="73"/>
      <c r="G42" s="73"/>
      <c r="H42" s="73"/>
      <c r="I42" s="73"/>
      <c r="J42" s="6"/>
      <c r="K42" s="10"/>
      <c r="L42" s="15"/>
      <c r="N42" s="429">
        <v>37</v>
      </c>
      <c r="O42" s="430">
        <v>159.2149963</v>
      </c>
      <c r="P42" s="434">
        <v>159.2149963</v>
      </c>
      <c r="Q42" s="431">
        <v>154.53400055</v>
      </c>
      <c r="R42" s="432"/>
      <c r="S42" s="429">
        <v>37</v>
      </c>
      <c r="T42" s="430">
        <v>287.76599501999999</v>
      </c>
      <c r="U42" s="430">
        <v>299.17000225600003</v>
      </c>
      <c r="V42" s="431">
        <v>280.605003845</v>
      </c>
    </row>
    <row r="43" spans="1:23" ht="11.25" customHeight="1">
      <c r="A43" s="74"/>
      <c r="B43" s="73"/>
      <c r="C43" s="73"/>
      <c r="D43" s="73"/>
      <c r="E43" s="73"/>
      <c r="F43" s="73"/>
      <c r="G43" s="73"/>
      <c r="H43" s="73"/>
      <c r="I43" s="73"/>
      <c r="J43" s="3"/>
      <c r="K43" s="10"/>
      <c r="L43" s="15"/>
      <c r="N43" s="429">
        <v>38</v>
      </c>
      <c r="O43" s="430">
        <v>149.70199579999999</v>
      </c>
      <c r="P43" s="434">
        <v>149.70199579999999</v>
      </c>
      <c r="Q43" s="431">
        <v>144.07</v>
      </c>
      <c r="R43" s="432"/>
      <c r="S43" s="429">
        <v>38</v>
      </c>
      <c r="T43" s="430">
        <v>282.07300377000001</v>
      </c>
      <c r="U43" s="430">
        <v>292.45899891799996</v>
      </c>
      <c r="V43" s="431">
        <v>274.21999999999997</v>
      </c>
    </row>
    <row r="44" spans="1:23" ht="11.25" customHeight="1">
      <c r="A44" s="74"/>
      <c r="B44" s="73"/>
      <c r="C44" s="73"/>
      <c r="D44" s="73"/>
      <c r="E44" s="73"/>
      <c r="F44" s="73"/>
      <c r="G44" s="73"/>
      <c r="H44" s="73"/>
      <c r="I44" s="73"/>
      <c r="J44" s="3"/>
      <c r="K44" s="10"/>
      <c r="L44" s="15"/>
      <c r="N44" s="429">
        <v>39</v>
      </c>
      <c r="O44" s="430">
        <v>138.02999879999999</v>
      </c>
      <c r="P44" s="434">
        <v>117.6380005</v>
      </c>
      <c r="Q44" s="431">
        <v>135.725006103515</v>
      </c>
      <c r="R44" s="432"/>
      <c r="S44" s="429">
        <v>39</v>
      </c>
      <c r="T44" s="430">
        <v>275.53000069000001</v>
      </c>
      <c r="U44" s="430">
        <v>286.11999916000002</v>
      </c>
      <c r="V44" s="431">
        <v>267.58499765396107</v>
      </c>
    </row>
    <row r="45" spans="1:23" ht="11.25" customHeight="1">
      <c r="A45" s="74"/>
      <c r="B45" s="73"/>
      <c r="C45" s="73"/>
      <c r="D45" s="73"/>
      <c r="E45" s="73"/>
      <c r="F45" s="73"/>
      <c r="G45" s="73"/>
      <c r="H45" s="73"/>
      <c r="I45" s="73"/>
      <c r="J45" s="11"/>
      <c r="K45" s="11"/>
      <c r="L45" s="11"/>
      <c r="N45" s="429">
        <v>40</v>
      </c>
      <c r="O45" s="430">
        <v>131.14500430000001</v>
      </c>
      <c r="P45" s="430">
        <v>91.680000309999997</v>
      </c>
      <c r="Q45" s="431">
        <v>127.0559998</v>
      </c>
      <c r="R45" s="432"/>
      <c r="S45" s="429">
        <v>40</v>
      </c>
      <c r="T45" s="430">
        <v>268.25699615000002</v>
      </c>
      <c r="U45" s="430">
        <v>278.57999837699998</v>
      </c>
      <c r="V45" s="431">
        <v>260.96199703900004</v>
      </c>
    </row>
    <row r="46" spans="1:23" ht="11.25" customHeight="1">
      <c r="A46" s="74"/>
      <c r="B46" s="73"/>
      <c r="C46" s="73"/>
      <c r="D46" s="73"/>
      <c r="E46" s="73"/>
      <c r="F46" s="73"/>
      <c r="G46" s="73"/>
      <c r="H46" s="73"/>
      <c r="I46" s="73"/>
      <c r="J46" s="11"/>
      <c r="K46" s="11"/>
      <c r="L46" s="11"/>
      <c r="N46" s="429">
        <v>41</v>
      </c>
      <c r="O46" s="430">
        <v>108.82900239999999</v>
      </c>
      <c r="P46" s="430">
        <v>71.125</v>
      </c>
      <c r="Q46" s="431">
        <v>110.13999939999999</v>
      </c>
      <c r="R46" s="432"/>
      <c r="S46" s="429">
        <v>41</v>
      </c>
      <c r="T46" s="430">
        <v>261.21399689000003</v>
      </c>
      <c r="U46" s="430">
        <v>271.23250496387476</v>
      </c>
      <c r="V46" s="431">
        <v>253.29600046600001</v>
      </c>
    </row>
    <row r="47" spans="1:23" ht="11.25" customHeight="1">
      <c r="A47" s="74"/>
      <c r="B47" s="73"/>
      <c r="C47" s="73"/>
      <c r="D47" s="73"/>
      <c r="E47" s="73"/>
      <c r="F47" s="73"/>
      <c r="G47" s="73"/>
      <c r="H47" s="73"/>
      <c r="I47" s="73"/>
      <c r="J47" s="11"/>
      <c r="K47" s="11"/>
      <c r="L47" s="11"/>
      <c r="N47" s="429">
        <v>42</v>
      </c>
      <c r="O47" s="430">
        <v>95.908996579999993</v>
      </c>
      <c r="P47" s="430">
        <v>59.261001586913999</v>
      </c>
      <c r="Q47" s="431">
        <v>100.61</v>
      </c>
      <c r="R47" s="432"/>
      <c r="S47" s="429">
        <v>42</v>
      </c>
      <c r="T47" s="430">
        <v>255.58900451</v>
      </c>
      <c r="U47" s="430">
        <v>256.27199935913058</v>
      </c>
      <c r="V47" s="431">
        <v>246.06</v>
      </c>
    </row>
    <row r="48" spans="1:23" ht="11.25" customHeight="1">
      <c r="A48" s="74"/>
      <c r="B48" s="73"/>
      <c r="C48" s="73"/>
      <c r="D48" s="73"/>
      <c r="E48" s="73"/>
      <c r="F48" s="73"/>
      <c r="G48" s="73"/>
      <c r="H48" s="73"/>
      <c r="I48" s="73"/>
      <c r="J48" s="11"/>
      <c r="K48" s="11"/>
      <c r="L48" s="11"/>
      <c r="N48" s="429">
        <v>43</v>
      </c>
      <c r="O48" s="430">
        <v>83.341003420000007</v>
      </c>
      <c r="P48" s="430">
        <v>47.749000549316399</v>
      </c>
      <c r="Q48" s="431">
        <v>95.484001160000005</v>
      </c>
      <c r="R48" s="432"/>
      <c r="S48" s="429">
        <v>43</v>
      </c>
      <c r="T48" s="430">
        <v>249.85500335</v>
      </c>
      <c r="U48" s="430">
        <v>249.67099761962871</v>
      </c>
      <c r="V48" s="431">
        <v>241.02699661899999</v>
      </c>
    </row>
    <row r="49" spans="1:22" ht="11.25" customHeight="1">
      <c r="A49" s="74"/>
      <c r="B49" s="73"/>
      <c r="C49" s="73"/>
      <c r="D49" s="73"/>
      <c r="E49" s="73"/>
      <c r="F49" s="73"/>
      <c r="G49" s="73"/>
      <c r="H49" s="73"/>
      <c r="I49" s="73"/>
      <c r="J49" s="11"/>
      <c r="K49" s="11"/>
      <c r="L49" s="11"/>
      <c r="N49" s="429">
        <v>44</v>
      </c>
      <c r="O49" s="430">
        <v>75.16</v>
      </c>
      <c r="P49" s="430">
        <v>38.424999239999998</v>
      </c>
      <c r="Q49" s="431">
        <v>89.581001279999995</v>
      </c>
      <c r="R49" s="432"/>
      <c r="S49" s="429">
        <v>44</v>
      </c>
      <c r="T49" s="430">
        <v>242.79000000000002</v>
      </c>
      <c r="U49" s="430">
        <v>249.67099761962871</v>
      </c>
      <c r="V49" s="431">
        <v>234.19399833099999</v>
      </c>
    </row>
    <row r="50" spans="1:22" ht="12.75">
      <c r="A50" s="74"/>
      <c r="B50" s="73"/>
      <c r="C50" s="73"/>
      <c r="D50" s="73"/>
      <c r="E50" s="73"/>
      <c r="F50" s="73"/>
      <c r="G50" s="73"/>
      <c r="H50" s="73"/>
      <c r="I50" s="73"/>
      <c r="J50" s="11"/>
      <c r="K50" s="11"/>
      <c r="L50" s="11"/>
      <c r="N50" s="429">
        <v>45</v>
      </c>
      <c r="O50" s="430">
        <v>65.149002080000002</v>
      </c>
      <c r="P50" s="430">
        <v>31.142000199999998</v>
      </c>
      <c r="Q50" s="431">
        <v>79.638999940000005</v>
      </c>
      <c r="R50" s="432"/>
      <c r="S50" s="429">
        <v>45</v>
      </c>
      <c r="T50" s="430">
        <v>235.60499572000001</v>
      </c>
      <c r="U50" s="430">
        <v>243.378839739</v>
      </c>
      <c r="V50" s="431">
        <v>228.64612817499997</v>
      </c>
    </row>
    <row r="51" spans="1:22" ht="12.75">
      <c r="A51" s="74"/>
      <c r="B51" s="73"/>
      <c r="C51" s="73"/>
      <c r="D51" s="73"/>
      <c r="E51" s="73"/>
      <c r="F51" s="73"/>
      <c r="G51" s="73"/>
      <c r="H51" s="73"/>
      <c r="I51" s="73"/>
      <c r="J51" s="11"/>
      <c r="K51" s="11"/>
      <c r="L51" s="11"/>
      <c r="N51" s="429">
        <v>46</v>
      </c>
      <c r="O51" s="430">
        <v>47.749000549999998</v>
      </c>
      <c r="P51" s="430">
        <v>22.26</v>
      </c>
      <c r="Q51" s="431">
        <v>80.049003600000006</v>
      </c>
      <c r="R51" s="432"/>
      <c r="S51" s="429">
        <v>46</v>
      </c>
      <c r="T51" s="430">
        <v>230.54900361099999</v>
      </c>
      <c r="U51" s="430">
        <v>236.34</v>
      </c>
      <c r="V51" s="431">
        <v>222.81199835999999</v>
      </c>
    </row>
    <row r="52" spans="1:22" ht="12.75">
      <c r="A52" s="74"/>
      <c r="B52" s="73"/>
      <c r="C52" s="73"/>
      <c r="D52" s="73"/>
      <c r="E52" s="73"/>
      <c r="F52" s="73"/>
      <c r="G52" s="73"/>
      <c r="H52" s="73"/>
      <c r="I52" s="73"/>
      <c r="J52" s="11"/>
      <c r="K52" s="11"/>
      <c r="L52" s="11"/>
      <c r="N52" s="429">
        <v>47</v>
      </c>
      <c r="O52" s="430">
        <v>34.763999939999998</v>
      </c>
      <c r="P52" s="430">
        <v>17.044000629999999</v>
      </c>
      <c r="Q52" s="431">
        <v>85.825996399999994</v>
      </c>
      <c r="R52" s="432"/>
      <c r="S52" s="429">
        <v>47</v>
      </c>
      <c r="T52" s="430">
        <v>223.60000467499998</v>
      </c>
      <c r="U52" s="430">
        <v>227.62000255999999</v>
      </c>
      <c r="V52" s="431">
        <v>216.31200409100001</v>
      </c>
    </row>
    <row r="53" spans="1:22" ht="12.75">
      <c r="A53" s="74"/>
      <c r="B53" s="73"/>
      <c r="C53" s="73"/>
      <c r="D53" s="73"/>
      <c r="E53" s="73"/>
      <c r="F53" s="73"/>
      <c r="G53" s="73"/>
      <c r="H53" s="73"/>
      <c r="I53" s="73"/>
      <c r="J53" s="11"/>
      <c r="K53" s="11"/>
      <c r="L53" s="11"/>
      <c r="N53" s="429">
        <v>48</v>
      </c>
      <c r="O53" s="430">
        <v>13.618000029999999</v>
      </c>
      <c r="P53" s="430">
        <v>36.5890007</v>
      </c>
      <c r="Q53" s="431">
        <v>77.596000669999995</v>
      </c>
      <c r="R53" s="432"/>
      <c r="S53" s="429">
        <v>48</v>
      </c>
      <c r="T53" s="430">
        <v>217.17600035300001</v>
      </c>
      <c r="U53" s="430">
        <v>220.01436420799999</v>
      </c>
      <c r="V53" s="431">
        <v>210.250997547</v>
      </c>
    </row>
    <row r="54" spans="1:22" ht="13.5">
      <c r="A54" s="74"/>
      <c r="B54" s="73"/>
      <c r="C54" s="73"/>
      <c r="D54" s="73"/>
      <c r="E54" s="73"/>
      <c r="F54" s="73"/>
      <c r="G54" s="73"/>
      <c r="H54" s="73"/>
      <c r="I54" s="73"/>
      <c r="J54" s="11"/>
      <c r="K54" s="11"/>
      <c r="L54" s="11"/>
      <c r="N54" s="429">
        <v>49</v>
      </c>
      <c r="O54" s="435">
        <v>8.5520000459999999</v>
      </c>
      <c r="P54" s="430">
        <v>36.590000000000003</v>
      </c>
      <c r="Q54" s="431">
        <v>54.613998410000001</v>
      </c>
      <c r="R54" s="432"/>
      <c r="S54" s="429">
        <v>49</v>
      </c>
      <c r="T54" s="430">
        <v>210.45100211699997</v>
      </c>
      <c r="U54" s="430">
        <v>212.37999999999997</v>
      </c>
      <c r="V54" s="431">
        <v>202.73299884100001</v>
      </c>
    </row>
    <row r="55" spans="1:22" ht="12.75">
      <c r="A55" s="74"/>
      <c r="B55" s="73"/>
      <c r="C55" s="73"/>
      <c r="D55" s="73"/>
      <c r="E55" s="73"/>
      <c r="F55" s="73"/>
      <c r="G55" s="73"/>
      <c r="H55" s="73"/>
      <c r="I55" s="73"/>
      <c r="J55" s="11"/>
      <c r="K55" s="11"/>
      <c r="L55" s="11"/>
      <c r="N55" s="429">
        <v>50</v>
      </c>
      <c r="O55" s="430">
        <v>13.618000029999999</v>
      </c>
      <c r="P55" s="430">
        <v>34.763999939999998</v>
      </c>
      <c r="Q55" s="431">
        <v>64.358001709999996</v>
      </c>
      <c r="R55" s="432"/>
      <c r="S55" s="429">
        <v>50</v>
      </c>
      <c r="T55" s="430">
        <v>203.37099885499998</v>
      </c>
      <c r="U55" s="430">
        <v>205.46782675599999</v>
      </c>
      <c r="V55" s="431">
        <v>195.51400422099999</v>
      </c>
    </row>
    <row r="56" spans="1:22" ht="12.75">
      <c r="A56" s="74"/>
      <c r="B56" s="73"/>
      <c r="C56" s="73"/>
      <c r="D56" s="73"/>
      <c r="E56" s="73"/>
      <c r="F56" s="73"/>
      <c r="G56" s="73"/>
      <c r="H56" s="73"/>
      <c r="I56" s="73"/>
      <c r="J56" s="11"/>
      <c r="K56" s="11"/>
      <c r="L56" s="11"/>
      <c r="N56" s="429">
        <v>51</v>
      </c>
      <c r="O56" s="430">
        <v>18.771999359999999</v>
      </c>
      <c r="P56" s="430">
        <v>38.4</v>
      </c>
      <c r="Q56" s="431">
        <v>80.049003600000006</v>
      </c>
      <c r="R56" s="432"/>
      <c r="S56" s="429">
        <v>51</v>
      </c>
      <c r="T56" s="430">
        <v>202.35899971500001</v>
      </c>
      <c r="U56" s="430">
        <v>199</v>
      </c>
      <c r="V56" s="431">
        <v>188.995997891</v>
      </c>
    </row>
    <row r="57" spans="1:22" ht="12.75">
      <c r="A57" s="74"/>
      <c r="B57" s="73"/>
      <c r="C57" s="73"/>
      <c r="D57" s="73"/>
      <c r="E57" s="73"/>
      <c r="F57" s="73"/>
      <c r="G57" s="73"/>
      <c r="H57" s="73"/>
      <c r="I57" s="73"/>
      <c r="N57" s="429">
        <v>52</v>
      </c>
      <c r="O57" s="430">
        <v>25.781999590000002</v>
      </c>
      <c r="P57" s="430">
        <v>59.261001589999999</v>
      </c>
      <c r="Q57" s="431">
        <v>108.82900239999999</v>
      </c>
      <c r="R57" s="432"/>
      <c r="S57" s="429">
        <v>52</v>
      </c>
      <c r="T57" s="430">
        <v>201.25199794899999</v>
      </c>
      <c r="U57" s="430">
        <v>192.88799664499999</v>
      </c>
      <c r="V57" s="431">
        <v>184.65400219100002</v>
      </c>
    </row>
    <row r="58" spans="1:22" ht="12.75">
      <c r="A58" s="74"/>
      <c r="B58" s="73"/>
      <c r="C58" s="73"/>
      <c r="D58" s="73"/>
      <c r="E58" s="73"/>
      <c r="F58" s="73"/>
      <c r="G58" s="73"/>
      <c r="H58" s="73"/>
      <c r="I58" s="73"/>
      <c r="N58" s="429">
        <v>53</v>
      </c>
      <c r="O58" s="432"/>
      <c r="P58" s="432"/>
      <c r="Q58" s="432">
        <v>140.34500120000001</v>
      </c>
      <c r="R58" s="432"/>
      <c r="S58" s="429">
        <v>53</v>
      </c>
      <c r="T58" s="430"/>
      <c r="U58" s="430"/>
      <c r="V58" s="431"/>
    </row>
    <row r="59" spans="1:22" ht="12.75">
      <c r="B59" s="73"/>
      <c r="C59" s="73"/>
      <c r="D59" s="73"/>
      <c r="E59" s="73"/>
      <c r="F59" s="73"/>
      <c r="G59" s="73"/>
      <c r="H59" s="73"/>
      <c r="I59" s="73"/>
    </row>
    <row r="60" spans="1:22" ht="12.75">
      <c r="A60" s="74"/>
      <c r="B60" s="73"/>
      <c r="C60" s="73"/>
      <c r="D60" s="73"/>
      <c r="E60" s="73"/>
      <c r="F60" s="73"/>
      <c r="G60" s="73"/>
      <c r="H60" s="73"/>
      <c r="I60" s="73"/>
    </row>
    <row r="63" spans="1:22">
      <c r="A63" s="267" t="s">
        <v>474</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31"/>
  <sheetViews>
    <sheetView showGridLines="0" view="pageBreakPreview" zoomScaleNormal="100" zoomScaleSheetLayoutView="100" zoomScalePageLayoutView="130" workbookViewId="0">
      <selection activeCell="N25" sqref="N25"/>
    </sheetView>
  </sheetViews>
  <sheetFormatPr defaultColWidth="9.33203125" defaultRowHeight="11.25"/>
  <cols>
    <col min="3" max="3" width="28.5" customWidth="1"/>
    <col min="4" max="5" width="12" customWidth="1"/>
    <col min="6" max="6" width="12.33203125" customWidth="1"/>
    <col min="8" max="9" width="9.33203125" customWidth="1"/>
    <col min="10" max="10" width="9.33203125" style="111"/>
    <col min="11" max="11" width="9.33203125" style="432"/>
    <col min="12" max="12" width="3.1640625" style="846" bestFit="1" customWidth="1"/>
    <col min="13" max="16" width="9.33203125" style="432"/>
    <col min="17" max="21" width="9.33203125" style="423"/>
  </cols>
  <sheetData>
    <row r="1" spans="1:15" ht="11.25" customHeight="1"/>
    <row r="2" spans="1:15" ht="11.25" customHeight="1">
      <c r="A2" s="17"/>
      <c r="B2" s="17"/>
      <c r="C2" s="17"/>
      <c r="D2" s="17"/>
      <c r="E2" s="73"/>
      <c r="F2" s="73"/>
      <c r="G2" s="73"/>
    </row>
    <row r="3" spans="1:15" ht="17.25" customHeight="1">
      <c r="A3" s="967" t="s">
        <v>384</v>
      </c>
      <c r="B3" s="967"/>
      <c r="C3" s="967"/>
      <c r="D3" s="967"/>
      <c r="E3" s="967"/>
      <c r="F3" s="967"/>
      <c r="G3" s="967"/>
      <c r="H3" s="36"/>
      <c r="I3" s="36"/>
      <c r="K3" s="432" t="s">
        <v>262</v>
      </c>
      <c r="M3" s="432" t="s">
        <v>263</v>
      </c>
      <c r="N3" s="432" t="s">
        <v>264</v>
      </c>
      <c r="O3" s="432" t="s">
        <v>265</v>
      </c>
    </row>
    <row r="4" spans="1:15" ht="11.25" customHeight="1">
      <c r="A4" s="74"/>
      <c r="B4" s="73"/>
      <c r="C4" s="73"/>
      <c r="D4" s="73"/>
      <c r="E4" s="73"/>
      <c r="F4" s="73"/>
      <c r="G4" s="73"/>
      <c r="H4" s="36"/>
      <c r="I4" s="36"/>
      <c r="J4" s="111">
        <v>2017</v>
      </c>
      <c r="K4" s="432">
        <v>1</v>
      </c>
      <c r="L4" s="846">
        <v>1</v>
      </c>
      <c r="M4" s="847">
        <v>41.55</v>
      </c>
      <c r="N4" s="847">
        <v>103.58</v>
      </c>
      <c r="O4" s="847">
        <v>29.67</v>
      </c>
    </row>
    <row r="5" spans="1:15" ht="11.25" customHeight="1">
      <c r="A5" s="74"/>
      <c r="B5" s="73"/>
      <c r="C5" s="73"/>
      <c r="D5" s="73"/>
      <c r="E5" s="73"/>
      <c r="F5" s="73"/>
      <c r="G5" s="73"/>
      <c r="H5" s="12"/>
      <c r="I5" s="12"/>
      <c r="L5" s="846">
        <v>2</v>
      </c>
      <c r="M5" s="847">
        <v>39.6</v>
      </c>
      <c r="N5" s="847">
        <v>105.01</v>
      </c>
      <c r="O5" s="847">
        <v>51.2</v>
      </c>
    </row>
    <row r="6" spans="1:15" ht="29.25" customHeight="1">
      <c r="A6" s="136"/>
      <c r="C6" s="484" t="s">
        <v>146</v>
      </c>
      <c r="D6" s="487" t="str">
        <f>UPPER('1. Resumen'!Q4)&amp;"
 "&amp;'1. Resumen'!Q5</f>
        <v>AGOSTO
 2020</v>
      </c>
      <c r="E6" s="488" t="str">
        <f>UPPER('1. Resumen'!Q4)&amp;"
 "&amp;'1. Resumen'!Q5-1</f>
        <v>AGOSTO
 2019</v>
      </c>
      <c r="F6" s="489" t="s">
        <v>442</v>
      </c>
      <c r="G6" s="138"/>
      <c r="H6" s="24"/>
      <c r="I6" s="12"/>
      <c r="L6" s="846">
        <v>3</v>
      </c>
      <c r="M6" s="847">
        <v>73.650000000000006</v>
      </c>
      <c r="N6" s="847">
        <v>137.41</v>
      </c>
      <c r="O6" s="847">
        <v>43.26</v>
      </c>
    </row>
    <row r="7" spans="1:15" ht="11.25" customHeight="1">
      <c r="A7" s="174"/>
      <c r="C7" s="545" t="s">
        <v>147</v>
      </c>
      <c r="D7" s="546">
        <v>7.4345484239999999</v>
      </c>
      <c r="E7" s="766">
        <v>5.8736451980000002</v>
      </c>
      <c r="F7" s="547">
        <f>IF(E7=0,"",(D7-E7)/E7)</f>
        <v>0.26574693795455906</v>
      </c>
      <c r="G7" s="138"/>
      <c r="H7" s="25"/>
      <c r="I7" s="3"/>
      <c r="K7" s="432">
        <v>4</v>
      </c>
      <c r="L7" s="846">
        <v>4</v>
      </c>
      <c r="M7" s="847">
        <v>65.03</v>
      </c>
      <c r="N7" s="847">
        <v>127.83</v>
      </c>
      <c r="O7" s="847">
        <v>32.72</v>
      </c>
    </row>
    <row r="8" spans="1:15" ht="11.25" customHeight="1">
      <c r="A8" s="174"/>
      <c r="C8" s="548" t="s">
        <v>153</v>
      </c>
      <c r="D8" s="549">
        <v>6.7199999589999999</v>
      </c>
      <c r="E8" s="549">
        <v>6.2560645380000004</v>
      </c>
      <c r="F8" s="550">
        <f t="shared" ref="F8:F30" si="0">IF(E8=0,"",(D8-E8)/E8)</f>
        <v>7.4157710199760002E-2</v>
      </c>
      <c r="G8" s="138"/>
      <c r="H8" s="23"/>
      <c r="I8" s="3"/>
      <c r="L8" s="846">
        <v>5</v>
      </c>
      <c r="M8" s="847">
        <v>56.95</v>
      </c>
      <c r="N8" s="847">
        <v>97.31</v>
      </c>
      <c r="O8" s="847">
        <v>48.46</v>
      </c>
    </row>
    <row r="9" spans="1:15" ht="11.25" customHeight="1">
      <c r="A9" s="174"/>
      <c r="C9" s="551" t="s">
        <v>154</v>
      </c>
      <c r="D9" s="552">
        <v>22.6572903</v>
      </c>
      <c r="E9" s="552">
        <v>21.382967799999999</v>
      </c>
      <c r="F9" s="553">
        <f t="shared" si="0"/>
        <v>5.9595212036001863E-2</v>
      </c>
      <c r="G9" s="138"/>
      <c r="H9" s="25"/>
      <c r="I9" s="3"/>
      <c r="L9" s="846">
        <v>6</v>
      </c>
      <c r="M9" s="847">
        <v>61.87</v>
      </c>
      <c r="N9" s="847">
        <v>123.44</v>
      </c>
      <c r="O9" s="847">
        <v>72.52</v>
      </c>
    </row>
    <row r="10" spans="1:15" ht="11.25" customHeight="1">
      <c r="A10" s="174"/>
      <c r="C10" s="548" t="s">
        <v>161</v>
      </c>
      <c r="D10" s="549">
        <v>29.46296766</v>
      </c>
      <c r="E10" s="549">
        <v>26.760161249999999</v>
      </c>
      <c r="F10" s="550">
        <f t="shared" si="0"/>
        <v>0.10100112569388948</v>
      </c>
      <c r="G10" s="138"/>
      <c r="H10" s="25"/>
      <c r="I10" s="3"/>
      <c r="L10" s="846">
        <v>7</v>
      </c>
      <c r="M10" s="847">
        <v>77.569999999999993</v>
      </c>
      <c r="N10" s="847">
        <v>145.02000000000001</v>
      </c>
      <c r="O10" s="847">
        <v>59.16</v>
      </c>
    </row>
    <row r="11" spans="1:15" ht="11.25" customHeight="1">
      <c r="A11" s="174"/>
      <c r="C11" s="551" t="s">
        <v>162</v>
      </c>
      <c r="D11" s="552">
        <v>8.0404193940000006</v>
      </c>
      <c r="E11" s="552">
        <v>5.7358064649999996</v>
      </c>
      <c r="F11" s="553">
        <f t="shared" si="0"/>
        <v>0.40179405338426133</v>
      </c>
      <c r="G11" s="138"/>
      <c r="H11" s="25"/>
      <c r="I11" s="3"/>
      <c r="K11" s="432">
        <v>8</v>
      </c>
      <c r="L11" s="846">
        <v>8</v>
      </c>
      <c r="M11" s="847">
        <v>86.94</v>
      </c>
      <c r="N11" s="847">
        <v>175.03</v>
      </c>
      <c r="O11" s="847">
        <v>24.36</v>
      </c>
    </row>
    <row r="12" spans="1:15" ht="11.25" customHeight="1">
      <c r="A12" s="174"/>
      <c r="C12" s="548" t="s">
        <v>164</v>
      </c>
      <c r="D12" s="549">
        <v>1.0749677360000001</v>
      </c>
      <c r="E12" s="549">
        <v>1.6530000090000001</v>
      </c>
      <c r="F12" s="550">
        <f t="shared" si="0"/>
        <v>-0.34968679361937016</v>
      </c>
      <c r="G12" s="138"/>
      <c r="H12" s="25"/>
      <c r="I12" s="3"/>
      <c r="L12" s="846">
        <v>9</v>
      </c>
      <c r="M12" s="847">
        <v>85.13</v>
      </c>
      <c r="N12" s="847">
        <v>206.14</v>
      </c>
      <c r="O12" s="847">
        <v>39.07</v>
      </c>
    </row>
    <row r="13" spans="1:15" ht="11.25" customHeight="1">
      <c r="A13" s="174"/>
      <c r="C13" s="551" t="s">
        <v>152</v>
      </c>
      <c r="D13" s="552">
        <v>9.7963709677419359</v>
      </c>
      <c r="E13" s="552">
        <v>11.722222222222221</v>
      </c>
      <c r="F13" s="553">
        <f t="shared" si="0"/>
        <v>-0.16429062834428976</v>
      </c>
      <c r="G13" s="138"/>
      <c r="H13" s="23"/>
      <c r="I13" s="3"/>
      <c r="L13" s="846">
        <v>10</v>
      </c>
      <c r="M13" s="847">
        <v>84.78</v>
      </c>
      <c r="N13" s="847">
        <v>270.17</v>
      </c>
      <c r="O13" s="847">
        <v>109.16</v>
      </c>
    </row>
    <row r="14" spans="1:15" ht="11.25" customHeight="1">
      <c r="A14" s="174"/>
      <c r="C14" s="548" t="s">
        <v>253</v>
      </c>
      <c r="D14" s="549">
        <v>22.321351880000002</v>
      </c>
      <c r="E14" s="549">
        <v>18.720081610000001</v>
      </c>
      <c r="F14" s="550">
        <f t="shared" si="0"/>
        <v>0.19237470995191885</v>
      </c>
      <c r="G14" s="138"/>
      <c r="H14" s="25"/>
      <c r="I14" s="3"/>
      <c r="L14" s="846">
        <v>11</v>
      </c>
      <c r="M14" s="847">
        <v>84.78</v>
      </c>
      <c r="N14" s="847">
        <v>376.42</v>
      </c>
      <c r="O14" s="847">
        <v>188.18</v>
      </c>
    </row>
    <row r="15" spans="1:15" ht="11.25" customHeight="1">
      <c r="A15" s="174"/>
      <c r="C15" s="551" t="s">
        <v>254</v>
      </c>
      <c r="D15" s="552">
        <v>37.63677388</v>
      </c>
      <c r="E15" s="552">
        <v>36.354999669999998</v>
      </c>
      <c r="F15" s="553">
        <f t="shared" si="0"/>
        <v>3.5257164671568315E-2</v>
      </c>
      <c r="G15" s="138"/>
      <c r="H15" s="25"/>
      <c r="I15" s="3"/>
      <c r="K15" s="432">
        <v>12</v>
      </c>
      <c r="L15" s="846">
        <v>12</v>
      </c>
      <c r="M15" s="847">
        <v>106.16</v>
      </c>
      <c r="N15" s="847">
        <v>351.57</v>
      </c>
      <c r="O15" s="847">
        <v>159.6</v>
      </c>
    </row>
    <row r="16" spans="1:15" ht="11.25" customHeight="1">
      <c r="A16" s="174"/>
      <c r="C16" s="548" t="s">
        <v>159</v>
      </c>
      <c r="D16" s="549">
        <v>11.106387140000001</v>
      </c>
      <c r="E16" s="549">
        <v>12.318709589999999</v>
      </c>
      <c r="F16" s="550">
        <f t="shared" si="0"/>
        <v>-9.8413104160206002E-2</v>
      </c>
      <c r="G16" s="138"/>
      <c r="H16" s="25"/>
      <c r="I16" s="3"/>
      <c r="L16" s="846">
        <v>13</v>
      </c>
      <c r="M16" s="847">
        <v>101.71</v>
      </c>
      <c r="N16" s="847">
        <v>384.37</v>
      </c>
      <c r="O16" s="847">
        <v>161.77000000000001</v>
      </c>
    </row>
    <row r="17" spans="1:17" ht="11.25" customHeight="1">
      <c r="A17" s="174"/>
      <c r="C17" s="551" t="s">
        <v>163</v>
      </c>
      <c r="D17" s="552">
        <v>7.1780645620000003</v>
      </c>
      <c r="E17" s="552">
        <v>8.1331613449999995</v>
      </c>
      <c r="F17" s="553">
        <f t="shared" si="0"/>
        <v>-0.11743241557443851</v>
      </c>
      <c r="G17" s="138"/>
      <c r="H17" s="25"/>
      <c r="I17" s="3"/>
      <c r="L17" s="846">
        <v>14</v>
      </c>
      <c r="M17" s="847">
        <v>83.1</v>
      </c>
      <c r="N17" s="847">
        <v>337.84</v>
      </c>
      <c r="O17" s="847">
        <v>115.43</v>
      </c>
    </row>
    <row r="18" spans="1:17" ht="11.25" customHeight="1">
      <c r="A18" s="174"/>
      <c r="C18" s="548" t="s">
        <v>255</v>
      </c>
      <c r="D18" s="549">
        <v>11.97947484</v>
      </c>
      <c r="E18" s="549">
        <v>12.20868812</v>
      </c>
      <c r="F18" s="550">
        <f t="shared" si="0"/>
        <v>-1.8774603605813116E-2</v>
      </c>
      <c r="G18" s="138"/>
      <c r="H18" s="25"/>
      <c r="I18" s="3"/>
      <c r="L18" s="846">
        <v>15</v>
      </c>
      <c r="M18" s="847">
        <v>61.23</v>
      </c>
      <c r="N18" s="847">
        <v>282.32</v>
      </c>
      <c r="O18" s="847">
        <v>98.92</v>
      </c>
    </row>
    <row r="19" spans="1:17" ht="11.25" customHeight="1">
      <c r="A19" s="174"/>
      <c r="C19" s="551" t="s">
        <v>256</v>
      </c>
      <c r="D19" s="552">
        <v>13.230442459677423</v>
      </c>
      <c r="E19" s="552">
        <v>12.873187111111095</v>
      </c>
      <c r="F19" s="553">
        <f t="shared" si="0"/>
        <v>2.7751895896702548E-2</v>
      </c>
      <c r="G19" s="138"/>
      <c r="H19" s="25"/>
      <c r="I19" s="3"/>
      <c r="K19" s="432">
        <v>16</v>
      </c>
      <c r="L19" s="846">
        <v>16</v>
      </c>
      <c r="M19" s="847">
        <v>49.8</v>
      </c>
      <c r="N19" s="847">
        <v>191.65</v>
      </c>
      <c r="O19" s="847">
        <v>82.48</v>
      </c>
      <c r="Q19" s="730"/>
    </row>
    <row r="20" spans="1:17" ht="11.25" customHeight="1">
      <c r="A20" s="174"/>
      <c r="C20" s="548" t="s">
        <v>257</v>
      </c>
      <c r="D20" s="549">
        <v>1.4323870869999999</v>
      </c>
      <c r="E20" s="549">
        <v>1.454258069</v>
      </c>
      <c r="F20" s="550">
        <f t="shared" si="0"/>
        <v>-1.503927154761418E-2</v>
      </c>
      <c r="G20" s="138"/>
      <c r="H20" s="25"/>
      <c r="I20" s="3"/>
      <c r="L20" s="846">
        <v>17</v>
      </c>
      <c r="M20" s="847">
        <v>40.21</v>
      </c>
      <c r="N20" s="847">
        <v>160.35</v>
      </c>
      <c r="O20" s="847">
        <v>77.02</v>
      </c>
    </row>
    <row r="21" spans="1:17" ht="11.25" customHeight="1">
      <c r="A21" s="174"/>
      <c r="C21" s="551" t="s">
        <v>150</v>
      </c>
      <c r="D21" s="552">
        <v>94.614226310000006</v>
      </c>
      <c r="E21" s="552">
        <v>96.668386639999994</v>
      </c>
      <c r="F21" s="553">
        <f t="shared" si="0"/>
        <v>-2.1249556358583166E-2</v>
      </c>
      <c r="G21" s="138"/>
      <c r="H21" s="25"/>
      <c r="I21" s="3"/>
      <c r="L21" s="846">
        <v>18</v>
      </c>
      <c r="M21" s="847">
        <v>43.46</v>
      </c>
      <c r="N21" s="847">
        <v>136.65</v>
      </c>
      <c r="O21" s="847">
        <v>62.63</v>
      </c>
    </row>
    <row r="22" spans="1:17" ht="11.25" customHeight="1">
      <c r="A22" s="174"/>
      <c r="C22" s="548" t="s">
        <v>148</v>
      </c>
      <c r="D22" s="549">
        <v>4.9166129170000001</v>
      </c>
      <c r="E22" s="549">
        <v>2.778225806</v>
      </c>
      <c r="F22" s="550">
        <f t="shared" si="0"/>
        <v>0.76969521569550925</v>
      </c>
      <c r="G22" s="138"/>
      <c r="H22" s="25"/>
      <c r="I22" s="3"/>
      <c r="L22" s="846">
        <v>19</v>
      </c>
      <c r="M22" s="847">
        <v>35.65</v>
      </c>
      <c r="N22" s="847">
        <v>135.97</v>
      </c>
      <c r="O22" s="847">
        <v>93.03</v>
      </c>
    </row>
    <row r="23" spans="1:17" ht="11.25" customHeight="1">
      <c r="A23" s="174"/>
      <c r="C23" s="551" t="s">
        <v>149</v>
      </c>
      <c r="D23" s="552">
        <v>18.35687034</v>
      </c>
      <c r="E23" s="552">
        <v>19.056999210000001</v>
      </c>
      <c r="F23" s="553">
        <f t="shared" si="0"/>
        <v>-3.6738673402085968E-2</v>
      </c>
      <c r="G23" s="138"/>
      <c r="H23" s="25"/>
      <c r="I23" s="3"/>
      <c r="K23" s="432">
        <v>20</v>
      </c>
      <c r="L23" s="846">
        <v>20</v>
      </c>
      <c r="M23" s="847">
        <v>26.22</v>
      </c>
      <c r="N23" s="847">
        <v>135.66</v>
      </c>
      <c r="O23" s="847">
        <v>72.349999999999994</v>
      </c>
    </row>
    <row r="24" spans="1:17" ht="11.25" customHeight="1">
      <c r="A24" s="174"/>
      <c r="C24" s="548" t="s">
        <v>165</v>
      </c>
      <c r="D24" s="549">
        <v>6.1078064149999998</v>
      </c>
      <c r="E24" s="549">
        <v>9.9085483700000001</v>
      </c>
      <c r="F24" s="550">
        <f t="shared" si="0"/>
        <v>-0.38358211647908624</v>
      </c>
      <c r="G24" s="138"/>
      <c r="H24" s="26"/>
      <c r="I24" s="3"/>
      <c r="L24" s="846">
        <v>21</v>
      </c>
      <c r="M24" s="847">
        <v>27.95</v>
      </c>
      <c r="N24" s="847">
        <v>113.82</v>
      </c>
      <c r="O24" s="847">
        <v>90.75</v>
      </c>
    </row>
    <row r="25" spans="1:17" ht="11.25" customHeight="1">
      <c r="A25" s="138"/>
      <c r="C25" s="551" t="s">
        <v>155</v>
      </c>
      <c r="D25" s="552">
        <v>10.96924782</v>
      </c>
      <c r="E25" s="552">
        <v>14.56332914</v>
      </c>
      <c r="F25" s="553">
        <f t="shared" si="0"/>
        <v>-0.24678981608184683</v>
      </c>
      <c r="G25" s="158"/>
      <c r="H25" s="25"/>
      <c r="I25" s="3"/>
      <c r="L25" s="846">
        <v>22</v>
      </c>
      <c r="M25" s="847">
        <v>32.409999999999997</v>
      </c>
      <c r="N25" s="847">
        <v>64.03</v>
      </c>
      <c r="O25" s="847">
        <v>53.02</v>
      </c>
    </row>
    <row r="26" spans="1:17" ht="11.25" customHeight="1">
      <c r="A26" s="175"/>
      <c r="C26" s="548" t="s">
        <v>156</v>
      </c>
      <c r="D26" s="549">
        <v>4.0360645560000004</v>
      </c>
      <c r="E26" s="549">
        <v>2.523967743</v>
      </c>
      <c r="F26" s="550">
        <f t="shared" si="0"/>
        <v>0.59909514184310253</v>
      </c>
      <c r="G26" s="138"/>
      <c r="H26" s="23"/>
      <c r="I26" s="3"/>
      <c r="L26" s="846">
        <v>23</v>
      </c>
      <c r="M26" s="847">
        <v>28.93</v>
      </c>
      <c r="N26" s="847">
        <v>53.15</v>
      </c>
      <c r="O26" s="847">
        <v>32.43</v>
      </c>
    </row>
    <row r="27" spans="1:17" ht="11.25" customHeight="1">
      <c r="A27" s="138"/>
      <c r="C27" s="551" t="s">
        <v>157</v>
      </c>
      <c r="D27" s="552">
        <v>0.149774197</v>
      </c>
      <c r="E27" s="552">
        <v>0.14948386999999999</v>
      </c>
      <c r="F27" s="553">
        <f t="shared" si="0"/>
        <v>1.9421961713996761E-3</v>
      </c>
      <c r="G27" s="138"/>
      <c r="H27" s="23"/>
      <c r="I27" s="3"/>
      <c r="K27" s="432">
        <v>24</v>
      </c>
      <c r="L27" s="846">
        <v>24</v>
      </c>
      <c r="M27" s="847">
        <v>26.59</v>
      </c>
      <c r="N27" s="847">
        <v>45.98</v>
      </c>
      <c r="O27" s="847">
        <v>27.75</v>
      </c>
    </row>
    <row r="28" spans="1:17" ht="11.25" customHeight="1">
      <c r="A28" s="138"/>
      <c r="C28" s="548" t="s">
        <v>158</v>
      </c>
      <c r="D28" s="549">
        <v>0</v>
      </c>
      <c r="E28" s="549">
        <v>0</v>
      </c>
      <c r="F28" s="550" t="str">
        <f t="shared" si="0"/>
        <v/>
      </c>
      <c r="G28" s="138"/>
      <c r="H28" s="23"/>
      <c r="I28" s="3"/>
      <c r="L28" s="846">
        <v>25</v>
      </c>
      <c r="M28" s="847">
        <v>23.61</v>
      </c>
      <c r="N28" s="847">
        <v>38.68</v>
      </c>
      <c r="O28" s="847">
        <v>24.81</v>
      </c>
    </row>
    <row r="29" spans="1:17" ht="11.25" customHeight="1">
      <c r="A29" s="158"/>
      <c r="C29" s="551" t="s">
        <v>160</v>
      </c>
      <c r="D29" s="552">
        <v>4.1307161240000001</v>
      </c>
      <c r="E29" s="552">
        <v>4.317895482</v>
      </c>
      <c r="F29" s="553">
        <f t="shared" si="0"/>
        <v>-4.3349673186924967E-2</v>
      </c>
      <c r="G29" s="176"/>
      <c r="H29" s="23"/>
      <c r="I29" s="3"/>
      <c r="L29" s="846">
        <v>26</v>
      </c>
      <c r="M29" s="847">
        <v>24.94</v>
      </c>
      <c r="N29" s="847">
        <v>34.68</v>
      </c>
      <c r="O29" s="847">
        <v>21.81</v>
      </c>
    </row>
    <row r="30" spans="1:17" ht="11.25" customHeight="1">
      <c r="A30" s="175"/>
      <c r="C30" s="554" t="s">
        <v>151</v>
      </c>
      <c r="D30" s="555">
        <v>5.684811827956989</v>
      </c>
      <c r="E30" s="555">
        <v>4.5666666666666664</v>
      </c>
      <c r="F30" s="556">
        <f t="shared" si="0"/>
        <v>0.24484930539204144</v>
      </c>
      <c r="G30" s="138"/>
      <c r="H30" s="25"/>
      <c r="I30" s="3"/>
      <c r="L30" s="846">
        <v>27</v>
      </c>
      <c r="M30" s="847">
        <v>25.54</v>
      </c>
      <c r="N30" s="847">
        <v>31.72</v>
      </c>
      <c r="O30" s="847">
        <v>18.649999999999999</v>
      </c>
    </row>
    <row r="31" spans="1:17" ht="11.25" customHeight="1">
      <c r="A31" s="137"/>
      <c r="C31" s="268" t="str">
        <f>"Cuadro N°10: Promedio de caudales en "&amp;'1. Resumen'!Q4</f>
        <v>Cuadro N°10: Promedio de caudales en agosto</v>
      </c>
      <c r="D31" s="137"/>
      <c r="E31" s="137"/>
      <c r="F31" s="137"/>
      <c r="G31" s="137"/>
      <c r="H31" s="25"/>
      <c r="I31" s="6"/>
      <c r="K31" s="432">
        <v>28</v>
      </c>
      <c r="L31" s="846">
        <v>28</v>
      </c>
      <c r="M31" s="847">
        <v>23.56</v>
      </c>
      <c r="N31" s="847">
        <v>29.25</v>
      </c>
      <c r="O31" s="847">
        <v>14.27</v>
      </c>
    </row>
    <row r="32" spans="1:17" ht="11.25" customHeight="1">
      <c r="A32" s="137"/>
      <c r="B32" s="137"/>
      <c r="C32" s="137"/>
      <c r="D32" s="137"/>
      <c r="E32" s="137"/>
      <c r="F32" s="137"/>
      <c r="G32" s="137"/>
      <c r="H32" s="25"/>
      <c r="I32" s="6"/>
      <c r="L32" s="846">
        <v>29</v>
      </c>
      <c r="M32" s="847">
        <v>22.4</v>
      </c>
      <c r="N32" s="847">
        <v>29.53</v>
      </c>
      <c r="O32" s="847">
        <v>11.51</v>
      </c>
    </row>
    <row r="33" spans="1:15" ht="11.25" customHeight="1">
      <c r="A33" s="137"/>
      <c r="B33" s="137"/>
      <c r="C33" s="137"/>
      <c r="D33" s="137"/>
      <c r="E33" s="137"/>
      <c r="F33" s="137"/>
      <c r="G33" s="137"/>
      <c r="H33" s="25"/>
      <c r="I33" s="6"/>
      <c r="L33" s="846">
        <v>30</v>
      </c>
      <c r="M33" s="847">
        <v>21.29</v>
      </c>
      <c r="N33" s="847">
        <v>27.62</v>
      </c>
      <c r="O33" s="847">
        <v>9.7200000000000006</v>
      </c>
    </row>
    <row r="34" spans="1:15" ht="11.25" customHeight="1">
      <c r="A34" s="137"/>
      <c r="B34" s="137"/>
      <c r="C34" s="137"/>
      <c r="D34" s="137"/>
      <c r="E34" s="137"/>
      <c r="F34" s="137"/>
      <c r="G34" s="137"/>
      <c r="H34" s="25"/>
      <c r="I34" s="6"/>
      <c r="L34" s="846">
        <v>31</v>
      </c>
      <c r="M34" s="847">
        <v>19.34</v>
      </c>
      <c r="N34" s="847">
        <v>27.99</v>
      </c>
      <c r="O34" s="847">
        <v>8.09</v>
      </c>
    </row>
    <row r="35" spans="1:15" ht="17.25" customHeight="1">
      <c r="A35" s="967" t="s">
        <v>385</v>
      </c>
      <c r="B35" s="967"/>
      <c r="C35" s="967"/>
      <c r="D35" s="967"/>
      <c r="E35" s="967"/>
      <c r="F35" s="967"/>
      <c r="G35" s="967"/>
      <c r="H35" s="25"/>
      <c r="I35" s="6"/>
      <c r="K35" s="432">
        <v>32</v>
      </c>
      <c r="L35" s="846">
        <v>32</v>
      </c>
      <c r="M35" s="847">
        <v>19.649999999999999</v>
      </c>
      <c r="N35" s="847">
        <v>31.42</v>
      </c>
      <c r="O35" s="847">
        <v>7.62</v>
      </c>
    </row>
    <row r="36" spans="1:15" ht="11.25" customHeight="1">
      <c r="A36" s="137"/>
      <c r="B36" s="137"/>
      <c r="C36" s="137"/>
      <c r="D36" s="137"/>
      <c r="E36" s="137"/>
      <c r="F36" s="137"/>
      <c r="G36" s="137"/>
      <c r="H36" s="25"/>
      <c r="I36" s="6"/>
      <c r="L36" s="846">
        <v>33</v>
      </c>
      <c r="M36" s="847">
        <v>18.420000000000002</v>
      </c>
      <c r="N36" s="847">
        <v>29.71</v>
      </c>
      <c r="O36" s="847">
        <v>9.5500000000000007</v>
      </c>
    </row>
    <row r="37" spans="1:15" ht="11.25" customHeight="1">
      <c r="A37" s="136"/>
      <c r="B37" s="138"/>
      <c r="C37" s="138"/>
      <c r="D37" s="138"/>
      <c r="E37" s="138"/>
      <c r="F37" s="138"/>
      <c r="G37" s="138"/>
      <c r="H37" s="26"/>
      <c r="I37" s="6"/>
      <c r="L37" s="846">
        <v>34</v>
      </c>
      <c r="M37" s="847">
        <v>17.170000000000002</v>
      </c>
      <c r="N37" s="847">
        <v>30.51</v>
      </c>
      <c r="O37" s="847">
        <v>10.75</v>
      </c>
    </row>
    <row r="38" spans="1:15" ht="11.25" customHeight="1">
      <c r="A38" s="74"/>
      <c r="B38" s="73"/>
      <c r="C38" s="73"/>
      <c r="D38" s="73"/>
      <c r="E38" s="73"/>
      <c r="F38" s="73"/>
      <c r="G38" s="73"/>
      <c r="H38" s="3"/>
      <c r="I38" s="6"/>
      <c r="L38" s="846">
        <v>35</v>
      </c>
      <c r="M38" s="847">
        <v>17.47</v>
      </c>
      <c r="N38" s="847">
        <v>27.5</v>
      </c>
      <c r="O38" s="847">
        <v>8.31</v>
      </c>
    </row>
    <row r="39" spans="1:15" ht="11.25" customHeight="1">
      <c r="A39" s="74"/>
      <c r="B39" s="73"/>
      <c r="C39" s="73"/>
      <c r="D39" s="73"/>
      <c r="E39" s="73"/>
      <c r="F39" s="73"/>
      <c r="G39" s="73"/>
      <c r="H39" s="3"/>
      <c r="I39" s="10"/>
      <c r="K39" s="432">
        <v>36</v>
      </c>
      <c r="L39" s="846">
        <v>36</v>
      </c>
      <c r="M39" s="847">
        <v>13.42</v>
      </c>
      <c r="N39" s="847">
        <v>26.21</v>
      </c>
      <c r="O39" s="847">
        <v>6.53</v>
      </c>
    </row>
    <row r="40" spans="1:15" ht="11.25" customHeight="1">
      <c r="A40" s="74"/>
      <c r="B40" s="73"/>
      <c r="C40" s="73"/>
      <c r="D40" s="73"/>
      <c r="E40" s="73"/>
      <c r="F40" s="73"/>
      <c r="G40" s="73"/>
      <c r="H40" s="3"/>
      <c r="I40" s="10"/>
      <c r="L40" s="846">
        <v>37</v>
      </c>
      <c r="M40" s="847">
        <v>11.2</v>
      </c>
      <c r="N40" s="847">
        <v>29.98</v>
      </c>
      <c r="O40" s="847">
        <v>9.7799999999999994</v>
      </c>
    </row>
    <row r="41" spans="1:15" ht="11.25" customHeight="1">
      <c r="A41" s="74"/>
      <c r="B41" s="73"/>
      <c r="C41" s="73"/>
      <c r="D41" s="73"/>
      <c r="E41" s="73"/>
      <c r="F41" s="73"/>
      <c r="G41" s="73"/>
      <c r="H41" s="3"/>
      <c r="I41" s="7"/>
      <c r="L41" s="846">
        <v>38</v>
      </c>
      <c r="M41" s="847">
        <v>11</v>
      </c>
      <c r="N41" s="847">
        <v>34.369999999999997</v>
      </c>
      <c r="O41" s="847">
        <v>7.47</v>
      </c>
    </row>
    <row r="42" spans="1:15" ht="11.25" customHeight="1">
      <c r="A42" s="74"/>
      <c r="B42" s="73"/>
      <c r="C42" s="73"/>
      <c r="D42" s="73"/>
      <c r="E42" s="73"/>
      <c r="F42" s="73"/>
      <c r="G42" s="73"/>
      <c r="H42" s="3"/>
      <c r="I42" s="7"/>
      <c r="K42" s="432">
        <v>39</v>
      </c>
      <c r="L42" s="846">
        <v>39</v>
      </c>
      <c r="M42" s="847">
        <v>11.14</v>
      </c>
      <c r="N42" s="847">
        <v>42.17</v>
      </c>
      <c r="O42" s="847">
        <v>7.49</v>
      </c>
    </row>
    <row r="43" spans="1:15" ht="11.25" customHeight="1">
      <c r="A43" s="74"/>
      <c r="B43" s="73"/>
      <c r="C43" s="73"/>
      <c r="D43" s="73"/>
      <c r="E43" s="73"/>
      <c r="F43" s="73"/>
      <c r="G43" s="73"/>
      <c r="H43" s="3"/>
      <c r="I43" s="7"/>
      <c r="L43" s="846">
        <v>40</v>
      </c>
      <c r="M43" s="847">
        <v>12.8</v>
      </c>
      <c r="N43" s="847">
        <v>37.270000000000003</v>
      </c>
      <c r="O43" s="847">
        <v>15.47</v>
      </c>
    </row>
    <row r="44" spans="1:15" ht="11.25" customHeight="1">
      <c r="A44" s="74"/>
      <c r="B44" s="73"/>
      <c r="C44" s="73"/>
      <c r="D44" s="73"/>
      <c r="E44" s="73"/>
      <c r="F44" s="73"/>
      <c r="G44" s="73"/>
      <c r="H44" s="6"/>
      <c r="I44" s="10"/>
      <c r="L44" s="846">
        <v>41</v>
      </c>
      <c r="M44" s="847">
        <v>14.41</v>
      </c>
      <c r="N44" s="847">
        <v>40.04</v>
      </c>
      <c r="O44" s="847">
        <v>18</v>
      </c>
    </row>
    <row r="45" spans="1:15" ht="11.25" customHeight="1">
      <c r="A45" s="74"/>
      <c r="B45" s="73"/>
      <c r="C45" s="73"/>
      <c r="D45" s="73"/>
      <c r="E45" s="73"/>
      <c r="F45" s="73"/>
      <c r="G45" s="73"/>
      <c r="H45" s="3"/>
      <c r="I45" s="10"/>
      <c r="L45" s="846">
        <v>42</v>
      </c>
      <c r="M45" s="847">
        <v>15.87</v>
      </c>
      <c r="N45" s="847">
        <v>35.79</v>
      </c>
      <c r="O45" s="847">
        <v>12.74</v>
      </c>
    </row>
    <row r="46" spans="1:15" ht="11.25" customHeight="1">
      <c r="A46" s="74"/>
      <c r="B46" s="73"/>
      <c r="C46" s="73"/>
      <c r="D46" s="73"/>
      <c r="E46" s="73"/>
      <c r="F46" s="73"/>
      <c r="G46" s="73"/>
      <c r="H46" s="3"/>
      <c r="I46" s="10"/>
      <c r="K46" s="432">
        <v>43</v>
      </c>
      <c r="L46" s="846">
        <v>43</v>
      </c>
      <c r="M46" s="847">
        <v>19.61</v>
      </c>
      <c r="N46" s="847">
        <v>50.36</v>
      </c>
      <c r="O46" s="847">
        <v>30.75</v>
      </c>
    </row>
    <row r="47" spans="1:15" ht="11.25" customHeight="1">
      <c r="A47" s="74"/>
      <c r="B47" s="73"/>
      <c r="C47" s="73"/>
      <c r="D47" s="73"/>
      <c r="E47" s="73"/>
      <c r="F47" s="73"/>
      <c r="G47" s="73"/>
      <c r="H47" s="11"/>
      <c r="I47" s="11"/>
      <c r="L47" s="846">
        <v>44</v>
      </c>
      <c r="M47" s="847">
        <v>21.85</v>
      </c>
      <c r="N47" s="847">
        <v>54.94</v>
      </c>
      <c r="O47" s="847">
        <v>23.58</v>
      </c>
    </row>
    <row r="48" spans="1:15" ht="11.25" customHeight="1">
      <c r="A48" s="74"/>
      <c r="B48" s="73"/>
      <c r="C48" s="73"/>
      <c r="D48" s="73"/>
      <c r="E48" s="73"/>
      <c r="F48" s="73"/>
      <c r="G48" s="73"/>
      <c r="H48" s="11"/>
      <c r="I48" s="11"/>
      <c r="L48" s="846">
        <v>45</v>
      </c>
      <c r="M48" s="847">
        <v>16.79</v>
      </c>
      <c r="N48" s="847">
        <v>41.16</v>
      </c>
      <c r="O48" s="847">
        <v>11.77</v>
      </c>
    </row>
    <row r="49" spans="1:15" ht="11.25" customHeight="1">
      <c r="A49" s="74"/>
      <c r="B49" s="73"/>
      <c r="C49" s="73"/>
      <c r="D49" s="73"/>
      <c r="E49" s="73"/>
      <c r="F49" s="73"/>
      <c r="G49" s="73"/>
      <c r="H49" s="11"/>
      <c r="I49" s="11"/>
      <c r="L49" s="846">
        <v>46</v>
      </c>
      <c r="M49" s="847">
        <v>16.010000000000002</v>
      </c>
      <c r="N49" s="847">
        <v>42.65</v>
      </c>
      <c r="O49" s="847">
        <v>9.33</v>
      </c>
    </row>
    <row r="50" spans="1:15" ht="11.25" customHeight="1">
      <c r="A50" s="74"/>
      <c r="B50" s="73"/>
      <c r="C50" s="73"/>
      <c r="D50" s="73"/>
      <c r="E50" s="73"/>
      <c r="F50" s="73"/>
      <c r="G50" s="73"/>
      <c r="H50" s="11"/>
      <c r="I50" s="11"/>
      <c r="L50" s="846">
        <v>47</v>
      </c>
      <c r="M50" s="847">
        <v>14.72</v>
      </c>
      <c r="N50" s="847">
        <v>39.76</v>
      </c>
      <c r="O50" s="847">
        <v>8.19</v>
      </c>
    </row>
    <row r="51" spans="1:15" ht="11.25" customHeight="1">
      <c r="A51" s="74"/>
      <c r="B51" s="73"/>
      <c r="C51" s="73"/>
      <c r="D51" s="73"/>
      <c r="E51" s="73"/>
      <c r="F51" s="73"/>
      <c r="G51" s="73"/>
      <c r="H51" s="11"/>
      <c r="I51" s="11"/>
      <c r="K51" s="432">
        <v>48</v>
      </c>
      <c r="L51" s="846">
        <v>48</v>
      </c>
      <c r="M51" s="847">
        <v>18.932000297142856</v>
      </c>
      <c r="N51" s="847">
        <v>47.388000487142854</v>
      </c>
      <c r="O51" s="847">
        <v>19.661285946</v>
      </c>
    </row>
    <row r="52" spans="1:15" ht="11.25" customHeight="1">
      <c r="A52" s="74"/>
      <c r="B52" s="73"/>
      <c r="C52" s="73"/>
      <c r="D52" s="73"/>
      <c r="E52" s="73"/>
      <c r="F52" s="73"/>
      <c r="G52" s="73"/>
      <c r="H52" s="11"/>
      <c r="I52" s="11"/>
      <c r="L52" s="846">
        <v>49</v>
      </c>
      <c r="M52" s="847">
        <v>28.48371397</v>
      </c>
      <c r="N52" s="847">
        <v>78.087428497142852</v>
      </c>
      <c r="O52" s="847">
        <v>19.181428364285715</v>
      </c>
    </row>
    <row r="53" spans="1:15" ht="11.25" customHeight="1">
      <c r="A53" s="74"/>
      <c r="B53" s="73"/>
      <c r="C53" s="73"/>
      <c r="D53" s="73"/>
      <c r="E53" s="73"/>
      <c r="F53" s="73"/>
      <c r="G53" s="73"/>
      <c r="H53" s="11"/>
      <c r="I53" s="11"/>
      <c r="L53" s="846">
        <v>50</v>
      </c>
      <c r="M53" s="847">
        <v>32.583286012857144</v>
      </c>
      <c r="N53" s="847">
        <v>69.764142717142846</v>
      </c>
      <c r="O53" s="847">
        <v>23.7245715</v>
      </c>
    </row>
    <row r="54" spans="1:15" ht="11.25" customHeight="1">
      <c r="A54" s="74"/>
      <c r="B54" s="73"/>
      <c r="C54" s="73"/>
      <c r="D54" s="73"/>
      <c r="E54" s="73"/>
      <c r="F54" s="73"/>
      <c r="G54" s="73"/>
      <c r="H54" s="11"/>
      <c r="I54" s="11"/>
      <c r="L54" s="846">
        <v>51</v>
      </c>
      <c r="M54" s="847">
        <v>34.501856668571428</v>
      </c>
      <c r="N54" s="847">
        <v>71.14499991142857</v>
      </c>
      <c r="O54" s="847">
        <v>26.158142907142857</v>
      </c>
    </row>
    <row r="55" spans="1:15" ht="12.75">
      <c r="A55" s="74"/>
      <c r="B55" s="73"/>
      <c r="C55" s="73"/>
      <c r="D55" s="73"/>
      <c r="E55" s="73"/>
      <c r="F55" s="73"/>
      <c r="G55" s="73"/>
      <c r="H55" s="11"/>
      <c r="I55" s="11"/>
      <c r="K55" s="432">
        <v>52</v>
      </c>
      <c r="L55" s="846">
        <v>52</v>
      </c>
      <c r="M55" s="847">
        <v>27.781857355714287</v>
      </c>
      <c r="N55" s="847">
        <v>83.196000228571435</v>
      </c>
      <c r="O55" s="847">
        <v>21.776999882857144</v>
      </c>
    </row>
    <row r="56" spans="1:15" ht="12.75">
      <c r="A56" s="74"/>
      <c r="B56" s="73"/>
      <c r="C56" s="73"/>
      <c r="D56" s="73"/>
      <c r="E56" s="73"/>
      <c r="F56" s="73"/>
      <c r="G56" s="73"/>
      <c r="H56" s="11"/>
      <c r="I56" s="11"/>
      <c r="J56" s="111">
        <v>2018</v>
      </c>
      <c r="K56" s="432">
        <v>1</v>
      </c>
      <c r="L56" s="846">
        <v>1</v>
      </c>
      <c r="M56" s="847">
        <v>29.44</v>
      </c>
      <c r="N56" s="847">
        <v>69.087142857142865</v>
      </c>
      <c r="O56" s="847">
        <v>15.747142857142856</v>
      </c>
    </row>
    <row r="57" spans="1:15" ht="12.75">
      <c r="A57" s="74"/>
      <c r="B57" s="73"/>
      <c r="C57" s="73"/>
      <c r="D57" s="73"/>
      <c r="E57" s="73"/>
      <c r="F57" s="73"/>
      <c r="G57" s="73"/>
      <c r="H57" s="11"/>
      <c r="I57" s="11"/>
      <c r="L57" s="846">
        <v>2</v>
      </c>
      <c r="M57" s="847">
        <v>42.880857194285717</v>
      </c>
      <c r="N57" s="847">
        <v>96.785858138571413</v>
      </c>
      <c r="O57" s="847">
        <v>37.6</v>
      </c>
    </row>
    <row r="58" spans="1:15" ht="12.75">
      <c r="A58" s="74"/>
      <c r="B58" s="73"/>
      <c r="C58" s="73"/>
      <c r="D58" s="73"/>
      <c r="E58" s="73"/>
      <c r="F58" s="73"/>
      <c r="G58" s="73"/>
      <c r="H58" s="11"/>
      <c r="I58" s="11"/>
      <c r="L58" s="846">
        <v>3</v>
      </c>
      <c r="M58" s="847">
        <v>74.002572194285705</v>
      </c>
      <c r="N58" s="847">
        <v>158.17728531428571</v>
      </c>
      <c r="O58" s="847">
        <v>101.26128550142856</v>
      </c>
    </row>
    <row r="59" spans="1:15" ht="12.75">
      <c r="A59" s="74"/>
      <c r="B59" s="73"/>
      <c r="C59" s="73"/>
      <c r="D59" s="73"/>
      <c r="E59" s="73"/>
      <c r="F59" s="73"/>
      <c r="G59" s="73"/>
      <c r="H59" s="11"/>
      <c r="I59" s="11"/>
      <c r="K59" s="432">
        <v>4</v>
      </c>
      <c r="L59" s="846">
        <v>4</v>
      </c>
      <c r="M59" s="847">
        <v>77.812570845714291</v>
      </c>
      <c r="N59" s="847">
        <v>167.02357267142858</v>
      </c>
      <c r="O59" s="847">
        <v>77.354000085714276</v>
      </c>
    </row>
    <row r="60" spans="1:15" ht="12.75">
      <c r="A60" s="74"/>
      <c r="B60" s="73"/>
      <c r="C60" s="73"/>
      <c r="D60" s="73"/>
      <c r="E60" s="73"/>
      <c r="F60" s="73"/>
      <c r="G60" s="73"/>
      <c r="H60" s="11"/>
      <c r="I60" s="11"/>
      <c r="L60" s="846">
        <v>5</v>
      </c>
      <c r="M60" s="847">
        <v>61.531714848571433</v>
      </c>
      <c r="N60" s="847">
        <v>113.19585745142855</v>
      </c>
      <c r="O60" s="847">
        <v>30.667142595714285</v>
      </c>
    </row>
    <row r="61" spans="1:15" ht="12.75">
      <c r="A61" s="268" t="s">
        <v>472</v>
      </c>
      <c r="B61" s="73"/>
      <c r="C61" s="73"/>
      <c r="D61" s="73"/>
      <c r="E61" s="73"/>
      <c r="F61" s="73"/>
      <c r="G61" s="73"/>
      <c r="H61" s="11"/>
      <c r="I61" s="11"/>
      <c r="L61" s="846">
        <v>6</v>
      </c>
      <c r="M61" s="847">
        <v>54.024142672857138</v>
      </c>
      <c r="N61" s="847">
        <v>88.535714287142852</v>
      </c>
      <c r="O61" s="847">
        <v>32.444142750000005</v>
      </c>
    </row>
    <row r="62" spans="1:15">
      <c r="L62" s="846">
        <v>7</v>
      </c>
      <c r="M62" s="847">
        <v>59.271427155714285</v>
      </c>
      <c r="N62" s="847">
        <v>99.37822619047617</v>
      </c>
      <c r="O62" s="847">
        <v>30.338148809523812</v>
      </c>
    </row>
    <row r="63" spans="1:15">
      <c r="K63" s="432">
        <v>8</v>
      </c>
      <c r="L63" s="846">
        <v>8</v>
      </c>
      <c r="M63" s="847">
        <v>78.025571005714284</v>
      </c>
      <c r="N63" s="847">
        <v>140.28</v>
      </c>
      <c r="O63" s="847">
        <v>62.97</v>
      </c>
    </row>
    <row r="64" spans="1:15">
      <c r="L64" s="846">
        <v>9</v>
      </c>
      <c r="M64" s="847">
        <v>61.11871501571428</v>
      </c>
      <c r="N64" s="847">
        <v>102.99642836285715</v>
      </c>
      <c r="O64" s="847">
        <v>31.244571685714288</v>
      </c>
    </row>
    <row r="65" spans="11:15">
      <c r="L65" s="846">
        <v>10</v>
      </c>
      <c r="M65" s="847">
        <v>84.500714981428573</v>
      </c>
      <c r="N65" s="847">
        <v>175.90485927142853</v>
      </c>
      <c r="O65" s="847">
        <v>36.038285662857142</v>
      </c>
    </row>
    <row r="66" spans="11:15">
      <c r="L66" s="846">
        <v>11</v>
      </c>
      <c r="M66" s="847">
        <v>83.643855504285725</v>
      </c>
      <c r="N66" s="847">
        <v>169.64671761428571</v>
      </c>
      <c r="O66" s="847">
        <v>25.076428275714282</v>
      </c>
    </row>
    <row r="67" spans="11:15">
      <c r="K67" s="432">
        <v>12</v>
      </c>
      <c r="L67" s="846">
        <v>12</v>
      </c>
      <c r="M67" s="847">
        <v>98.99</v>
      </c>
      <c r="N67" s="847">
        <v>198.22</v>
      </c>
      <c r="O67" s="847">
        <v>24.63</v>
      </c>
    </row>
    <row r="68" spans="11:15">
      <c r="L68" s="846">
        <v>13</v>
      </c>
      <c r="M68" s="847">
        <v>106.64928652857144</v>
      </c>
      <c r="N68" s="847">
        <v>312.6314304857143</v>
      </c>
      <c r="O68" s="847">
        <v>38.701428550000003</v>
      </c>
    </row>
    <row r="69" spans="11:15">
      <c r="L69" s="846">
        <v>14</v>
      </c>
      <c r="M69" s="847">
        <v>86.488428389999996</v>
      </c>
      <c r="N69" s="847">
        <v>235.31328691428573</v>
      </c>
      <c r="O69" s="847">
        <v>94.596427907142839</v>
      </c>
    </row>
    <row r="70" spans="11:15">
      <c r="L70" s="846">
        <v>15</v>
      </c>
      <c r="M70" s="847">
        <v>88.217001778571429</v>
      </c>
      <c r="N70" s="847">
        <v>294.1721409428572</v>
      </c>
      <c r="O70" s="847">
        <v>92.07</v>
      </c>
    </row>
    <row r="71" spans="11:15">
      <c r="K71" s="432">
        <v>16</v>
      </c>
      <c r="L71" s="846">
        <v>16</v>
      </c>
      <c r="M71" s="847">
        <v>65.84</v>
      </c>
      <c r="N71" s="847">
        <v>149.18</v>
      </c>
      <c r="O71" s="847">
        <v>45.4</v>
      </c>
    </row>
    <row r="72" spans="11:15">
      <c r="L72" s="846">
        <v>17</v>
      </c>
      <c r="M72" s="847">
        <v>51.88</v>
      </c>
      <c r="N72" s="847">
        <v>104.35</v>
      </c>
      <c r="O72" s="847">
        <v>41.47</v>
      </c>
    </row>
    <row r="73" spans="11:15">
      <c r="L73" s="846">
        <v>18</v>
      </c>
      <c r="M73" s="847">
        <v>49.672285897142856</v>
      </c>
      <c r="N73" s="847">
        <v>78.038143701428567</v>
      </c>
      <c r="O73" s="847">
        <v>65.800999782857133</v>
      </c>
    </row>
    <row r="74" spans="11:15">
      <c r="L74" s="846">
        <v>19</v>
      </c>
      <c r="M74" s="847">
        <v>45.203000204285708</v>
      </c>
      <c r="N74" s="847">
        <v>78.313856942857129</v>
      </c>
      <c r="O74" s="847">
        <v>75.104713441428572</v>
      </c>
    </row>
    <row r="75" spans="11:15">
      <c r="K75" s="432">
        <v>20</v>
      </c>
      <c r="L75" s="846">
        <v>20</v>
      </c>
      <c r="M75" s="847">
        <v>37.385857718571437</v>
      </c>
      <c r="N75" s="847">
        <v>130.92628696285712</v>
      </c>
      <c r="O75" s="847">
        <v>97.861000055714285</v>
      </c>
    </row>
    <row r="76" spans="11:15">
      <c r="L76" s="846">
        <v>21</v>
      </c>
      <c r="M76" s="847">
        <v>31.609713962857143</v>
      </c>
      <c r="N76" s="847">
        <v>64.449287412857146</v>
      </c>
      <c r="O76" s="847">
        <v>107.7964292242857</v>
      </c>
    </row>
    <row r="77" spans="11:15">
      <c r="L77" s="846">
        <v>22</v>
      </c>
      <c r="M77" s="847">
        <v>23.360142844285715</v>
      </c>
      <c r="N77" s="847">
        <v>64.449287412857146</v>
      </c>
      <c r="O77" s="847">
        <v>107.7964292242857</v>
      </c>
    </row>
    <row r="78" spans="11:15">
      <c r="L78" s="846">
        <v>23</v>
      </c>
      <c r="M78" s="847">
        <v>22.118571418571431</v>
      </c>
      <c r="N78" s="847">
        <v>39.50100054</v>
      </c>
      <c r="O78" s="847">
        <v>35.176713670000005</v>
      </c>
    </row>
    <row r="79" spans="11:15">
      <c r="K79" s="432">
        <v>24</v>
      </c>
      <c r="L79" s="846">
        <v>24</v>
      </c>
      <c r="M79" s="847">
        <v>18.655142918571432</v>
      </c>
      <c r="N79" s="847">
        <v>33.690285274285714</v>
      </c>
      <c r="O79" s="847">
        <v>23.41942841571429</v>
      </c>
    </row>
    <row r="80" spans="11:15">
      <c r="L80" s="846">
        <v>25</v>
      </c>
      <c r="M80" s="847">
        <v>15.664428437142856</v>
      </c>
      <c r="N80" s="847">
        <v>30.228428704285715</v>
      </c>
      <c r="O80" s="847">
        <v>15.98614284142857</v>
      </c>
    </row>
    <row r="81" spans="11:15">
      <c r="L81" s="846">
        <v>26</v>
      </c>
      <c r="M81" s="847">
        <v>13.848143032857147</v>
      </c>
      <c r="N81" s="847">
        <v>27.872285568571431</v>
      </c>
      <c r="O81" s="847">
        <v>14.09042848857143</v>
      </c>
    </row>
    <row r="82" spans="11:15">
      <c r="L82" s="846">
        <v>27</v>
      </c>
      <c r="M82" s="847">
        <v>12.865857259999999</v>
      </c>
      <c r="N82" s="847">
        <v>27.257571358571429</v>
      </c>
      <c r="O82" s="847">
        <v>11.838857105714284</v>
      </c>
    </row>
    <row r="83" spans="11:15">
      <c r="K83" s="432">
        <v>28</v>
      </c>
      <c r="L83" s="846">
        <v>28</v>
      </c>
      <c r="M83" s="847">
        <v>12.915285789999999</v>
      </c>
      <c r="N83" s="847">
        <v>27.217285974285712</v>
      </c>
      <c r="O83" s="847">
        <v>9.7789998731428565</v>
      </c>
    </row>
    <row r="84" spans="11:15">
      <c r="L84" s="846">
        <v>29</v>
      </c>
      <c r="M84" s="847">
        <v>15.908571428571426</v>
      </c>
      <c r="N84" s="847">
        <v>24.955714285714286</v>
      </c>
      <c r="O84" s="847">
        <v>8.4957142857142856</v>
      </c>
    </row>
    <row r="85" spans="11:15">
      <c r="L85" s="846">
        <v>30</v>
      </c>
      <c r="M85" s="847">
        <v>16.584000042857145</v>
      </c>
      <c r="N85" s="847">
        <v>24.80942862142857</v>
      </c>
      <c r="O85" s="847">
        <v>7.807428428142857</v>
      </c>
    </row>
    <row r="86" spans="11:15">
      <c r="L86" s="846">
        <v>31</v>
      </c>
      <c r="M86" s="847">
        <v>18.553000000000001</v>
      </c>
      <c r="N86" s="847">
        <v>25.690999999999999</v>
      </c>
      <c r="O86" s="847">
        <v>7.53</v>
      </c>
    </row>
    <row r="87" spans="11:15">
      <c r="K87" s="432">
        <v>32</v>
      </c>
      <c r="L87" s="846">
        <v>32</v>
      </c>
      <c r="M87" s="847">
        <v>17.769714355714285</v>
      </c>
      <c r="N87" s="847">
        <v>27.630000251428573</v>
      </c>
      <c r="O87" s="847">
        <v>6.4074286734285701</v>
      </c>
    </row>
    <row r="88" spans="11:15">
      <c r="L88" s="846">
        <v>33</v>
      </c>
      <c r="M88" s="847">
        <v>14.782857348571428</v>
      </c>
      <c r="N88" s="847">
        <v>23.78</v>
      </c>
      <c r="O88" s="847">
        <v>4.9400000000000004</v>
      </c>
    </row>
    <row r="89" spans="11:15">
      <c r="L89" s="846">
        <v>34</v>
      </c>
      <c r="M89" s="847">
        <v>15.984000069999999</v>
      </c>
      <c r="N89" s="847">
        <v>23.527999878571428</v>
      </c>
      <c r="O89" s="847">
        <v>4.6688571658571432</v>
      </c>
    </row>
    <row r="90" spans="11:15">
      <c r="L90" s="846">
        <v>35</v>
      </c>
      <c r="M90" s="847">
        <v>15.55</v>
      </c>
      <c r="N90" s="847">
        <v>23.29</v>
      </c>
      <c r="O90" s="847">
        <v>4.5999999999999996</v>
      </c>
    </row>
    <row r="91" spans="11:15">
      <c r="K91" s="432">
        <v>36</v>
      </c>
      <c r="L91" s="846">
        <v>36</v>
      </c>
      <c r="M91" s="847">
        <v>15.042857142857143</v>
      </c>
      <c r="N91" s="847">
        <v>23.007142857142856</v>
      </c>
      <c r="O91" s="847">
        <v>3.9657142857142857</v>
      </c>
    </row>
    <row r="92" spans="11:15">
      <c r="L92" s="846">
        <v>37</v>
      </c>
      <c r="M92" s="847">
        <v>13.386857033</v>
      </c>
      <c r="N92" s="847">
        <v>23.173571724285711</v>
      </c>
      <c r="O92" s="847">
        <v>3.5334285327142858</v>
      </c>
    </row>
    <row r="93" spans="11:15">
      <c r="L93" s="846">
        <v>38</v>
      </c>
      <c r="M93" s="847">
        <v>12.963714189999999</v>
      </c>
      <c r="N93" s="847">
        <v>26.454000201428567</v>
      </c>
      <c r="O93" s="847">
        <v>6.4914285118571433</v>
      </c>
    </row>
    <row r="94" spans="11:15">
      <c r="L94" s="846">
        <v>39</v>
      </c>
      <c r="M94" s="847">
        <v>9.4700000000000006</v>
      </c>
      <c r="N94" s="847">
        <v>23.7</v>
      </c>
      <c r="O94" s="847">
        <v>4.9000000000000004</v>
      </c>
    </row>
    <row r="95" spans="11:15">
      <c r="K95" s="432">
        <v>40</v>
      </c>
      <c r="L95" s="846">
        <v>40</v>
      </c>
      <c r="M95" s="847">
        <v>9.6714286802857146</v>
      </c>
      <c r="N95" s="847">
        <v>23.695143017142858</v>
      </c>
      <c r="O95" s="847">
        <v>4.898285797571428</v>
      </c>
    </row>
    <row r="96" spans="11:15">
      <c r="L96" s="846">
        <v>41</v>
      </c>
      <c r="M96" s="847">
        <v>13.23900018419533</v>
      </c>
      <c r="N96" s="847">
        <v>28.113285882132363</v>
      </c>
      <c r="O96" s="847">
        <v>8.3430000032697169</v>
      </c>
    </row>
    <row r="97" spans="10:15">
      <c r="L97" s="846">
        <v>42</v>
      </c>
      <c r="M97" s="847">
        <v>13.085142816816015</v>
      </c>
      <c r="N97" s="847">
        <v>37.073285511561743</v>
      </c>
      <c r="O97" s="847">
        <v>7.2735712868826683</v>
      </c>
    </row>
    <row r="98" spans="10:15">
      <c r="L98" s="846">
        <v>43</v>
      </c>
      <c r="M98" s="847">
        <v>24.981571742466489</v>
      </c>
      <c r="N98" s="847">
        <v>70.535571507045162</v>
      </c>
      <c r="O98" s="847">
        <v>7.4324284962245324</v>
      </c>
    </row>
    <row r="99" spans="10:15">
      <c r="K99" s="432">
        <v>44</v>
      </c>
      <c r="L99" s="846">
        <v>44</v>
      </c>
      <c r="M99" s="847">
        <v>20.55814279714286</v>
      </c>
      <c r="N99" s="847">
        <v>55.183714184285712</v>
      </c>
      <c r="O99" s="847">
        <v>15.801856994857145</v>
      </c>
    </row>
    <row r="100" spans="10:15">
      <c r="L100" s="846">
        <v>45</v>
      </c>
      <c r="M100" s="847">
        <v>26.170000077142856</v>
      </c>
      <c r="N100" s="847">
        <v>60.445714132857141</v>
      </c>
      <c r="O100" s="847">
        <v>26.432857787142858</v>
      </c>
    </row>
    <row r="101" spans="10:15">
      <c r="L101" s="846">
        <v>46</v>
      </c>
      <c r="M101" s="847">
        <v>19.728571428571428</v>
      </c>
      <c r="N101" s="847">
        <v>57.005714285714291</v>
      </c>
      <c r="O101" s="847">
        <v>53.502857142857145</v>
      </c>
    </row>
    <row r="102" spans="10:15">
      <c r="L102" s="846">
        <v>47</v>
      </c>
      <c r="M102" s="847">
        <v>39.656714302857139</v>
      </c>
      <c r="N102" s="847">
        <v>103.00771440714287</v>
      </c>
      <c r="O102" s="847">
        <v>53.459142955714292</v>
      </c>
    </row>
    <row r="103" spans="10:15">
      <c r="K103" s="432">
        <v>48</v>
      </c>
      <c r="L103" s="846">
        <v>48</v>
      </c>
      <c r="M103" s="847">
        <v>39.656714302857139</v>
      </c>
      <c r="N103" s="847">
        <v>99.828000734285709</v>
      </c>
      <c r="O103" s="847">
        <v>45.539571760000008</v>
      </c>
    </row>
    <row r="104" spans="10:15">
      <c r="L104" s="846">
        <v>49</v>
      </c>
      <c r="M104" s="847">
        <v>22.62857142857143</v>
      </c>
      <c r="N104" s="847">
        <v>60.27571428571428</v>
      </c>
      <c r="O104" s="847">
        <v>17.955714285714286</v>
      </c>
    </row>
    <row r="105" spans="10:15">
      <c r="L105" s="846">
        <v>50</v>
      </c>
      <c r="M105" s="847">
        <v>17.776714461428572</v>
      </c>
      <c r="N105" s="847">
        <v>46.701999664285715</v>
      </c>
      <c r="O105" s="847">
        <v>13.432571411428571</v>
      </c>
    </row>
    <row r="106" spans="10:15">
      <c r="L106" s="846">
        <v>51</v>
      </c>
      <c r="M106" s="847">
        <v>34.085714285714282</v>
      </c>
      <c r="N106" s="847">
        <v>68.7</v>
      </c>
      <c r="O106" s="847">
        <v>39.414285714285711</v>
      </c>
    </row>
    <row r="107" spans="10:15">
      <c r="K107" s="432">
        <v>52</v>
      </c>
      <c r="L107" s="846">
        <v>52</v>
      </c>
      <c r="M107" s="847">
        <v>52.094142914285719</v>
      </c>
      <c r="N107" s="847">
        <v>97.347143448571416</v>
      </c>
      <c r="O107" s="847">
        <v>65.679429182857149</v>
      </c>
    </row>
    <row r="108" spans="10:15">
      <c r="J108" s="111">
        <v>2019</v>
      </c>
      <c r="K108" s="432">
        <v>1</v>
      </c>
      <c r="L108" s="846">
        <v>1</v>
      </c>
      <c r="M108" s="847">
        <v>27.79999951142857</v>
      </c>
      <c r="N108" s="847">
        <v>78.298570904285711</v>
      </c>
      <c r="O108" s="847">
        <v>21.927143370000003</v>
      </c>
    </row>
    <row r="109" spans="10:15">
      <c r="L109" s="846">
        <v>2</v>
      </c>
      <c r="M109" s="847">
        <v>28.678571428571427</v>
      </c>
      <c r="N109" s="847">
        <v>95.081715179999989</v>
      </c>
      <c r="O109" s="847">
        <v>22.397999900000002</v>
      </c>
    </row>
    <row r="110" spans="10:15">
      <c r="L110" s="846">
        <v>3</v>
      </c>
      <c r="M110" s="847">
        <v>44.51</v>
      </c>
      <c r="N110" s="847">
        <v>95.65</v>
      </c>
      <c r="O110" s="847">
        <v>17.61</v>
      </c>
    </row>
    <row r="111" spans="10:15">
      <c r="K111" s="432">
        <v>4</v>
      </c>
      <c r="L111" s="846">
        <v>4</v>
      </c>
      <c r="M111" s="847">
        <v>73.323141914285699</v>
      </c>
      <c r="N111" s="847">
        <v>109.29957036285714</v>
      </c>
      <c r="O111" s="847">
        <v>17.638000354285712</v>
      </c>
    </row>
    <row r="112" spans="10:15">
      <c r="L112" s="846">
        <v>5</v>
      </c>
      <c r="M112" s="847">
        <v>103.17716724333333</v>
      </c>
      <c r="N112" s="847">
        <v>149.65083311999999</v>
      </c>
      <c r="O112" s="847">
        <v>19.218833289999999</v>
      </c>
    </row>
    <row r="113" spans="11:15">
      <c r="L113" s="846">
        <v>6</v>
      </c>
      <c r="M113" s="847">
        <v>79.165714285714287</v>
      </c>
      <c r="N113" s="847">
        <v>136.57714285714286</v>
      </c>
      <c r="O113" s="847">
        <v>57.185714285714276</v>
      </c>
    </row>
    <row r="114" spans="11:15">
      <c r="L114" s="846">
        <v>7</v>
      </c>
      <c r="M114" s="847">
        <v>120.02256992142858</v>
      </c>
      <c r="N114" s="847">
        <v>224.71071514285714</v>
      </c>
      <c r="O114" s="847">
        <v>118.06042697857141</v>
      </c>
    </row>
    <row r="115" spans="11:15">
      <c r="K115" s="432">
        <v>8</v>
      </c>
      <c r="L115" s="846">
        <v>8</v>
      </c>
      <c r="M115" s="847">
        <v>97.560142514285715</v>
      </c>
      <c r="N115" s="847">
        <v>198.04342652857142</v>
      </c>
      <c r="O115" s="847">
        <v>106.29885756428571</v>
      </c>
    </row>
    <row r="116" spans="11:15">
      <c r="L116" s="846">
        <v>9</v>
      </c>
      <c r="M116" s="847">
        <v>97.560142514285715</v>
      </c>
      <c r="N116" s="847">
        <v>191.0112849857143</v>
      </c>
      <c r="O116" s="847">
        <v>142.12385776285717</v>
      </c>
    </row>
    <row r="117" spans="11:15">
      <c r="L117" s="846">
        <v>10</v>
      </c>
      <c r="M117" s="847">
        <v>97.497286117142863</v>
      </c>
      <c r="N117" s="847">
        <v>215.64014109999999</v>
      </c>
      <c r="O117" s="847">
        <v>164.59685624285717</v>
      </c>
    </row>
    <row r="118" spans="11:15">
      <c r="L118" s="846">
        <v>11</v>
      </c>
      <c r="M118" s="847">
        <v>98.21585736955906</v>
      </c>
      <c r="N118" s="847">
        <v>236.76099940708642</v>
      </c>
      <c r="O118" s="847">
        <v>121.6507121494835</v>
      </c>
    </row>
    <row r="119" spans="11:15">
      <c r="K119" s="432">
        <v>12</v>
      </c>
      <c r="L119" s="846">
        <v>12</v>
      </c>
      <c r="M119" s="847">
        <v>91.857713972857141</v>
      </c>
      <c r="N119" s="847">
        <v>250.8679761904763</v>
      </c>
      <c r="O119" s="847">
        <v>166.63136904761905</v>
      </c>
    </row>
    <row r="120" spans="11:15">
      <c r="L120" s="846">
        <v>13</v>
      </c>
      <c r="M120" s="847">
        <v>100.0137132957143</v>
      </c>
      <c r="N120" s="847">
        <v>301.45971681428574</v>
      </c>
      <c r="O120" s="847">
        <v>180.07000078571429</v>
      </c>
    </row>
    <row r="121" spans="11:15">
      <c r="L121" s="846">
        <v>14</v>
      </c>
      <c r="M121" s="847">
        <v>84.272714885714294</v>
      </c>
      <c r="N121" s="847">
        <v>253.08542525714284</v>
      </c>
      <c r="O121" s="847">
        <v>143.43971579999999</v>
      </c>
    </row>
    <row r="122" spans="11:15">
      <c r="L122" s="846">
        <v>15</v>
      </c>
      <c r="M122" s="847">
        <v>61.074856892857142</v>
      </c>
      <c r="N122" s="847">
        <v>253.08542525714284</v>
      </c>
      <c r="O122" s="847">
        <v>152.6561442857143</v>
      </c>
    </row>
    <row r="123" spans="11:15">
      <c r="K123" s="432">
        <v>16</v>
      </c>
      <c r="L123" s="846">
        <v>16</v>
      </c>
      <c r="M123" s="847">
        <v>47.843714031428576</v>
      </c>
      <c r="N123" s="847">
        <v>141.0458592</v>
      </c>
      <c r="O123" s="847">
        <v>83.844285145714295</v>
      </c>
    </row>
    <row r="124" spans="11:15">
      <c r="L124" s="846">
        <v>17</v>
      </c>
      <c r="M124" s="847">
        <v>50.907143728571427</v>
      </c>
      <c r="N124" s="847">
        <v>123.86656951428571</v>
      </c>
      <c r="O124" s="847">
        <v>125.28814153857142</v>
      </c>
    </row>
    <row r="125" spans="11:15">
      <c r="L125" s="846">
        <v>18</v>
      </c>
      <c r="M125" s="847">
        <v>39.120999471428568</v>
      </c>
      <c r="N125" s="847">
        <v>85.173857551428583</v>
      </c>
      <c r="O125" s="847">
        <v>66.347143447142855</v>
      </c>
    </row>
    <row r="126" spans="11:15">
      <c r="L126" s="846">
        <v>19</v>
      </c>
      <c r="M126" s="847">
        <v>35.410856791428571</v>
      </c>
      <c r="N126" s="847">
        <v>71.224285714285699</v>
      </c>
      <c r="O126" s="847">
        <v>42.216071428571425</v>
      </c>
    </row>
    <row r="127" spans="11:15">
      <c r="L127" s="846">
        <v>20</v>
      </c>
      <c r="M127" s="847">
        <v>32.405142920000003</v>
      </c>
      <c r="N127" s="847">
        <v>76.857142859999996</v>
      </c>
      <c r="O127" s="847">
        <v>58.324429100000003</v>
      </c>
    </row>
    <row r="128" spans="11:15">
      <c r="L128" s="846">
        <v>21</v>
      </c>
      <c r="M128" s="847">
        <v>26.58385740142857</v>
      </c>
      <c r="N128" s="847">
        <v>47.97114345</v>
      </c>
      <c r="O128" s="847">
        <v>34.032571519999998</v>
      </c>
    </row>
    <row r="129" spans="11:15">
      <c r="K129" s="432">
        <v>22</v>
      </c>
      <c r="L129" s="846">
        <v>22</v>
      </c>
      <c r="M129" s="847">
        <v>19.653714315714286</v>
      </c>
      <c r="N129" s="847">
        <v>37.624285945285713</v>
      </c>
      <c r="O129" s="847">
        <v>40.524285998571429</v>
      </c>
    </row>
    <row r="130" spans="11:15">
      <c r="L130" s="846">
        <v>23</v>
      </c>
      <c r="M130" s="847">
        <v>16.50400011857143</v>
      </c>
      <c r="N130" s="847">
        <v>37.806285858571421</v>
      </c>
      <c r="O130" s="847">
        <v>25.010571342857141</v>
      </c>
    </row>
    <row r="131" spans="11:15">
      <c r="L131" s="846">
        <v>24</v>
      </c>
      <c r="M131" s="847">
        <v>14.890428544285713</v>
      </c>
      <c r="N131" s="847">
        <v>35.468714032857143</v>
      </c>
      <c r="O131" s="847">
        <v>18.242713997857145</v>
      </c>
    </row>
    <row r="132" spans="11:15">
      <c r="L132" s="846">
        <v>25</v>
      </c>
      <c r="M132" s="847">
        <v>15.340000017142858</v>
      </c>
      <c r="N132" s="847">
        <v>33.200142724285719</v>
      </c>
      <c r="O132" s="847">
        <v>16.013142995714286</v>
      </c>
    </row>
    <row r="133" spans="11:15">
      <c r="K133" s="432">
        <v>26</v>
      </c>
      <c r="L133" s="846">
        <v>26</v>
      </c>
      <c r="M133" s="847">
        <v>15.521142687142857</v>
      </c>
      <c r="N133" s="847">
        <v>28.376285825714287</v>
      </c>
      <c r="O133" s="847">
        <v>12.961571557142857</v>
      </c>
    </row>
    <row r="134" spans="11:15">
      <c r="L134" s="846">
        <v>27</v>
      </c>
      <c r="M134" s="847">
        <v>15.32</v>
      </c>
      <c r="N134" s="847">
        <v>28.47</v>
      </c>
      <c r="O134" s="847">
        <v>11.39</v>
      </c>
    </row>
    <row r="135" spans="11:15">
      <c r="L135" s="846">
        <v>28</v>
      </c>
      <c r="M135" s="847">
        <v>14.809428488571427</v>
      </c>
      <c r="N135" s="848">
        <v>28.920333226666667</v>
      </c>
      <c r="O135" s="847">
        <v>11.405166626666668</v>
      </c>
    </row>
    <row r="136" spans="11:15">
      <c r="L136" s="846">
        <v>29</v>
      </c>
      <c r="M136" s="847">
        <v>13.666428565978956</v>
      </c>
      <c r="N136" s="848">
        <v>24.422333717346149</v>
      </c>
      <c r="O136" s="847">
        <v>10.173999945322651</v>
      </c>
    </row>
    <row r="137" spans="11:15">
      <c r="K137" s="432">
        <v>30</v>
      </c>
      <c r="L137" s="846">
        <v>30</v>
      </c>
      <c r="M137" s="847">
        <v>13.392857142857142</v>
      </c>
      <c r="N137" s="848">
        <v>24.086666666666662</v>
      </c>
      <c r="O137" s="847">
        <v>9.1716666666666669</v>
      </c>
    </row>
    <row r="138" spans="11:15">
      <c r="L138" s="846">
        <v>31</v>
      </c>
      <c r="M138" s="847">
        <v>13.098428589999999</v>
      </c>
      <c r="N138" s="848">
        <v>22.471285411428575</v>
      </c>
      <c r="O138" s="847">
        <v>8.5915715354285727</v>
      </c>
    </row>
    <row r="139" spans="11:15">
      <c r="L139" s="846">
        <v>32</v>
      </c>
      <c r="M139" s="847">
        <v>12.228285654285713</v>
      </c>
      <c r="N139" s="848">
        <v>25.212714058571429</v>
      </c>
      <c r="O139" s="847">
        <v>6.6260000637142857</v>
      </c>
    </row>
    <row r="140" spans="11:15">
      <c r="L140" s="846">
        <v>33</v>
      </c>
      <c r="M140" s="847">
        <v>12.838714327142856</v>
      </c>
      <c r="N140" s="848">
        <v>28.061000278571431</v>
      </c>
      <c r="O140" s="847">
        <v>5.9311428751428581</v>
      </c>
    </row>
    <row r="141" spans="11:15">
      <c r="K141" s="432">
        <v>34</v>
      </c>
      <c r="L141" s="846">
        <v>34</v>
      </c>
      <c r="M141" s="847">
        <v>12.37928554</v>
      </c>
      <c r="N141" s="848">
        <v>28.455856868571431</v>
      </c>
      <c r="O141" s="847">
        <v>5.2604285648571434</v>
      </c>
    </row>
    <row r="142" spans="11:15">
      <c r="L142" s="846">
        <v>35</v>
      </c>
      <c r="M142" s="847">
        <v>11.92371409142857</v>
      </c>
      <c r="N142" s="848">
        <v>26.646000226666668</v>
      </c>
      <c r="O142" s="847">
        <v>4.7316666444999997</v>
      </c>
    </row>
    <row r="143" spans="11:15">
      <c r="L143" s="846">
        <v>36</v>
      </c>
      <c r="M143" s="847">
        <v>10.731857162857143</v>
      </c>
      <c r="N143" s="847">
        <v>27.720570974285714</v>
      </c>
      <c r="O143" s="847">
        <v>4.5542856622857144</v>
      </c>
    </row>
    <row r="144" spans="11:15">
      <c r="L144" s="846">
        <v>37</v>
      </c>
      <c r="M144" s="847">
        <v>11.481428825714286</v>
      </c>
      <c r="N144" s="847">
        <v>27.967571258571429</v>
      </c>
      <c r="O144" s="847">
        <v>4.1919999124285718</v>
      </c>
    </row>
    <row r="145" spans="11:15">
      <c r="L145" s="846">
        <v>38</v>
      </c>
      <c r="M145" s="847">
        <v>12.217142857142859</v>
      </c>
      <c r="N145" s="847">
        <v>31.354000000000003</v>
      </c>
      <c r="O145" s="847">
        <v>4.1759999999999993</v>
      </c>
    </row>
    <row r="146" spans="11:15">
      <c r="L146" s="846">
        <v>39</v>
      </c>
      <c r="M146" s="847">
        <v>15.0261430740356</v>
      </c>
      <c r="N146" s="847">
        <v>37.146399307250938</v>
      </c>
      <c r="O146" s="847">
        <v>4.8932001113891559</v>
      </c>
    </row>
    <row r="147" spans="11:15">
      <c r="K147" s="432">
        <v>40</v>
      </c>
      <c r="L147" s="846">
        <v>40</v>
      </c>
      <c r="M147" s="847">
        <v>13.292000225714288</v>
      </c>
      <c r="N147" s="849">
        <v>29.934999783333328</v>
      </c>
      <c r="O147" s="847">
        <v>5.3130000431666664</v>
      </c>
    </row>
    <row r="148" spans="11:15">
      <c r="L148" s="846">
        <v>41</v>
      </c>
      <c r="M148" s="847">
        <v>15.472143037142859</v>
      </c>
      <c r="N148" s="849">
        <v>31.668000084285715</v>
      </c>
      <c r="O148" s="847">
        <v>8.3924286701428574</v>
      </c>
    </row>
    <row r="149" spans="11:15">
      <c r="L149" s="846">
        <v>42</v>
      </c>
      <c r="M149" s="847">
        <v>14.602857142857143</v>
      </c>
      <c r="N149" s="849">
        <v>30.061428571428571</v>
      </c>
      <c r="O149" s="847">
        <v>9.2871428571428574</v>
      </c>
    </row>
    <row r="150" spans="11:15">
      <c r="L150" s="846">
        <v>43</v>
      </c>
      <c r="M150" s="847">
        <v>18.763999527142854</v>
      </c>
      <c r="N150" s="849">
        <v>48.129999975714291</v>
      </c>
      <c r="O150" s="847">
        <v>18.153714861428572</v>
      </c>
    </row>
    <row r="151" spans="11:15">
      <c r="K151" s="432">
        <v>44</v>
      </c>
      <c r="L151" s="846">
        <v>44</v>
      </c>
      <c r="M151" s="847">
        <v>12.722428322857143</v>
      </c>
      <c r="N151" s="849">
        <v>37.781833011666663</v>
      </c>
      <c r="O151" s="847">
        <v>19.903499760000003</v>
      </c>
    </row>
    <row r="152" spans="11:15">
      <c r="L152" s="846">
        <v>45</v>
      </c>
      <c r="M152" s="847">
        <v>22.372000012857146</v>
      </c>
      <c r="N152" s="847">
        <v>60.721429549999996</v>
      </c>
      <c r="O152" s="847">
        <v>69.077428547142844</v>
      </c>
    </row>
    <row r="153" spans="11:15">
      <c r="L153" s="846">
        <v>46</v>
      </c>
      <c r="M153" s="847">
        <v>28.101571491428576</v>
      </c>
      <c r="N153" s="847">
        <v>68.569856369999997</v>
      </c>
      <c r="O153" s="847">
        <v>51.190428054285711</v>
      </c>
    </row>
    <row r="154" spans="11:15">
      <c r="L154" s="846">
        <v>47</v>
      </c>
      <c r="M154" s="847">
        <v>22.222285951428574</v>
      </c>
      <c r="N154" s="847">
        <v>51.534999302857152</v>
      </c>
      <c r="O154" s="847">
        <v>21.676285608571426</v>
      </c>
    </row>
    <row r="155" spans="11:15">
      <c r="K155" s="432">
        <v>48</v>
      </c>
      <c r="L155" s="846">
        <v>48</v>
      </c>
      <c r="M155" s="847">
        <v>18.796428408571426</v>
      </c>
      <c r="N155" s="847">
        <v>45.115714484285718</v>
      </c>
      <c r="O155" s="847">
        <v>19.428714208571428</v>
      </c>
    </row>
    <row r="156" spans="11:15">
      <c r="L156" s="846">
        <v>49</v>
      </c>
      <c r="M156" s="847">
        <v>40.459857124285712</v>
      </c>
      <c r="N156" s="847">
        <v>84.846428458571424</v>
      </c>
      <c r="O156" s="847">
        <v>67.787142617142862</v>
      </c>
    </row>
    <row r="157" spans="11:15">
      <c r="L157" s="846">
        <v>50</v>
      </c>
      <c r="M157" s="847">
        <v>55.208571570000004</v>
      </c>
      <c r="N157" s="847">
        <v>99.139714364285723</v>
      </c>
      <c r="O157" s="847">
        <v>46.000713344285714</v>
      </c>
    </row>
    <row r="158" spans="11:15">
      <c r="L158" s="846">
        <v>51</v>
      </c>
      <c r="M158" s="847">
        <v>84.778857641428559</v>
      </c>
      <c r="N158" s="847">
        <v>201.52657207142857</v>
      </c>
      <c r="O158" s="847">
        <v>43.586286274285712</v>
      </c>
    </row>
    <row r="159" spans="11:15">
      <c r="K159" s="432">
        <v>52</v>
      </c>
      <c r="L159" s="846">
        <v>52</v>
      </c>
      <c r="M159" s="847">
        <v>90.21400125571428</v>
      </c>
      <c r="N159" s="847">
        <v>224.1094316857143</v>
      </c>
      <c r="O159" s="847">
        <v>50.483570642857153</v>
      </c>
    </row>
    <row r="160" spans="11:15">
      <c r="K160" s="846"/>
      <c r="L160" s="846">
        <v>53</v>
      </c>
      <c r="M160" s="847">
        <v>80.061285835714287</v>
      </c>
      <c r="N160" s="847">
        <v>205.2461395</v>
      </c>
      <c r="O160" s="847">
        <v>83.637714931428576</v>
      </c>
    </row>
    <row r="161" spans="10:15">
      <c r="J161" s="111">
        <v>2020</v>
      </c>
      <c r="K161" s="850"/>
      <c r="L161" s="846">
        <v>1</v>
      </c>
      <c r="M161" s="847">
        <v>42.7519994463239</v>
      </c>
      <c r="N161" s="847">
        <v>129.33128356933543</v>
      </c>
      <c r="O161" s="847">
        <v>35.412713732038192</v>
      </c>
    </row>
    <row r="162" spans="10:15">
      <c r="K162" s="846"/>
      <c r="L162" s="846">
        <v>2</v>
      </c>
      <c r="M162" s="847">
        <v>30.679571151428568</v>
      </c>
      <c r="N162" s="847">
        <v>73.393001012857141</v>
      </c>
      <c r="O162" s="847">
        <v>22.044856754285714</v>
      </c>
    </row>
    <row r="163" spans="10:15">
      <c r="K163" s="846"/>
      <c r="L163" s="846">
        <v>3</v>
      </c>
      <c r="M163" s="847">
        <v>46.443999700000006</v>
      </c>
      <c r="N163" s="847">
        <v>73.092571804285726</v>
      </c>
      <c r="O163" s="847">
        <v>18.210142817142859</v>
      </c>
    </row>
    <row r="164" spans="10:15">
      <c r="K164" s="432">
        <v>4</v>
      </c>
      <c r="L164" s="846">
        <v>4</v>
      </c>
      <c r="M164" s="847">
        <v>56.559571404285713</v>
      </c>
      <c r="N164" s="847">
        <v>140.69343129999999</v>
      </c>
      <c r="O164" s="847">
        <v>15.934428624285713</v>
      </c>
    </row>
    <row r="165" spans="10:15">
      <c r="L165" s="846">
        <v>5</v>
      </c>
      <c r="M165" s="847">
        <v>85.997285015714283</v>
      </c>
      <c r="N165" s="847">
        <v>189.96014404285714</v>
      </c>
      <c r="O165" s="847">
        <v>16.347999845714288</v>
      </c>
    </row>
    <row r="166" spans="10:15">
      <c r="L166" s="846">
        <v>6</v>
      </c>
      <c r="M166" s="847">
        <v>79.643857683454215</v>
      </c>
      <c r="N166" s="847">
        <v>184.55100359235459</v>
      </c>
      <c r="O166" s="847">
        <v>24.545571190970243</v>
      </c>
    </row>
    <row r="167" spans="10:15">
      <c r="K167" s="846"/>
      <c r="L167" s="846">
        <v>7</v>
      </c>
      <c r="M167" s="847">
        <v>62.11542837857143</v>
      </c>
      <c r="N167" s="847">
        <v>141.4891401142857</v>
      </c>
      <c r="O167" s="847">
        <v>17.933714184285712</v>
      </c>
    </row>
    <row r="168" spans="10:15">
      <c r="K168" s="432">
        <v>8</v>
      </c>
      <c r="L168" s="846">
        <v>8</v>
      </c>
      <c r="M168" s="847">
        <v>41.134571620396166</v>
      </c>
      <c r="N168" s="847">
        <v>83.969571794782198</v>
      </c>
      <c r="O168" s="847">
        <v>15.5625712530953</v>
      </c>
    </row>
    <row r="169" spans="10:15">
      <c r="L169" s="846">
        <v>9</v>
      </c>
      <c r="M169" s="847">
        <v>70.027142117142859</v>
      </c>
      <c r="N169" s="847">
        <v>124.34114185428572</v>
      </c>
      <c r="O169" s="847">
        <v>23.340428760000002</v>
      </c>
    </row>
    <row r="170" spans="10:15">
      <c r="L170" s="846">
        <v>10</v>
      </c>
      <c r="M170" s="847">
        <v>51.713285718571434</v>
      </c>
      <c r="N170" s="847">
        <v>110.96499854142857</v>
      </c>
      <c r="O170" s="847">
        <v>51.143429344285714</v>
      </c>
    </row>
    <row r="171" spans="10:15">
      <c r="K171" s="846"/>
      <c r="L171" s="846">
        <v>11</v>
      </c>
      <c r="M171" s="847">
        <v>64.999999455714274</v>
      </c>
      <c r="N171" s="847">
        <v>130.17914037142856</v>
      </c>
      <c r="O171" s="847">
        <v>73.820713587142862</v>
      </c>
    </row>
    <row r="172" spans="10:15">
      <c r="K172" s="846">
        <v>12</v>
      </c>
      <c r="L172" s="846">
        <v>12</v>
      </c>
      <c r="M172" s="847">
        <v>70.530143192836164</v>
      </c>
      <c r="N172" s="847">
        <v>127.86657169886942</v>
      </c>
      <c r="O172" s="847">
        <v>34.1388571602957</v>
      </c>
    </row>
    <row r="173" spans="10:15">
      <c r="K173" s="846"/>
      <c r="L173" s="846">
        <v>13</v>
      </c>
      <c r="M173" s="847">
        <v>73.710714612688278</v>
      </c>
      <c r="N173" s="847">
        <v>138.12900325230143</v>
      </c>
      <c r="O173" s="847">
        <v>66.457714898245612</v>
      </c>
    </row>
    <row r="174" spans="10:15">
      <c r="L174" s="846">
        <v>14</v>
      </c>
      <c r="M174" s="847">
        <v>57.796857017142862</v>
      </c>
      <c r="N174" s="847">
        <v>109.14457049285714</v>
      </c>
      <c r="O174" s="847">
        <v>82.626999985714278</v>
      </c>
    </row>
    <row r="175" spans="10:15">
      <c r="K175" s="851"/>
      <c r="L175" s="846">
        <v>15</v>
      </c>
      <c r="M175" s="847">
        <v>44.430285317142861</v>
      </c>
      <c r="N175" s="847">
        <v>80.133571635714276</v>
      </c>
      <c r="O175" s="847">
        <v>89.91342707714287</v>
      </c>
    </row>
    <row r="176" spans="10:15">
      <c r="K176" s="851">
        <v>16</v>
      </c>
      <c r="L176" s="846">
        <v>16</v>
      </c>
      <c r="M176" s="847">
        <v>30.701856885714285</v>
      </c>
      <c r="N176" s="847">
        <v>57.13714327142857</v>
      </c>
      <c r="O176" s="847">
        <v>73.487428932857142</v>
      </c>
    </row>
    <row r="177" spans="10:21" s="730" customFormat="1">
      <c r="J177" s="111"/>
      <c r="K177" s="851"/>
      <c r="L177" s="846">
        <v>17</v>
      </c>
      <c r="M177" s="847">
        <v>24.932857240949314</v>
      </c>
      <c r="N177" s="847">
        <v>55.184285845075259</v>
      </c>
      <c r="O177" s="847">
        <v>80.585714067731558</v>
      </c>
      <c r="P177" s="432"/>
      <c r="Q177" s="423"/>
      <c r="R177" s="423"/>
      <c r="S177" s="423"/>
      <c r="T177" s="423"/>
      <c r="U177" s="423"/>
    </row>
    <row r="178" spans="10:21" s="730" customFormat="1">
      <c r="J178" s="111"/>
      <c r="K178" s="851"/>
      <c r="L178" s="846">
        <v>18</v>
      </c>
      <c r="M178" s="847">
        <v>46.867285591428576</v>
      </c>
      <c r="N178" s="847">
        <v>80.201000221428572</v>
      </c>
      <c r="O178" s="847">
        <v>93.131286082857144</v>
      </c>
      <c r="P178" s="432"/>
      <c r="Q178" s="423"/>
      <c r="R178" s="423"/>
      <c r="S178" s="423"/>
      <c r="T178" s="423"/>
      <c r="U178" s="423"/>
    </row>
    <row r="179" spans="10:21" s="730" customFormat="1">
      <c r="J179" s="111"/>
      <c r="K179" s="851"/>
      <c r="L179" s="846">
        <v>19</v>
      </c>
      <c r="M179" s="847">
        <v>39.880857740000003</v>
      </c>
      <c r="N179" s="847">
        <v>73.398713792857151</v>
      </c>
      <c r="O179" s="847">
        <v>43.960427964285714</v>
      </c>
      <c r="P179" s="432"/>
      <c r="Q179" s="423"/>
      <c r="R179" s="423"/>
      <c r="S179" s="423"/>
      <c r="T179" s="423"/>
      <c r="U179" s="423"/>
    </row>
    <row r="180" spans="10:21" s="730" customFormat="1">
      <c r="J180" s="111"/>
      <c r="K180" s="851">
        <v>20</v>
      </c>
      <c r="L180" s="846">
        <v>20</v>
      </c>
      <c r="M180" s="847">
        <v>34.332998821428575</v>
      </c>
      <c r="N180" s="847">
        <v>57.629714421428567</v>
      </c>
      <c r="O180" s="847">
        <v>29.038571492857141</v>
      </c>
      <c r="P180" s="432"/>
      <c r="Q180" s="423"/>
      <c r="R180" s="423"/>
      <c r="S180" s="423"/>
      <c r="T180" s="423"/>
      <c r="U180" s="423"/>
    </row>
    <row r="181" spans="10:21" s="730" customFormat="1">
      <c r="J181" s="111"/>
      <c r="K181" s="851"/>
      <c r="L181" s="846">
        <v>21</v>
      </c>
      <c r="M181" s="847">
        <v>28.39914212908057</v>
      </c>
      <c r="N181" s="847">
        <v>47.208427974155924</v>
      </c>
      <c r="O181" s="847">
        <v>20.747856957571798</v>
      </c>
      <c r="P181" s="432"/>
      <c r="Q181" s="423"/>
      <c r="R181" s="423"/>
      <c r="S181" s="423"/>
      <c r="T181" s="423"/>
      <c r="U181" s="423"/>
    </row>
    <row r="182" spans="10:21" s="730" customFormat="1">
      <c r="J182" s="111"/>
      <c r="K182" s="851"/>
      <c r="L182" s="846">
        <v>22</v>
      </c>
      <c r="M182" s="847">
        <v>19.016142710000004</v>
      </c>
      <c r="N182" s="847">
        <v>39.635571071428572</v>
      </c>
      <c r="O182" s="847">
        <v>28.597570964285715</v>
      </c>
      <c r="P182" s="432"/>
      <c r="Q182" s="423"/>
      <c r="R182" s="423"/>
      <c r="S182" s="423"/>
      <c r="T182" s="423"/>
      <c r="U182" s="423"/>
    </row>
    <row r="183" spans="10:21" s="730" customFormat="1">
      <c r="J183" s="111"/>
      <c r="K183" s="851"/>
      <c r="L183" s="846">
        <v>23</v>
      </c>
      <c r="M183" s="847">
        <v>16.323713982857143</v>
      </c>
      <c r="N183" s="847">
        <v>49.136857168571431</v>
      </c>
      <c r="O183" s="847">
        <v>19.104714530000003</v>
      </c>
      <c r="P183" s="432"/>
      <c r="Q183" s="423"/>
      <c r="R183" s="423"/>
      <c r="S183" s="423"/>
      <c r="T183" s="423"/>
      <c r="U183" s="423"/>
    </row>
    <row r="184" spans="10:21" s="730" customFormat="1">
      <c r="J184" s="111"/>
      <c r="K184" s="851">
        <v>24</v>
      </c>
      <c r="L184" s="846">
        <v>24</v>
      </c>
      <c r="M184" s="847">
        <v>14.458999906267413</v>
      </c>
      <c r="N184" s="847">
        <v>34.150428227015844</v>
      </c>
      <c r="O184" s="847">
        <v>14.211285591125442</v>
      </c>
      <c r="P184" s="432"/>
      <c r="Q184" s="423"/>
      <c r="R184" s="423"/>
      <c r="S184" s="423"/>
      <c r="T184" s="423"/>
      <c r="U184" s="423"/>
    </row>
    <row r="185" spans="10:21" s="730" customFormat="1">
      <c r="J185" s="111"/>
      <c r="K185" s="851"/>
      <c r="L185" s="846">
        <v>25</v>
      </c>
      <c r="M185" s="847">
        <v>13.476999827142858</v>
      </c>
      <c r="N185" s="847">
        <v>32.288857598571425</v>
      </c>
      <c r="O185" s="847">
        <v>11.628714288571429</v>
      </c>
      <c r="P185" s="432"/>
      <c r="Q185" s="423"/>
      <c r="R185" s="423"/>
      <c r="S185" s="423"/>
      <c r="T185" s="423"/>
      <c r="U185" s="423"/>
    </row>
    <row r="186" spans="10:21" s="730" customFormat="1">
      <c r="J186" s="111"/>
      <c r="K186" s="851"/>
      <c r="L186" s="846">
        <v>26</v>
      </c>
      <c r="M186" s="847">
        <v>14.175142699999999</v>
      </c>
      <c r="N186" s="847">
        <v>29.45585686714286</v>
      </c>
      <c r="O186" s="847">
        <v>11.67571422</v>
      </c>
      <c r="P186" s="432"/>
      <c r="Q186" s="423"/>
      <c r="R186" s="423"/>
      <c r="S186" s="423"/>
      <c r="T186" s="423"/>
      <c r="U186" s="423"/>
    </row>
    <row r="187" spans="10:21" s="730" customFormat="1">
      <c r="J187" s="111"/>
      <c r="K187" s="851"/>
      <c r="L187" s="846">
        <v>27</v>
      </c>
      <c r="M187" s="847">
        <v>12.859571456909155</v>
      </c>
      <c r="N187" s="847">
        <v>27.986428669520745</v>
      </c>
      <c r="O187" s="847">
        <v>27.48885754176543</v>
      </c>
      <c r="P187" s="432"/>
      <c r="Q187" s="423"/>
      <c r="R187" s="423"/>
      <c r="S187" s="423"/>
      <c r="T187" s="423"/>
      <c r="U187" s="423"/>
    </row>
    <row r="188" spans="10:21" s="730" customFormat="1">
      <c r="J188" s="111"/>
      <c r="K188" s="851">
        <v>28</v>
      </c>
      <c r="L188" s="846">
        <v>28</v>
      </c>
      <c r="M188" s="847">
        <v>11.472142902857144</v>
      </c>
      <c r="N188" s="847">
        <v>24.371857235714284</v>
      </c>
      <c r="O188" s="847">
        <v>32.395143782857147</v>
      </c>
      <c r="P188" s="432"/>
      <c r="Q188" s="423"/>
      <c r="R188" s="423"/>
      <c r="S188" s="423"/>
      <c r="T188" s="423"/>
      <c r="U188" s="423"/>
    </row>
    <row r="189" spans="10:21" s="730" customFormat="1">
      <c r="J189" s="111"/>
      <c r="K189" s="851"/>
      <c r="L189" s="846">
        <v>29</v>
      </c>
      <c r="M189" s="847">
        <v>11.32885715142857</v>
      </c>
      <c r="N189" s="847">
        <v>23.620857238571428</v>
      </c>
      <c r="O189" s="847">
        <v>14.974999971428572</v>
      </c>
      <c r="P189" s="432"/>
      <c r="Q189" s="423"/>
      <c r="R189" s="423"/>
      <c r="S189" s="423"/>
      <c r="T189" s="423"/>
      <c r="U189" s="423"/>
    </row>
    <row r="190" spans="10:21" s="730" customFormat="1">
      <c r="J190" s="111"/>
      <c r="K190" s="851"/>
      <c r="L190" s="846">
        <v>30</v>
      </c>
      <c r="M190" s="847">
        <v>11.152000155714285</v>
      </c>
      <c r="N190" s="847">
        <v>26.757428577142853</v>
      </c>
      <c r="O190" s="847">
        <v>14.12842846</v>
      </c>
      <c r="P190" s="432"/>
      <c r="Q190" s="423"/>
      <c r="R190" s="423"/>
      <c r="S190" s="423"/>
      <c r="T190" s="423"/>
      <c r="U190" s="423"/>
    </row>
    <row r="191" spans="10:21" s="730" customFormat="1">
      <c r="J191" s="111"/>
      <c r="K191" s="851"/>
      <c r="L191" s="846">
        <v>31</v>
      </c>
      <c r="M191" s="847">
        <v>10.852571488571428</v>
      </c>
      <c r="N191" s="847">
        <v>26.481285638571428</v>
      </c>
      <c r="O191" s="847">
        <v>10.121857098285714</v>
      </c>
      <c r="P191" s="432"/>
      <c r="Q191" s="423"/>
      <c r="R191" s="423"/>
      <c r="S191" s="423"/>
      <c r="T191" s="423"/>
      <c r="U191" s="423"/>
    </row>
    <row r="192" spans="10:21" s="730" customFormat="1">
      <c r="J192" s="111"/>
      <c r="K192" s="851">
        <v>32</v>
      </c>
      <c r="L192" s="846">
        <v>32</v>
      </c>
      <c r="M192" s="847">
        <v>10.338285718645329</v>
      </c>
      <c r="N192" s="847">
        <v>25.506571633475126</v>
      </c>
      <c r="O192" s="847">
        <v>7.7241428239004906</v>
      </c>
      <c r="P192" s="432"/>
      <c r="Q192" s="423"/>
      <c r="R192" s="423"/>
      <c r="S192" s="423"/>
      <c r="T192" s="423"/>
      <c r="U192" s="423"/>
    </row>
    <row r="193" spans="10:21" s="730" customFormat="1">
      <c r="J193" s="111"/>
      <c r="K193" s="851"/>
      <c r="L193" s="846">
        <v>33</v>
      </c>
      <c r="M193" s="847">
        <v>11.413999967142857</v>
      </c>
      <c r="N193" s="847">
        <v>31.441428594285707</v>
      </c>
      <c r="O193" s="847">
        <v>8.5772858349999996</v>
      </c>
      <c r="P193" s="432"/>
      <c r="Q193" s="423"/>
      <c r="R193" s="423"/>
      <c r="S193" s="423"/>
      <c r="T193" s="423"/>
      <c r="U193" s="423"/>
    </row>
    <row r="194" spans="10:21" s="730" customFormat="1">
      <c r="J194" s="111"/>
      <c r="K194" s="851"/>
      <c r="L194" s="846">
        <v>34</v>
      </c>
      <c r="M194" s="847">
        <v>11.662143027142859</v>
      </c>
      <c r="N194" s="847">
        <v>33.365713935714282</v>
      </c>
      <c r="O194" s="847">
        <v>6.7090001108571427</v>
      </c>
      <c r="P194" s="432"/>
      <c r="Q194" s="423"/>
      <c r="R194" s="423"/>
      <c r="S194" s="423"/>
      <c r="T194" s="423"/>
      <c r="U194" s="423"/>
    </row>
    <row r="195" spans="10:21">
      <c r="K195" s="851">
        <v>35</v>
      </c>
      <c r="L195" s="846">
        <v>35</v>
      </c>
      <c r="M195" s="847">
        <v>11.541428702218141</v>
      </c>
      <c r="N195" s="847">
        <v>29.068999699183816</v>
      </c>
      <c r="O195" s="847">
        <v>5.7295714105878517</v>
      </c>
    </row>
    <row r="196" spans="10:21">
      <c r="K196" s="851"/>
      <c r="M196" s="847"/>
      <c r="N196" s="847"/>
      <c r="O196" s="847"/>
    </row>
    <row r="197" spans="10:21">
      <c r="K197" s="851"/>
      <c r="L197" s="851"/>
      <c r="M197" s="847"/>
      <c r="N197" s="847"/>
      <c r="O197" s="847"/>
    </row>
    <row r="198" spans="10:21">
      <c r="K198" s="851"/>
      <c r="L198" s="851"/>
      <c r="M198" s="847"/>
      <c r="N198" s="847"/>
      <c r="O198" s="847"/>
    </row>
    <row r="199" spans="10:21">
      <c r="K199" s="851"/>
      <c r="L199" s="851"/>
    </row>
    <row r="200" spans="10:21">
      <c r="K200" s="671"/>
      <c r="L200" s="851"/>
      <c r="M200" s="847"/>
      <c r="N200" s="847"/>
      <c r="O200" s="847"/>
    </row>
    <row r="201" spans="10:21">
      <c r="K201" s="671"/>
      <c r="L201" s="851"/>
      <c r="M201" s="847"/>
      <c r="N201" s="847"/>
      <c r="O201" s="847"/>
    </row>
    <row r="202" spans="10:21">
      <c r="K202" s="671"/>
      <c r="L202" s="851"/>
      <c r="M202" s="847"/>
      <c r="N202" s="847"/>
      <c r="O202" s="847"/>
    </row>
    <row r="203" spans="10:21">
      <c r="K203" s="851"/>
      <c r="L203" s="851"/>
      <c r="M203" s="432" t="s">
        <v>263</v>
      </c>
      <c r="N203" s="432" t="s">
        <v>264</v>
      </c>
      <c r="O203" s="432" t="s">
        <v>265</v>
      </c>
    </row>
    <row r="204" spans="10:21">
      <c r="K204" s="671"/>
      <c r="L204" s="851"/>
      <c r="M204" s="847"/>
      <c r="N204" s="847"/>
      <c r="O204" s="847"/>
    </row>
    <row r="205" spans="10:21">
      <c r="K205" s="671"/>
      <c r="L205" s="851"/>
      <c r="M205" s="847"/>
      <c r="N205" s="847"/>
      <c r="O205" s="847"/>
    </row>
    <row r="206" spans="10:21">
      <c r="K206" s="671"/>
      <c r="L206" s="851"/>
      <c r="M206" s="847"/>
      <c r="N206" s="847"/>
      <c r="O206" s="847"/>
    </row>
    <row r="207" spans="10:21">
      <c r="K207" s="851"/>
      <c r="L207" s="851"/>
      <c r="M207" s="847"/>
      <c r="N207" s="847"/>
      <c r="O207" s="847"/>
    </row>
    <row r="208" spans="10:21">
      <c r="K208" s="671"/>
      <c r="L208" s="851"/>
      <c r="M208" s="847"/>
      <c r="N208" s="847"/>
      <c r="O208" s="847"/>
    </row>
    <row r="209" spans="11:15">
      <c r="K209" s="671"/>
      <c r="L209" s="851"/>
      <c r="M209" s="847"/>
      <c r="N209" s="847"/>
      <c r="O209" s="847"/>
    </row>
    <row r="210" spans="11:15">
      <c r="K210" s="671"/>
      <c r="L210" s="851"/>
      <c r="M210" s="847"/>
      <c r="N210" s="847"/>
      <c r="O210" s="847"/>
    </row>
    <row r="211" spans="11:15">
      <c r="K211" s="671"/>
      <c r="L211" s="851"/>
      <c r="M211" s="847"/>
      <c r="N211" s="847"/>
      <c r="O211" s="847"/>
    </row>
    <row r="212" spans="11:15">
      <c r="K212" s="671"/>
      <c r="L212" s="851"/>
      <c r="M212" s="847"/>
      <c r="N212" s="847"/>
      <c r="O212" s="847"/>
    </row>
    <row r="213" spans="11:15">
      <c r="K213" s="671"/>
      <c r="L213" s="851"/>
      <c r="M213" s="847"/>
      <c r="N213" s="847"/>
      <c r="O213" s="847"/>
    </row>
    <row r="214" spans="11:15">
      <c r="K214" s="671"/>
      <c r="L214" s="851"/>
      <c r="M214" s="847"/>
      <c r="N214" s="847"/>
      <c r="O214" s="847"/>
    </row>
    <row r="215" spans="11:15">
      <c r="K215" s="671"/>
      <c r="L215" s="851"/>
      <c r="M215" s="847"/>
      <c r="N215" s="847"/>
      <c r="O215" s="847"/>
    </row>
    <row r="216" spans="11:15">
      <c r="M216" s="847"/>
      <c r="N216" s="847"/>
      <c r="O216" s="847"/>
    </row>
    <row r="217" spans="11:15">
      <c r="M217" s="847"/>
      <c r="N217" s="847"/>
      <c r="O217" s="847"/>
    </row>
    <row r="218" spans="11:15">
      <c r="M218" s="847"/>
      <c r="N218" s="847"/>
      <c r="O218" s="847"/>
    </row>
    <row r="219" spans="11:15">
      <c r="M219" s="847"/>
      <c r="N219" s="847"/>
      <c r="O219" s="847"/>
    </row>
    <row r="220" spans="11:15">
      <c r="M220" s="847"/>
      <c r="N220" s="847"/>
      <c r="O220" s="847"/>
    </row>
    <row r="221" spans="11:15">
      <c r="M221" s="847"/>
      <c r="N221" s="847"/>
      <c r="O221" s="847"/>
    </row>
    <row r="222" spans="11:15">
      <c r="M222" s="847"/>
      <c r="N222" s="847"/>
      <c r="O222" s="847"/>
    </row>
    <row r="223" spans="11:15">
      <c r="M223" s="847"/>
      <c r="N223" s="847"/>
      <c r="O223" s="847"/>
    </row>
    <row r="224" spans="11:15">
      <c r="M224" s="847"/>
      <c r="N224" s="847"/>
      <c r="O224" s="847"/>
    </row>
    <row r="225" spans="13:15">
      <c r="M225" s="847"/>
      <c r="N225" s="847"/>
      <c r="O225" s="847"/>
    </row>
    <row r="226" spans="13:15">
      <c r="M226" s="847"/>
      <c r="N226" s="847"/>
      <c r="O226" s="847"/>
    </row>
    <row r="227" spans="13:15">
      <c r="M227" s="847"/>
      <c r="N227" s="847"/>
      <c r="O227" s="847"/>
    </row>
    <row r="228" spans="13:15">
      <c r="M228" s="847"/>
      <c r="N228" s="847"/>
      <c r="O228" s="847"/>
    </row>
    <row r="229" spans="13:15">
      <c r="M229" s="847"/>
      <c r="N229" s="847"/>
      <c r="O229" s="847"/>
    </row>
    <row r="231" spans="13:15">
      <c r="M231" s="432" t="s">
        <v>263</v>
      </c>
      <c r="N231" s="432" t="s">
        <v>264</v>
      </c>
      <c r="O231" s="432" t="s">
        <v>265</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Agosto 2020
INFSGI-MES-08-2020
14/09/2020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34"/>
  <sheetViews>
    <sheetView showGridLines="0" view="pageBreakPreview" zoomScaleNormal="100" zoomScaleSheetLayoutView="100" zoomScalePageLayoutView="130" workbookViewId="0">
      <selection activeCell="N25" sqref="N25"/>
    </sheetView>
  </sheetViews>
  <sheetFormatPr defaultColWidth="9.33203125" defaultRowHeight="11.25"/>
  <cols>
    <col min="10" max="11" width="9.33203125" customWidth="1"/>
    <col min="13" max="16" width="9.33203125" style="423"/>
    <col min="17" max="17" width="11.6640625" style="423" bestFit="1" customWidth="1"/>
    <col min="18" max="18" width="15.1640625" style="423" customWidth="1"/>
    <col min="19" max="19" width="14.33203125" style="423" customWidth="1"/>
    <col min="20" max="20" width="14.5" style="423" customWidth="1"/>
    <col min="21" max="21" width="9.5" style="423" bestFit="1" customWidth="1"/>
    <col min="22" max="22" width="14.6640625" style="423" customWidth="1"/>
    <col min="23" max="23" width="9.5" style="423" customWidth="1"/>
    <col min="24" max="24" width="9.6640625" style="423" bestFit="1" customWidth="1"/>
    <col min="25" max="25" width="9.5" style="423" bestFit="1" customWidth="1"/>
    <col min="26" max="26" width="9.33203125" style="413"/>
    <col min="27" max="30" width="9.33203125" style="298"/>
    <col min="31" max="32" width="9.33203125" style="286"/>
  </cols>
  <sheetData>
    <row r="1" spans="1:25" ht="11.25" customHeight="1"/>
    <row r="2" spans="1:25" ht="11.25" customHeight="1">
      <c r="A2" s="299"/>
      <c r="B2" s="300"/>
      <c r="C2" s="300"/>
      <c r="D2" s="300"/>
      <c r="E2" s="300"/>
      <c r="F2" s="300"/>
      <c r="G2" s="174"/>
      <c r="H2" s="174"/>
      <c r="I2" s="132"/>
    </row>
    <row r="3" spans="1:25" ht="11.25" customHeight="1">
      <c r="A3" s="132"/>
      <c r="B3" s="132"/>
      <c r="C3" s="132"/>
      <c r="D3" s="132"/>
      <c r="E3" s="132"/>
      <c r="F3" s="132"/>
      <c r="G3" s="138"/>
      <c r="H3" s="138"/>
      <c r="I3" s="138"/>
      <c r="J3" s="148"/>
      <c r="K3" s="148"/>
      <c r="L3" s="148"/>
      <c r="O3" s="423" t="s">
        <v>262</v>
      </c>
      <c r="P3" s="424"/>
      <c r="Q3" s="423" t="s">
        <v>266</v>
      </c>
      <c r="R3" s="423" t="s">
        <v>267</v>
      </c>
      <c r="S3" s="423" t="s">
        <v>268</v>
      </c>
      <c r="T3" s="423" t="s">
        <v>269</v>
      </c>
      <c r="U3" s="423" t="s">
        <v>270</v>
      </c>
      <c r="V3" s="423" t="s">
        <v>271</v>
      </c>
      <c r="W3" s="423" t="s">
        <v>272</v>
      </c>
      <c r="X3" s="423" t="s">
        <v>273</v>
      </c>
      <c r="Y3" s="423" t="s">
        <v>274</v>
      </c>
    </row>
    <row r="4" spans="1:25" ht="11.25" customHeight="1">
      <c r="A4" s="132"/>
      <c r="B4" s="132"/>
      <c r="C4" s="132"/>
      <c r="D4" s="132"/>
      <c r="E4" s="132"/>
      <c r="F4" s="132"/>
      <c r="G4" s="138"/>
      <c r="H4" s="138"/>
      <c r="I4" s="138"/>
      <c r="J4" s="148"/>
      <c r="K4" s="148"/>
      <c r="L4" s="148"/>
      <c r="N4" s="423">
        <v>2017</v>
      </c>
      <c r="O4" s="423">
        <v>1</v>
      </c>
      <c r="P4" s="424">
        <v>1</v>
      </c>
      <c r="Q4" s="425">
        <v>13.85</v>
      </c>
      <c r="R4" s="425">
        <v>11.3</v>
      </c>
      <c r="S4" s="425">
        <v>104.02</v>
      </c>
      <c r="T4" s="425">
        <v>148.43</v>
      </c>
      <c r="U4" s="425">
        <v>24.1</v>
      </c>
      <c r="V4" s="425">
        <v>10.220000000000001</v>
      </c>
      <c r="W4" s="425">
        <v>3.28</v>
      </c>
      <c r="X4" s="425">
        <v>89.46</v>
      </c>
      <c r="Y4" s="425">
        <v>25.43</v>
      </c>
    </row>
    <row r="5" spans="1:25" ht="11.25" customHeight="1">
      <c r="A5" s="176"/>
      <c r="B5" s="176"/>
      <c r="C5" s="176"/>
      <c r="D5" s="176"/>
      <c r="E5" s="176"/>
      <c r="F5" s="176"/>
      <c r="G5" s="176"/>
      <c r="H5" s="176"/>
      <c r="I5" s="176"/>
      <c r="J5" s="24"/>
      <c r="K5" s="24"/>
      <c r="L5" s="131"/>
      <c r="P5" s="424">
        <v>2</v>
      </c>
      <c r="Q5" s="425">
        <v>14.96</v>
      </c>
      <c r="R5" s="425">
        <v>15.4</v>
      </c>
      <c r="S5" s="425">
        <v>143.97</v>
      </c>
      <c r="T5" s="425">
        <v>175.88</v>
      </c>
      <c r="U5" s="425">
        <v>33.74</v>
      </c>
      <c r="V5" s="425">
        <v>10.17</v>
      </c>
      <c r="W5" s="425">
        <v>6.45</v>
      </c>
      <c r="X5" s="425">
        <v>178.14</v>
      </c>
      <c r="Y5" s="425">
        <v>55.67</v>
      </c>
    </row>
    <row r="6" spans="1:25" ht="11.25" customHeight="1">
      <c r="A6" s="132"/>
      <c r="B6" s="301"/>
      <c r="C6" s="302"/>
      <c r="D6" s="303"/>
      <c r="E6" s="303"/>
      <c r="F6" s="177"/>
      <c r="G6" s="178"/>
      <c r="H6" s="178"/>
      <c r="I6" s="179"/>
      <c r="J6" s="24"/>
      <c r="K6" s="24"/>
      <c r="L6" s="19"/>
      <c r="P6" s="424">
        <v>3</v>
      </c>
      <c r="Q6" s="425">
        <v>28.98</v>
      </c>
      <c r="R6" s="425">
        <v>21.94</v>
      </c>
      <c r="S6" s="425">
        <v>355.12</v>
      </c>
      <c r="T6" s="425">
        <v>177.57</v>
      </c>
      <c r="U6" s="425">
        <v>35.49</v>
      </c>
      <c r="V6" s="425">
        <v>10</v>
      </c>
      <c r="W6" s="425">
        <v>9.0500000000000007</v>
      </c>
      <c r="X6" s="425">
        <v>174.94</v>
      </c>
      <c r="Y6" s="425">
        <v>58.31</v>
      </c>
    </row>
    <row r="7" spans="1:25" ht="11.25" customHeight="1">
      <c r="A7" s="132"/>
      <c r="B7" s="180"/>
      <c r="C7" s="180"/>
      <c r="D7" s="181"/>
      <c r="E7" s="181"/>
      <c r="F7" s="177"/>
      <c r="G7" s="178"/>
      <c r="H7" s="178"/>
      <c r="I7" s="179"/>
      <c r="J7" s="25"/>
      <c r="K7" s="25"/>
      <c r="L7" s="22"/>
      <c r="O7" s="423">
        <v>4</v>
      </c>
      <c r="P7" s="424">
        <v>4</v>
      </c>
      <c r="Q7" s="425">
        <v>30.46</v>
      </c>
      <c r="R7" s="425">
        <v>23.91</v>
      </c>
      <c r="S7" s="425">
        <v>519.4</v>
      </c>
      <c r="T7" s="425">
        <v>205.76</v>
      </c>
      <c r="U7" s="425">
        <v>48.48</v>
      </c>
      <c r="V7" s="425">
        <v>10</v>
      </c>
      <c r="W7" s="425">
        <v>2.4300000000000002</v>
      </c>
      <c r="X7" s="425">
        <v>141.31</v>
      </c>
      <c r="Y7" s="425">
        <v>47.49</v>
      </c>
    </row>
    <row r="8" spans="1:25" ht="11.25" customHeight="1">
      <c r="A8" s="132"/>
      <c r="B8" s="182"/>
      <c r="C8" s="132"/>
      <c r="D8" s="156"/>
      <c r="E8" s="156"/>
      <c r="F8" s="177"/>
      <c r="G8" s="178"/>
      <c r="H8" s="178"/>
      <c r="I8" s="179"/>
      <c r="J8" s="23"/>
      <c r="K8" s="23"/>
      <c r="L8" s="24"/>
      <c r="P8" s="424">
        <v>5</v>
      </c>
      <c r="Q8" s="425">
        <v>21.36</v>
      </c>
      <c r="R8" s="425">
        <v>18.07</v>
      </c>
      <c r="S8" s="425">
        <v>330.78</v>
      </c>
      <c r="T8" s="425">
        <v>123.41</v>
      </c>
      <c r="U8" s="425">
        <v>25.33</v>
      </c>
      <c r="V8" s="425">
        <v>11.41</v>
      </c>
      <c r="W8" s="425">
        <v>2.87</v>
      </c>
      <c r="X8" s="425">
        <v>123.59</v>
      </c>
      <c r="Y8" s="425">
        <v>45.46</v>
      </c>
    </row>
    <row r="9" spans="1:25" ht="11.25" customHeight="1">
      <c r="A9" s="132"/>
      <c r="B9" s="182"/>
      <c r="C9" s="132"/>
      <c r="D9" s="156"/>
      <c r="E9" s="156"/>
      <c r="F9" s="177"/>
      <c r="G9" s="178"/>
      <c r="H9" s="178"/>
      <c r="I9" s="179"/>
      <c r="J9" s="25"/>
      <c r="K9" s="26"/>
      <c r="L9" s="22"/>
      <c r="P9" s="424">
        <v>6</v>
      </c>
      <c r="Q9" s="425">
        <v>25.42</v>
      </c>
      <c r="R9" s="425">
        <v>21.42</v>
      </c>
      <c r="S9" s="425">
        <v>200.58</v>
      </c>
      <c r="T9" s="425">
        <v>108.48</v>
      </c>
      <c r="U9" s="425">
        <v>22.99</v>
      </c>
      <c r="V9" s="425">
        <v>10.57</v>
      </c>
      <c r="W9" s="425">
        <v>3.01</v>
      </c>
      <c r="X9" s="425">
        <v>85.48</v>
      </c>
      <c r="Y9" s="425">
        <v>28.56</v>
      </c>
    </row>
    <row r="10" spans="1:25" ht="11.25" customHeight="1">
      <c r="A10" s="132"/>
      <c r="B10" s="182"/>
      <c r="C10" s="132"/>
      <c r="D10" s="156"/>
      <c r="E10" s="156"/>
      <c r="F10" s="177"/>
      <c r="G10" s="178"/>
      <c r="H10" s="178"/>
      <c r="I10" s="179"/>
      <c r="J10" s="25"/>
      <c r="K10" s="25"/>
      <c r="L10" s="22"/>
      <c r="P10" s="424">
        <v>7</v>
      </c>
      <c r="Q10" s="425">
        <v>35.43</v>
      </c>
      <c r="R10" s="425">
        <v>25.12</v>
      </c>
      <c r="S10" s="425">
        <v>393.69</v>
      </c>
      <c r="T10" s="425">
        <v>144.62</v>
      </c>
      <c r="U10" s="425">
        <v>39.44</v>
      </c>
      <c r="V10" s="425">
        <v>10</v>
      </c>
      <c r="W10" s="425">
        <v>2.88</v>
      </c>
      <c r="X10" s="425">
        <v>100.57</v>
      </c>
      <c r="Y10" s="425">
        <v>25.04</v>
      </c>
    </row>
    <row r="11" spans="1:25" ht="11.25" customHeight="1">
      <c r="A11" s="132"/>
      <c r="B11" s="156"/>
      <c r="C11" s="132"/>
      <c r="D11" s="156"/>
      <c r="E11" s="156"/>
      <c r="F11" s="177"/>
      <c r="G11" s="178"/>
      <c r="H11" s="178"/>
      <c r="I11" s="179"/>
      <c r="J11" s="25"/>
      <c r="K11" s="25"/>
      <c r="L11" s="22"/>
      <c r="O11" s="423">
        <v>8</v>
      </c>
      <c r="P11" s="424">
        <v>8</v>
      </c>
      <c r="Q11" s="425">
        <v>30.45</v>
      </c>
      <c r="R11" s="425">
        <v>23.33</v>
      </c>
      <c r="S11" s="425">
        <v>345.37</v>
      </c>
      <c r="T11" s="425">
        <v>140.63</v>
      </c>
      <c r="U11" s="425">
        <v>30.47</v>
      </c>
      <c r="V11" s="425">
        <v>9.58</v>
      </c>
      <c r="W11" s="425">
        <v>2.0699999999999998</v>
      </c>
      <c r="X11" s="425">
        <v>163.72999999999999</v>
      </c>
      <c r="Y11" s="425">
        <v>58.84</v>
      </c>
    </row>
    <row r="12" spans="1:25" ht="11.25" customHeight="1">
      <c r="A12" s="132"/>
      <c r="B12" s="156"/>
      <c r="C12" s="132"/>
      <c r="D12" s="156"/>
      <c r="E12" s="156"/>
      <c r="F12" s="177"/>
      <c r="G12" s="178"/>
      <c r="H12" s="178"/>
      <c r="I12" s="179"/>
      <c r="J12" s="25"/>
      <c r="K12" s="25"/>
      <c r="L12" s="22"/>
      <c r="P12" s="424">
        <v>9</v>
      </c>
      <c r="Q12" s="425">
        <v>37.72</v>
      </c>
      <c r="R12" s="425">
        <v>24.83</v>
      </c>
      <c r="S12" s="425">
        <v>567.22</v>
      </c>
      <c r="T12" s="425">
        <v>245.85</v>
      </c>
      <c r="U12" s="425">
        <v>67.56</v>
      </c>
      <c r="V12" s="425">
        <v>9.01</v>
      </c>
      <c r="W12" s="425">
        <v>7.33</v>
      </c>
      <c r="X12" s="425">
        <v>285.31</v>
      </c>
      <c r="Y12" s="425">
        <v>102.26</v>
      </c>
    </row>
    <row r="13" spans="1:25" ht="11.25" customHeight="1">
      <c r="A13" s="132"/>
      <c r="B13" s="156"/>
      <c r="C13" s="132"/>
      <c r="D13" s="156"/>
      <c r="E13" s="156"/>
      <c r="F13" s="177"/>
      <c r="G13" s="178"/>
      <c r="H13" s="178"/>
      <c r="I13" s="179"/>
      <c r="J13" s="23"/>
      <c r="K13" s="23"/>
      <c r="L13" s="24"/>
      <c r="P13" s="424">
        <v>10</v>
      </c>
      <c r="Q13" s="425">
        <v>36.46</v>
      </c>
      <c r="R13" s="425">
        <v>24.95</v>
      </c>
      <c r="S13" s="425">
        <v>467.04</v>
      </c>
      <c r="T13" s="425">
        <v>188.01</v>
      </c>
      <c r="U13" s="425">
        <v>50.5</v>
      </c>
      <c r="V13" s="425">
        <v>10.06</v>
      </c>
      <c r="W13" s="425">
        <v>3.71</v>
      </c>
      <c r="X13" s="425">
        <v>374.33</v>
      </c>
      <c r="Y13" s="425">
        <v>83.74</v>
      </c>
    </row>
    <row r="14" spans="1:25" ht="11.25" customHeight="1">
      <c r="A14" s="132"/>
      <c r="B14" s="156"/>
      <c r="C14" s="132"/>
      <c r="D14" s="156"/>
      <c r="E14" s="156"/>
      <c r="F14" s="177"/>
      <c r="G14" s="178"/>
      <c r="H14" s="178"/>
      <c r="I14" s="179"/>
      <c r="J14" s="25"/>
      <c r="K14" s="26"/>
      <c r="L14" s="22"/>
      <c r="P14" s="424">
        <v>11</v>
      </c>
      <c r="Q14" s="425">
        <v>35.590000000000003</v>
      </c>
      <c r="R14" s="425">
        <v>26.89</v>
      </c>
      <c r="S14" s="425">
        <v>448.3</v>
      </c>
      <c r="T14" s="425">
        <v>169.95</v>
      </c>
      <c r="U14" s="425">
        <v>51.21</v>
      </c>
      <c r="V14" s="425">
        <v>26.15</v>
      </c>
      <c r="W14" s="425">
        <v>8.66</v>
      </c>
      <c r="X14" s="425">
        <v>219.86</v>
      </c>
      <c r="Y14" s="425">
        <v>62.42</v>
      </c>
    </row>
    <row r="15" spans="1:25" ht="11.25" customHeight="1">
      <c r="A15" s="132"/>
      <c r="B15" s="156"/>
      <c r="C15" s="132"/>
      <c r="D15" s="156"/>
      <c r="E15" s="156"/>
      <c r="F15" s="177"/>
      <c r="G15" s="178"/>
      <c r="H15" s="178"/>
      <c r="I15" s="179"/>
      <c r="J15" s="25"/>
      <c r="K15" s="26"/>
      <c r="L15" s="22"/>
      <c r="O15" s="423">
        <v>12</v>
      </c>
      <c r="P15" s="424">
        <v>12</v>
      </c>
      <c r="Q15" s="425">
        <v>37.82</v>
      </c>
      <c r="R15" s="425">
        <v>20.6</v>
      </c>
      <c r="S15" s="425">
        <v>350.87</v>
      </c>
      <c r="T15" s="425">
        <v>146.01</v>
      </c>
      <c r="U15" s="425">
        <v>38.08</v>
      </c>
      <c r="V15" s="425">
        <v>12.43</v>
      </c>
      <c r="W15" s="425">
        <v>5.63</v>
      </c>
      <c r="X15" s="425">
        <v>190.11</v>
      </c>
      <c r="Y15" s="425">
        <v>52.01</v>
      </c>
    </row>
    <row r="16" spans="1:25" ht="11.25" customHeight="1">
      <c r="A16" s="132"/>
      <c r="B16" s="156"/>
      <c r="C16" s="132"/>
      <c r="D16" s="156"/>
      <c r="E16" s="156"/>
      <c r="F16" s="177"/>
      <c r="G16" s="178"/>
      <c r="H16" s="178"/>
      <c r="I16" s="179"/>
      <c r="J16" s="25"/>
      <c r="K16" s="26"/>
      <c r="L16" s="22"/>
      <c r="P16" s="424">
        <v>13</v>
      </c>
      <c r="Q16" s="425">
        <v>35.93</v>
      </c>
      <c r="R16" s="425">
        <v>24.02</v>
      </c>
      <c r="S16" s="425">
        <v>380.48</v>
      </c>
      <c r="T16" s="425">
        <v>173.02</v>
      </c>
      <c r="U16" s="425">
        <v>38.869999999999997</v>
      </c>
      <c r="V16" s="425">
        <v>11.98</v>
      </c>
      <c r="W16" s="425">
        <v>5.83</v>
      </c>
      <c r="X16" s="425">
        <v>272.08999999999997</v>
      </c>
      <c r="Y16" s="425">
        <v>65.430000000000007</v>
      </c>
    </row>
    <row r="17" spans="1:25" ht="11.25" customHeight="1">
      <c r="A17" s="132"/>
      <c r="B17" s="156"/>
      <c r="C17" s="132"/>
      <c r="D17" s="156"/>
      <c r="E17" s="156"/>
      <c r="F17" s="177"/>
      <c r="G17" s="178"/>
      <c r="H17" s="178"/>
      <c r="I17" s="179"/>
      <c r="J17" s="25"/>
      <c r="K17" s="26"/>
      <c r="L17" s="22"/>
      <c r="P17" s="424">
        <v>14</v>
      </c>
      <c r="Q17" s="425">
        <v>42.9</v>
      </c>
      <c r="R17" s="425">
        <v>17.87</v>
      </c>
      <c r="S17" s="425">
        <v>427.28</v>
      </c>
      <c r="T17" s="425">
        <v>137.65</v>
      </c>
      <c r="U17" s="425">
        <v>35.950000000000003</v>
      </c>
      <c r="V17" s="425">
        <v>28.72</v>
      </c>
      <c r="W17" s="425">
        <v>4.95</v>
      </c>
      <c r="X17" s="425">
        <v>301.82</v>
      </c>
      <c r="Y17" s="425">
        <v>71.06</v>
      </c>
    </row>
    <row r="18" spans="1:25" ht="11.25" customHeight="1">
      <c r="A18" s="968" t="s">
        <v>469</v>
      </c>
      <c r="B18" s="968"/>
      <c r="C18" s="968"/>
      <c r="D18" s="968"/>
      <c r="E18" s="968"/>
      <c r="F18" s="968"/>
      <c r="G18" s="968"/>
      <c r="H18" s="968"/>
      <c r="I18" s="968"/>
      <c r="J18" s="968"/>
      <c r="K18" s="968"/>
      <c r="L18" s="968"/>
      <c r="P18" s="424">
        <v>15</v>
      </c>
      <c r="Q18" s="425">
        <v>31.19</v>
      </c>
      <c r="R18" s="425">
        <v>17.87</v>
      </c>
      <c r="S18" s="425">
        <v>334.14</v>
      </c>
      <c r="T18" s="425">
        <v>129.9</v>
      </c>
      <c r="U18" s="425">
        <v>29.93</v>
      </c>
      <c r="V18" s="425">
        <v>16.28</v>
      </c>
      <c r="W18" s="425">
        <v>1.82</v>
      </c>
      <c r="X18" s="425">
        <v>203.49</v>
      </c>
      <c r="Y18" s="425">
        <v>77.099999999999994</v>
      </c>
    </row>
    <row r="19" spans="1:25" ht="11.25" customHeight="1">
      <c r="A19" s="25"/>
      <c r="B19" s="156"/>
      <c r="C19" s="132"/>
      <c r="D19" s="156"/>
      <c r="E19" s="156"/>
      <c r="F19" s="177"/>
      <c r="G19" s="178"/>
      <c r="H19" s="178"/>
      <c r="I19" s="179"/>
      <c r="J19" s="25"/>
      <c r="K19" s="26"/>
      <c r="L19" s="22"/>
      <c r="O19" s="423">
        <v>16</v>
      </c>
      <c r="P19" s="424">
        <v>16</v>
      </c>
      <c r="Q19" s="425">
        <v>22.8</v>
      </c>
      <c r="R19" s="425">
        <v>11.46</v>
      </c>
      <c r="S19" s="425">
        <v>218.96</v>
      </c>
      <c r="T19" s="425">
        <v>100.66</v>
      </c>
      <c r="U19" s="425">
        <v>21.85</v>
      </c>
      <c r="V19" s="425">
        <v>15.43</v>
      </c>
      <c r="W19" s="425">
        <v>2.33</v>
      </c>
      <c r="X19" s="425">
        <v>155.33000000000001</v>
      </c>
      <c r="Y19" s="425">
        <v>48.77</v>
      </c>
    </row>
    <row r="20" spans="1:25" ht="11.25" customHeight="1">
      <c r="A20" s="132"/>
      <c r="B20" s="156"/>
      <c r="C20" s="132"/>
      <c r="D20" s="156"/>
      <c r="E20" s="156"/>
      <c r="F20" s="177"/>
      <c r="G20" s="178"/>
      <c r="H20" s="178"/>
      <c r="I20" s="179"/>
      <c r="J20" s="25"/>
      <c r="K20" s="26"/>
      <c r="L20" s="22"/>
      <c r="P20" s="424">
        <v>17</v>
      </c>
      <c r="Q20" s="425">
        <v>20.18</v>
      </c>
      <c r="R20" s="425">
        <v>11.46</v>
      </c>
      <c r="S20" s="425">
        <v>180.47</v>
      </c>
      <c r="T20" s="425">
        <v>91.24</v>
      </c>
      <c r="U20" s="425">
        <v>18.89</v>
      </c>
      <c r="V20" s="425">
        <v>12.29</v>
      </c>
      <c r="W20" s="425">
        <v>1.9</v>
      </c>
      <c r="X20" s="425">
        <v>111.37</v>
      </c>
      <c r="Y20" s="425">
        <v>34.409999999999997</v>
      </c>
    </row>
    <row r="21" spans="1:25" ht="11.25" customHeight="1">
      <c r="A21" s="132"/>
      <c r="B21" s="156"/>
      <c r="C21" s="132"/>
      <c r="D21" s="156"/>
      <c r="E21" s="156"/>
      <c r="F21" s="177"/>
      <c r="G21" s="178"/>
      <c r="H21" s="178"/>
      <c r="I21" s="179"/>
      <c r="J21" s="25"/>
      <c r="K21" s="29"/>
      <c r="L21" s="30"/>
      <c r="P21" s="424">
        <v>18</v>
      </c>
      <c r="Q21" s="425">
        <v>19.84</v>
      </c>
      <c r="R21" s="425">
        <v>10.36</v>
      </c>
      <c r="S21" s="425">
        <v>212.89</v>
      </c>
      <c r="T21" s="425">
        <v>98.95</v>
      </c>
      <c r="U21" s="425">
        <v>19.899999999999999</v>
      </c>
      <c r="V21" s="425">
        <v>11.64</v>
      </c>
      <c r="W21" s="425">
        <v>1.46</v>
      </c>
      <c r="X21" s="425">
        <v>117.05</v>
      </c>
      <c r="Y21" s="425">
        <v>28.8</v>
      </c>
    </row>
    <row r="22" spans="1:25" ht="11.25" customHeight="1">
      <c r="A22" s="137"/>
      <c r="B22" s="156"/>
      <c r="C22" s="132"/>
      <c r="D22" s="156"/>
      <c r="E22" s="156"/>
      <c r="F22" s="177"/>
      <c r="G22" s="178"/>
      <c r="H22" s="178"/>
      <c r="I22" s="179"/>
      <c r="J22" s="25"/>
      <c r="K22" s="26"/>
      <c r="L22" s="22"/>
      <c r="P22" s="424">
        <v>19</v>
      </c>
      <c r="Q22" s="425">
        <v>21.4</v>
      </c>
      <c r="R22" s="425">
        <v>9.25</v>
      </c>
      <c r="S22" s="425">
        <v>199.54</v>
      </c>
      <c r="T22" s="425">
        <v>89.02</v>
      </c>
      <c r="U22" s="425">
        <v>15.9</v>
      </c>
      <c r="V22" s="425">
        <v>11</v>
      </c>
      <c r="W22" s="425">
        <v>1.36</v>
      </c>
      <c r="X22" s="425">
        <v>79.2</v>
      </c>
      <c r="Y22" s="425">
        <v>22.78</v>
      </c>
    </row>
    <row r="23" spans="1:25" ht="11.25" customHeight="1">
      <c r="A23" s="137"/>
      <c r="B23" s="156"/>
      <c r="C23" s="132"/>
      <c r="D23" s="156"/>
      <c r="E23" s="156"/>
      <c r="F23" s="177"/>
      <c r="G23" s="178"/>
      <c r="H23" s="178"/>
      <c r="I23" s="179"/>
      <c r="J23" s="25"/>
      <c r="K23" s="26"/>
      <c r="L23" s="22"/>
      <c r="O23" s="423">
        <v>20</v>
      </c>
      <c r="P23" s="424">
        <v>20</v>
      </c>
      <c r="Q23" s="425">
        <v>17.23</v>
      </c>
      <c r="R23" s="425">
        <v>6.32</v>
      </c>
      <c r="S23" s="425">
        <v>136.84</v>
      </c>
      <c r="T23" s="425">
        <v>72.95</v>
      </c>
      <c r="U23" s="425">
        <v>15.03</v>
      </c>
      <c r="V23" s="425">
        <v>11</v>
      </c>
      <c r="W23" s="425">
        <v>1.98</v>
      </c>
      <c r="X23" s="425">
        <v>69.37</v>
      </c>
      <c r="Y23" s="425">
        <v>17.8</v>
      </c>
    </row>
    <row r="24" spans="1:25" ht="11.25" customHeight="1">
      <c r="A24" s="137"/>
      <c r="B24" s="156"/>
      <c r="C24" s="132"/>
      <c r="D24" s="156"/>
      <c r="E24" s="156"/>
      <c r="F24" s="177"/>
      <c r="G24" s="178"/>
      <c r="H24" s="178"/>
      <c r="I24" s="179"/>
      <c r="J24" s="26"/>
      <c r="K24" s="26"/>
      <c r="L24" s="22"/>
      <c r="P24" s="424">
        <v>21</v>
      </c>
      <c r="Q24" s="425">
        <v>16.09</v>
      </c>
      <c r="R24" s="425">
        <v>6.32</v>
      </c>
      <c r="S24" s="425">
        <v>116.86</v>
      </c>
      <c r="T24" s="425">
        <v>99.42</v>
      </c>
      <c r="U24" s="425">
        <v>20.059999999999999</v>
      </c>
      <c r="V24" s="425">
        <v>11.01</v>
      </c>
      <c r="W24" s="425">
        <v>1.6</v>
      </c>
      <c r="X24" s="425">
        <v>68.8</v>
      </c>
      <c r="Y24" s="425">
        <v>17.84</v>
      </c>
    </row>
    <row r="25" spans="1:25" ht="11.25" customHeight="1">
      <c r="A25" s="137"/>
      <c r="B25" s="156"/>
      <c r="C25" s="132"/>
      <c r="D25" s="156"/>
      <c r="E25" s="156"/>
      <c r="F25" s="177"/>
      <c r="G25" s="178"/>
      <c r="H25" s="178"/>
      <c r="I25" s="179"/>
      <c r="J25" s="25"/>
      <c r="K25" s="29"/>
      <c r="L25" s="30"/>
      <c r="P25" s="424">
        <v>22</v>
      </c>
      <c r="Q25" s="425">
        <v>15.1</v>
      </c>
      <c r="R25" s="425">
        <v>5.59</v>
      </c>
      <c r="S25" s="425">
        <v>118.58</v>
      </c>
      <c r="T25" s="425">
        <v>79.099999999999994</v>
      </c>
      <c r="U25" s="425">
        <v>16</v>
      </c>
      <c r="V25" s="425">
        <v>11</v>
      </c>
      <c r="W25" s="425">
        <v>1.01</v>
      </c>
      <c r="X25" s="425">
        <v>69.05</v>
      </c>
      <c r="Y25" s="425">
        <v>16.37</v>
      </c>
    </row>
    <row r="26" spans="1:25" ht="11.25" customHeight="1">
      <c r="A26" s="137"/>
      <c r="B26" s="156"/>
      <c r="C26" s="132"/>
      <c r="D26" s="156"/>
      <c r="E26" s="156"/>
      <c r="F26" s="138"/>
      <c r="G26" s="138"/>
      <c r="H26" s="138"/>
      <c r="I26" s="138"/>
      <c r="J26" s="23"/>
      <c r="K26" s="26"/>
      <c r="L26" s="22"/>
      <c r="P26" s="424">
        <v>23</v>
      </c>
      <c r="Q26" s="425">
        <v>14.28</v>
      </c>
      <c r="R26" s="425">
        <v>4.8499999999999996</v>
      </c>
      <c r="S26" s="425">
        <v>112.05</v>
      </c>
      <c r="T26" s="425">
        <v>63.27</v>
      </c>
      <c r="U26" s="425">
        <v>13.78</v>
      </c>
      <c r="V26" s="425">
        <v>11</v>
      </c>
      <c r="W26" s="425">
        <v>1.82</v>
      </c>
      <c r="X26" s="425">
        <v>54.09</v>
      </c>
      <c r="Y26" s="425">
        <v>13.15</v>
      </c>
    </row>
    <row r="27" spans="1:25" ht="11.25" customHeight="1">
      <c r="A27" s="137"/>
      <c r="B27" s="156"/>
      <c r="C27" s="132"/>
      <c r="D27" s="156"/>
      <c r="E27" s="156"/>
      <c r="F27" s="138"/>
      <c r="G27" s="138"/>
      <c r="H27" s="138"/>
      <c r="I27" s="138"/>
      <c r="J27" s="23"/>
      <c r="K27" s="26"/>
      <c r="L27" s="22"/>
      <c r="O27" s="423">
        <v>24</v>
      </c>
      <c r="P27" s="424">
        <v>24</v>
      </c>
      <c r="Q27" s="425">
        <v>13.3</v>
      </c>
      <c r="R27" s="425">
        <v>4.8499999999999996</v>
      </c>
      <c r="S27" s="425">
        <v>91.62</v>
      </c>
      <c r="T27" s="425">
        <v>49.79</v>
      </c>
      <c r="U27" s="425">
        <v>11.29</v>
      </c>
      <c r="V27" s="425">
        <v>11</v>
      </c>
      <c r="W27" s="425">
        <v>1.89</v>
      </c>
      <c r="X27" s="425">
        <v>45.31</v>
      </c>
      <c r="Y27" s="425">
        <v>10.85</v>
      </c>
    </row>
    <row r="28" spans="1:25" ht="11.25" customHeight="1">
      <c r="A28" s="136"/>
      <c r="B28" s="138"/>
      <c r="C28" s="138"/>
      <c r="D28" s="138"/>
      <c r="E28" s="138"/>
      <c r="F28" s="138"/>
      <c r="G28" s="138"/>
      <c r="H28" s="138"/>
      <c r="I28" s="138"/>
      <c r="J28" s="25"/>
      <c r="K28" s="26"/>
      <c r="L28" s="22"/>
      <c r="P28" s="424">
        <v>25</v>
      </c>
      <c r="Q28" s="425">
        <v>12.63</v>
      </c>
      <c r="R28" s="425">
        <v>3.77</v>
      </c>
      <c r="S28" s="425">
        <v>81.33</v>
      </c>
      <c r="T28" s="425">
        <v>46.74</v>
      </c>
      <c r="U28" s="425">
        <v>10.02</v>
      </c>
      <c r="V28" s="425">
        <v>11</v>
      </c>
      <c r="W28" s="425">
        <v>1.77</v>
      </c>
      <c r="X28" s="425">
        <v>40.42</v>
      </c>
      <c r="Y28" s="425">
        <v>8.98</v>
      </c>
    </row>
    <row r="29" spans="1:25" ht="11.25" customHeight="1">
      <c r="A29" s="136"/>
      <c r="B29" s="138"/>
      <c r="C29" s="138"/>
      <c r="D29" s="138"/>
      <c r="E29" s="138"/>
      <c r="F29" s="138"/>
      <c r="G29" s="138"/>
      <c r="H29" s="138"/>
      <c r="I29" s="138"/>
      <c r="J29" s="25"/>
      <c r="K29" s="26"/>
      <c r="L29" s="22"/>
      <c r="P29" s="424">
        <v>26</v>
      </c>
      <c r="Q29" s="425">
        <v>11.92</v>
      </c>
      <c r="R29" s="425">
        <v>3.77</v>
      </c>
      <c r="S29" s="425">
        <v>80.900000000000006</v>
      </c>
      <c r="T29" s="425">
        <v>41.45</v>
      </c>
      <c r="U29" s="425">
        <v>9.24</v>
      </c>
      <c r="V29" s="425">
        <v>12</v>
      </c>
      <c r="W29" s="425">
        <v>1.86</v>
      </c>
      <c r="X29" s="425">
        <v>37.89</v>
      </c>
      <c r="Y29" s="425">
        <v>9.41</v>
      </c>
    </row>
    <row r="30" spans="1:25" ht="11.25" customHeight="1">
      <c r="A30" s="136"/>
      <c r="B30" s="138"/>
      <c r="C30" s="138"/>
      <c r="D30" s="138"/>
      <c r="E30" s="138"/>
      <c r="F30" s="138"/>
      <c r="G30" s="138"/>
      <c r="H30" s="138"/>
      <c r="I30" s="138"/>
      <c r="J30" s="25"/>
      <c r="K30" s="26"/>
      <c r="L30" s="22"/>
      <c r="P30" s="424">
        <v>27</v>
      </c>
      <c r="Q30" s="425">
        <v>11.92</v>
      </c>
      <c r="R30" s="425">
        <v>3.91</v>
      </c>
      <c r="S30" s="425">
        <v>82.99</v>
      </c>
      <c r="T30" s="425">
        <v>60.31</v>
      </c>
      <c r="U30" s="425">
        <v>9.73</v>
      </c>
      <c r="V30" s="425">
        <v>12</v>
      </c>
      <c r="W30" s="425">
        <v>1.9</v>
      </c>
      <c r="X30" s="425">
        <v>38.229999999999997</v>
      </c>
      <c r="Y30" s="425">
        <v>8.58</v>
      </c>
    </row>
    <row r="31" spans="1:25" ht="11.25" customHeight="1">
      <c r="A31" s="136"/>
      <c r="B31" s="138"/>
      <c r="C31" s="138"/>
      <c r="D31" s="138"/>
      <c r="E31" s="138"/>
      <c r="F31" s="138"/>
      <c r="G31" s="138"/>
      <c r="H31" s="138"/>
      <c r="I31" s="138"/>
      <c r="J31" s="25"/>
      <c r="K31" s="26"/>
      <c r="L31" s="22"/>
      <c r="O31" s="423">
        <v>28</v>
      </c>
      <c r="P31" s="424">
        <v>28</v>
      </c>
      <c r="Q31" s="425">
        <v>11.04</v>
      </c>
      <c r="R31" s="425">
        <v>3.91</v>
      </c>
      <c r="S31" s="425">
        <v>71.739999999999995</v>
      </c>
      <c r="T31" s="425">
        <v>39.090000000000003</v>
      </c>
      <c r="U31" s="425">
        <v>8.42</v>
      </c>
      <c r="V31" s="425">
        <v>12</v>
      </c>
      <c r="W31" s="425">
        <v>1.65</v>
      </c>
      <c r="X31" s="425">
        <v>33.9</v>
      </c>
      <c r="Y31" s="425">
        <v>6.64</v>
      </c>
    </row>
    <row r="32" spans="1:25" ht="11.25" customHeight="1">
      <c r="A32" s="136"/>
      <c r="B32" s="138"/>
      <c r="C32" s="138"/>
      <c r="D32" s="138"/>
      <c r="E32" s="138"/>
      <c r="F32" s="138"/>
      <c r="G32" s="138"/>
      <c r="H32" s="138"/>
      <c r="I32" s="138"/>
      <c r="J32" s="26"/>
      <c r="K32" s="26"/>
      <c r="L32" s="22"/>
      <c r="P32" s="424">
        <v>29</v>
      </c>
      <c r="Q32" s="425">
        <v>10.27</v>
      </c>
      <c r="R32" s="425">
        <v>3.42</v>
      </c>
      <c r="S32" s="425">
        <v>67.8</v>
      </c>
      <c r="T32" s="425">
        <v>32.590000000000003</v>
      </c>
      <c r="U32" s="425">
        <v>7.7</v>
      </c>
      <c r="V32" s="425">
        <v>10.51</v>
      </c>
      <c r="W32" s="425">
        <v>1.79</v>
      </c>
      <c r="X32" s="425">
        <v>31.97</v>
      </c>
      <c r="Y32" s="425">
        <v>6.49</v>
      </c>
    </row>
    <row r="33" spans="1:25" ht="11.25" customHeight="1">
      <c r="A33" s="136"/>
      <c r="B33" s="138"/>
      <c r="C33" s="138"/>
      <c r="D33" s="138"/>
      <c r="E33" s="138"/>
      <c r="F33" s="138"/>
      <c r="G33" s="138"/>
      <c r="H33" s="138"/>
      <c r="I33" s="138"/>
      <c r="J33" s="25"/>
      <c r="K33" s="26"/>
      <c r="L33" s="22"/>
      <c r="P33" s="424">
        <v>30</v>
      </c>
      <c r="Q33" s="425">
        <v>9.4700000000000006</v>
      </c>
      <c r="R33" s="425">
        <v>3.42</v>
      </c>
      <c r="S33" s="425">
        <v>69.62</v>
      </c>
      <c r="T33" s="425">
        <v>28.39</v>
      </c>
      <c r="U33" s="425">
        <v>7.39</v>
      </c>
      <c r="V33" s="425">
        <v>12</v>
      </c>
      <c r="W33" s="425">
        <v>1.64</v>
      </c>
      <c r="X33" s="425">
        <v>31.76</v>
      </c>
      <c r="Y33" s="425">
        <v>6.15</v>
      </c>
    </row>
    <row r="34" spans="1:25" ht="11.25" customHeight="1">
      <c r="A34" s="136"/>
      <c r="B34" s="138"/>
      <c r="C34" s="138"/>
      <c r="D34" s="138"/>
      <c r="E34" s="138"/>
      <c r="F34" s="138"/>
      <c r="G34" s="138"/>
      <c r="H34" s="138"/>
      <c r="I34" s="138"/>
      <c r="J34" s="25"/>
      <c r="K34" s="34"/>
      <c r="L34" s="22"/>
      <c r="P34" s="424">
        <v>31</v>
      </c>
      <c r="Q34" s="425">
        <v>9.0500000000000007</v>
      </c>
      <c r="R34" s="425">
        <v>3.3</v>
      </c>
      <c r="S34" s="425">
        <v>61.71</v>
      </c>
      <c r="T34" s="425">
        <v>26.51</v>
      </c>
      <c r="U34" s="425">
        <v>7.02</v>
      </c>
      <c r="V34" s="425">
        <v>12</v>
      </c>
      <c r="W34" s="425">
        <v>1.87</v>
      </c>
      <c r="X34" s="425">
        <v>31.68</v>
      </c>
      <c r="Y34" s="425">
        <v>5.51</v>
      </c>
    </row>
    <row r="35" spans="1:25" ht="11.25" customHeight="1">
      <c r="A35" s="136"/>
      <c r="B35" s="138"/>
      <c r="C35" s="138"/>
      <c r="D35" s="138"/>
      <c r="E35" s="138"/>
      <c r="F35" s="138"/>
      <c r="G35" s="138"/>
      <c r="H35" s="138"/>
      <c r="I35" s="138"/>
      <c r="J35" s="25"/>
      <c r="K35" s="34"/>
      <c r="L35" s="38"/>
      <c r="O35" s="423">
        <v>32</v>
      </c>
      <c r="P35" s="424">
        <v>32</v>
      </c>
      <c r="Q35" s="425">
        <v>9.9</v>
      </c>
      <c r="R35" s="425">
        <v>2.68</v>
      </c>
      <c r="S35" s="425">
        <v>65.38</v>
      </c>
      <c r="T35" s="425">
        <v>24.1</v>
      </c>
      <c r="U35" s="425">
        <v>6.7</v>
      </c>
      <c r="V35" s="425">
        <v>12</v>
      </c>
      <c r="W35" s="425">
        <v>1.95</v>
      </c>
      <c r="X35" s="425">
        <v>31.01</v>
      </c>
      <c r="Y35" s="425">
        <v>5.16</v>
      </c>
    </row>
    <row r="36" spans="1:25" ht="11.25" customHeight="1">
      <c r="A36" s="136"/>
      <c r="B36" s="138"/>
      <c r="C36" s="138"/>
      <c r="D36" s="138"/>
      <c r="E36" s="138"/>
      <c r="F36" s="138"/>
      <c r="G36" s="138"/>
      <c r="H36" s="138"/>
      <c r="I36" s="138"/>
      <c r="J36" s="25"/>
      <c r="K36" s="29"/>
      <c r="L36" s="22"/>
      <c r="P36" s="424">
        <v>33</v>
      </c>
      <c r="Q36" s="425">
        <v>9.17</v>
      </c>
      <c r="R36" s="425">
        <v>2.4300000000000002</v>
      </c>
      <c r="S36" s="425">
        <v>59.63</v>
      </c>
      <c r="T36" s="425">
        <v>24.29</v>
      </c>
      <c r="U36" s="425">
        <v>6.44</v>
      </c>
      <c r="V36" s="425">
        <v>12</v>
      </c>
      <c r="W36" s="425">
        <v>1.82</v>
      </c>
      <c r="X36" s="425">
        <v>30.23</v>
      </c>
      <c r="Y36" s="425">
        <v>5.27</v>
      </c>
    </row>
    <row r="37" spans="1:25" ht="11.25" customHeight="1">
      <c r="A37" s="136"/>
      <c r="B37" s="138"/>
      <c r="C37" s="138"/>
      <c r="D37" s="138"/>
      <c r="E37" s="138"/>
      <c r="F37" s="138"/>
      <c r="G37" s="138"/>
      <c r="H37" s="138"/>
      <c r="I37" s="138"/>
      <c r="J37" s="25"/>
      <c r="K37" s="29"/>
      <c r="L37" s="22"/>
      <c r="P37" s="424">
        <v>34</v>
      </c>
      <c r="Q37" s="425">
        <v>7.78</v>
      </c>
      <c r="R37" s="425">
        <v>2.61</v>
      </c>
      <c r="S37" s="425">
        <v>60.62</v>
      </c>
      <c r="T37" s="425">
        <v>25.9</v>
      </c>
      <c r="U37" s="425">
        <v>6.62</v>
      </c>
      <c r="V37" s="425">
        <v>12</v>
      </c>
      <c r="W37" s="425">
        <v>1.89</v>
      </c>
      <c r="X37" s="425">
        <v>32.17</v>
      </c>
      <c r="Y37" s="425">
        <v>5.0599999999999996</v>
      </c>
    </row>
    <row r="38" spans="1:25" ht="11.25" customHeight="1">
      <c r="A38" s="136"/>
      <c r="B38" s="138"/>
      <c r="C38" s="138"/>
      <c r="D38" s="138"/>
      <c r="E38" s="138"/>
      <c r="F38" s="138"/>
      <c r="G38" s="138"/>
      <c r="H38" s="138"/>
      <c r="I38" s="138"/>
      <c r="J38" s="25"/>
      <c r="K38" s="29"/>
      <c r="L38" s="22"/>
      <c r="P38" s="424">
        <v>35</v>
      </c>
      <c r="Q38" s="425">
        <v>7.73</v>
      </c>
      <c r="R38" s="425">
        <v>3.07</v>
      </c>
      <c r="S38" s="425">
        <v>58.47</v>
      </c>
      <c r="T38" s="425">
        <v>26.33</v>
      </c>
      <c r="U38" s="425">
        <v>6.66</v>
      </c>
      <c r="V38" s="425">
        <v>12.14</v>
      </c>
      <c r="W38" s="425">
        <v>1.97</v>
      </c>
      <c r="X38" s="425">
        <v>31.63</v>
      </c>
      <c r="Y38" s="425">
        <v>4.84</v>
      </c>
    </row>
    <row r="39" spans="1:25" ht="11.25" customHeight="1">
      <c r="O39" s="423">
        <v>36</v>
      </c>
      <c r="P39" s="424">
        <v>36</v>
      </c>
      <c r="Q39" s="425">
        <v>7.1</v>
      </c>
      <c r="R39" s="425">
        <v>3.57</v>
      </c>
      <c r="S39" s="425">
        <v>61.13</v>
      </c>
      <c r="T39" s="425">
        <v>27.35</v>
      </c>
      <c r="U39" s="425">
        <v>6.84</v>
      </c>
      <c r="V39" s="425">
        <v>13</v>
      </c>
      <c r="W39" s="425">
        <v>1.76</v>
      </c>
      <c r="X39" s="425">
        <v>34.090000000000003</v>
      </c>
      <c r="Y39" s="425">
        <v>4.8899999999999997</v>
      </c>
    </row>
    <row r="40" spans="1:25" ht="11.25" customHeight="1">
      <c r="A40" s="968" t="s">
        <v>470</v>
      </c>
      <c r="B40" s="968"/>
      <c r="C40" s="968"/>
      <c r="D40" s="968"/>
      <c r="E40" s="968"/>
      <c r="F40" s="968"/>
      <c r="G40" s="968"/>
      <c r="H40" s="968"/>
      <c r="I40" s="968"/>
      <c r="J40" s="968"/>
      <c r="K40" s="968"/>
      <c r="L40" s="968"/>
      <c r="P40" s="424">
        <v>37</v>
      </c>
      <c r="Q40" s="425">
        <v>7.53</v>
      </c>
      <c r="R40" s="425">
        <v>5.04</v>
      </c>
      <c r="S40" s="425">
        <v>59.93</v>
      </c>
      <c r="T40" s="425">
        <v>34.56</v>
      </c>
      <c r="U40" s="425">
        <v>7.96</v>
      </c>
      <c r="V40" s="425">
        <v>13</v>
      </c>
      <c r="W40" s="425">
        <v>1.7</v>
      </c>
      <c r="X40" s="425">
        <v>38.06</v>
      </c>
      <c r="Y40" s="425">
        <v>8.4</v>
      </c>
    </row>
    <row r="41" spans="1:25" ht="11.25" customHeight="1">
      <c r="P41" s="424">
        <v>38</v>
      </c>
      <c r="Q41" s="425">
        <v>9.73</v>
      </c>
      <c r="R41" s="425">
        <v>3.75</v>
      </c>
      <c r="S41" s="425">
        <v>64.319999999999993</v>
      </c>
      <c r="T41" s="425">
        <v>41.74</v>
      </c>
      <c r="U41" s="425">
        <v>9.43</v>
      </c>
      <c r="V41" s="425">
        <v>13</v>
      </c>
      <c r="W41" s="425">
        <v>1.77</v>
      </c>
      <c r="X41" s="425">
        <v>41.12</v>
      </c>
      <c r="Y41" s="425">
        <v>6.42</v>
      </c>
    </row>
    <row r="42" spans="1:25" ht="11.25" customHeight="1">
      <c r="A42" s="136"/>
      <c r="B42" s="138"/>
      <c r="C42" s="138"/>
      <c r="D42" s="138"/>
      <c r="E42" s="138"/>
      <c r="F42" s="138"/>
      <c r="G42" s="138"/>
      <c r="H42" s="138"/>
      <c r="I42" s="138"/>
      <c r="O42" s="423">
        <v>39</v>
      </c>
      <c r="P42" s="424">
        <v>39</v>
      </c>
      <c r="Q42" s="425">
        <v>7.21</v>
      </c>
      <c r="R42" s="425">
        <v>3.83</v>
      </c>
      <c r="S42" s="425">
        <v>66.83</v>
      </c>
      <c r="T42" s="425">
        <v>46.48</v>
      </c>
      <c r="U42" s="425">
        <v>7.93</v>
      </c>
      <c r="V42" s="425">
        <v>13</v>
      </c>
      <c r="W42" s="425">
        <v>1.99</v>
      </c>
      <c r="X42" s="425">
        <v>33.06</v>
      </c>
      <c r="Y42" s="425">
        <v>7.98</v>
      </c>
    </row>
    <row r="43" spans="1:25" ht="11.25" customHeight="1">
      <c r="A43" s="136"/>
      <c r="B43" s="138"/>
      <c r="C43" s="138"/>
      <c r="D43" s="138"/>
      <c r="E43" s="138"/>
      <c r="F43" s="138"/>
      <c r="G43" s="138"/>
      <c r="H43" s="138"/>
      <c r="I43" s="138"/>
      <c r="P43" s="424">
        <v>40</v>
      </c>
      <c r="Q43" s="425">
        <v>6.89</v>
      </c>
      <c r="R43" s="425">
        <v>3.2</v>
      </c>
      <c r="S43" s="425">
        <v>56.32</v>
      </c>
      <c r="T43" s="425">
        <v>28.11</v>
      </c>
      <c r="U43" s="425">
        <v>6.02</v>
      </c>
      <c r="V43" s="425">
        <v>13</v>
      </c>
      <c r="W43" s="425">
        <v>1.48</v>
      </c>
      <c r="X43" s="425">
        <v>35.54</v>
      </c>
      <c r="Y43" s="425">
        <v>5.32</v>
      </c>
    </row>
    <row r="44" spans="1:25" ht="11.25" customHeight="1">
      <c r="A44" s="136"/>
      <c r="B44" s="138"/>
      <c r="C44" s="138"/>
      <c r="D44" s="138"/>
      <c r="E44" s="138"/>
      <c r="F44" s="138"/>
      <c r="G44" s="138"/>
      <c r="H44" s="138"/>
      <c r="I44" s="138"/>
      <c r="P44" s="424">
        <v>41</v>
      </c>
      <c r="Q44" s="425">
        <v>7.51</v>
      </c>
      <c r="R44" s="425">
        <v>3.26</v>
      </c>
      <c r="S44" s="425">
        <v>57.18</v>
      </c>
      <c r="T44" s="425">
        <v>32.11</v>
      </c>
      <c r="U44" s="425">
        <v>6.5</v>
      </c>
      <c r="V44" s="425">
        <v>13</v>
      </c>
      <c r="W44" s="425">
        <v>1.53</v>
      </c>
      <c r="X44" s="425">
        <v>37.47</v>
      </c>
      <c r="Y44" s="425">
        <v>4.95</v>
      </c>
    </row>
    <row r="45" spans="1:25" ht="11.25" customHeight="1">
      <c r="A45" s="136"/>
      <c r="B45" s="138"/>
      <c r="C45" s="138"/>
      <c r="D45" s="138"/>
      <c r="E45" s="138"/>
      <c r="F45" s="138"/>
      <c r="G45" s="138"/>
      <c r="H45" s="138"/>
      <c r="I45" s="138"/>
      <c r="P45" s="424">
        <v>42</v>
      </c>
      <c r="Q45" s="425">
        <v>7.92</v>
      </c>
      <c r="R45" s="425">
        <v>3.59</v>
      </c>
      <c r="S45" s="425">
        <v>71.87</v>
      </c>
      <c r="T45" s="425">
        <v>64.69</v>
      </c>
      <c r="U45" s="425">
        <v>9.44</v>
      </c>
      <c r="V45" s="425">
        <v>13</v>
      </c>
      <c r="W45" s="425">
        <v>1.93</v>
      </c>
      <c r="X45" s="425">
        <v>52.42</v>
      </c>
      <c r="Y45" s="425">
        <v>7.39</v>
      </c>
    </row>
    <row r="46" spans="1:25" ht="11.25" customHeight="1">
      <c r="A46" s="136"/>
      <c r="B46" s="138"/>
      <c r="C46" s="138"/>
      <c r="D46" s="138"/>
      <c r="E46" s="138"/>
      <c r="F46" s="138"/>
      <c r="G46" s="138"/>
      <c r="H46" s="138"/>
      <c r="I46" s="138"/>
      <c r="O46" s="423">
        <v>43</v>
      </c>
      <c r="P46" s="424">
        <v>43</v>
      </c>
      <c r="Q46" s="425">
        <v>9.16</v>
      </c>
      <c r="R46" s="425">
        <v>3.99</v>
      </c>
      <c r="S46" s="425">
        <v>73.22</v>
      </c>
      <c r="T46" s="425">
        <v>71.16</v>
      </c>
      <c r="U46" s="425">
        <v>8.8800000000000008</v>
      </c>
      <c r="V46" s="425">
        <v>13</v>
      </c>
      <c r="W46" s="425">
        <v>1.69</v>
      </c>
      <c r="X46" s="425">
        <v>43.93</v>
      </c>
      <c r="Y46" s="425">
        <v>6.18</v>
      </c>
    </row>
    <row r="47" spans="1:25" ht="11.25" customHeight="1">
      <c r="A47" s="136"/>
      <c r="B47" s="138"/>
      <c r="C47" s="138"/>
      <c r="D47" s="138"/>
      <c r="E47" s="138"/>
      <c r="F47" s="138"/>
      <c r="G47" s="138"/>
      <c r="H47" s="138"/>
      <c r="I47" s="138"/>
      <c r="P47" s="424">
        <v>44</v>
      </c>
      <c r="Q47" s="425">
        <v>8.81</v>
      </c>
      <c r="R47" s="425">
        <v>5.0199999999999996</v>
      </c>
      <c r="S47" s="425">
        <v>75.150000000000006</v>
      </c>
      <c r="T47" s="425">
        <v>62.33</v>
      </c>
      <c r="U47" s="425">
        <v>10.59</v>
      </c>
      <c r="V47" s="425">
        <v>13</v>
      </c>
      <c r="W47" s="425">
        <v>1.65</v>
      </c>
      <c r="X47" s="425">
        <v>40.229999999999997</v>
      </c>
      <c r="Y47" s="425">
        <v>8.7899999999999991</v>
      </c>
    </row>
    <row r="48" spans="1:25">
      <c r="A48" s="136"/>
      <c r="B48" s="138"/>
      <c r="C48" s="138"/>
      <c r="D48" s="138"/>
      <c r="E48" s="138"/>
      <c r="F48" s="138"/>
      <c r="G48" s="138"/>
      <c r="H48" s="138"/>
      <c r="I48" s="138"/>
      <c r="P48" s="424">
        <v>45</v>
      </c>
      <c r="Q48" s="425">
        <v>8.3800000000000008</v>
      </c>
      <c r="R48" s="425">
        <v>4.2</v>
      </c>
      <c r="S48" s="425">
        <v>67.39</v>
      </c>
      <c r="T48" s="425">
        <v>61.76</v>
      </c>
      <c r="U48" s="425">
        <v>10.039999999999999</v>
      </c>
      <c r="V48" s="425">
        <v>13</v>
      </c>
      <c r="W48" s="425">
        <v>1.51</v>
      </c>
      <c r="X48" s="425">
        <v>41.85</v>
      </c>
      <c r="Y48" s="425">
        <v>11.45</v>
      </c>
    </row>
    <row r="49" spans="1:25">
      <c r="A49" s="136"/>
      <c r="B49" s="138"/>
      <c r="C49" s="138"/>
      <c r="D49" s="138"/>
      <c r="E49" s="138"/>
      <c r="F49" s="138"/>
      <c r="G49" s="138"/>
      <c r="H49" s="138"/>
      <c r="I49" s="138"/>
      <c r="P49" s="424">
        <v>46</v>
      </c>
      <c r="Q49" s="425">
        <v>7.55</v>
      </c>
      <c r="R49" s="425">
        <v>3.7</v>
      </c>
      <c r="S49" s="425">
        <v>66.959999999999994</v>
      </c>
      <c r="T49" s="425">
        <v>66.040000000000006</v>
      </c>
      <c r="U49" s="425">
        <v>8.7799999999999994</v>
      </c>
      <c r="V49" s="425">
        <v>13</v>
      </c>
      <c r="W49" s="425">
        <v>1.65</v>
      </c>
      <c r="X49" s="425">
        <v>70.849999999999994</v>
      </c>
      <c r="Y49" s="425">
        <v>14.58</v>
      </c>
    </row>
    <row r="50" spans="1:25">
      <c r="A50" s="136"/>
      <c r="B50" s="138"/>
      <c r="C50" s="138"/>
      <c r="D50" s="138"/>
      <c r="E50" s="138"/>
      <c r="F50" s="138"/>
      <c r="G50" s="138"/>
      <c r="H50" s="138"/>
      <c r="I50" s="138"/>
      <c r="P50" s="424">
        <v>47</v>
      </c>
      <c r="Q50" s="425">
        <v>7.39</v>
      </c>
      <c r="R50" s="425">
        <v>3.85</v>
      </c>
      <c r="S50" s="425">
        <v>67.72</v>
      </c>
      <c r="T50" s="425">
        <v>52.82</v>
      </c>
      <c r="U50" s="425">
        <v>7.81</v>
      </c>
      <c r="V50" s="425">
        <v>13</v>
      </c>
      <c r="W50" s="425">
        <v>1.6</v>
      </c>
      <c r="X50" s="425">
        <v>64.819999999999993</v>
      </c>
      <c r="Y50" s="425">
        <v>12.14</v>
      </c>
    </row>
    <row r="51" spans="1:25">
      <c r="A51" s="136"/>
      <c r="B51" s="138"/>
      <c r="C51" s="138"/>
      <c r="D51" s="138"/>
      <c r="E51" s="138"/>
      <c r="F51" s="138"/>
      <c r="G51" s="138"/>
      <c r="H51" s="138"/>
      <c r="I51" s="138"/>
      <c r="O51" s="423">
        <v>48</v>
      </c>
      <c r="P51" s="424">
        <v>48</v>
      </c>
      <c r="Q51" s="425">
        <v>7.9678571564285718</v>
      </c>
      <c r="R51" s="425">
        <v>3.558142900428571</v>
      </c>
      <c r="S51" s="425">
        <v>77.366571698571434</v>
      </c>
      <c r="T51" s="425">
        <v>66.577285762857144</v>
      </c>
      <c r="U51" s="425">
        <v>9.1851428580000007</v>
      </c>
      <c r="V51" s="425">
        <v>13.005714417142858</v>
      </c>
      <c r="W51" s="425">
        <v>1.6</v>
      </c>
      <c r="X51" s="425">
        <v>47.846427917142854</v>
      </c>
      <c r="Y51" s="425">
        <v>12.516714369142859</v>
      </c>
    </row>
    <row r="52" spans="1:25">
      <c r="A52" s="136"/>
      <c r="B52" s="138"/>
      <c r="C52" s="138"/>
      <c r="D52" s="138"/>
      <c r="E52" s="138"/>
      <c r="F52" s="138"/>
      <c r="G52" s="138"/>
      <c r="H52" s="138"/>
      <c r="I52" s="138"/>
      <c r="P52" s="424">
        <v>49</v>
      </c>
      <c r="Q52" s="425">
        <v>8.4875713758571436</v>
      </c>
      <c r="R52" s="425">
        <v>3.2600000074285718</v>
      </c>
      <c r="S52" s="425">
        <v>84.55585806714285</v>
      </c>
      <c r="T52" s="425">
        <v>72.732000077142857</v>
      </c>
      <c r="U52" s="425">
        <v>14.04828548342857</v>
      </c>
      <c r="V52" s="425">
        <v>13.002857208571429</v>
      </c>
      <c r="W52" s="425">
        <v>1.6</v>
      </c>
      <c r="X52" s="425">
        <v>57.322143555714298</v>
      </c>
      <c r="Y52" s="425">
        <v>18.826999800000003</v>
      </c>
    </row>
    <row r="53" spans="1:25">
      <c r="A53" s="136"/>
      <c r="B53" s="138"/>
      <c r="C53" s="138"/>
      <c r="D53" s="138"/>
      <c r="E53" s="138"/>
      <c r="F53" s="138"/>
      <c r="G53" s="138"/>
      <c r="H53" s="138"/>
      <c r="I53" s="138"/>
      <c r="P53" s="424">
        <v>50</v>
      </c>
      <c r="Q53" s="425">
        <v>8.7257142747142868</v>
      </c>
      <c r="R53" s="425">
        <v>3.4628571441428577</v>
      </c>
      <c r="S53" s="425">
        <v>77.460142951428566</v>
      </c>
      <c r="T53" s="425">
        <v>64.097142899999994</v>
      </c>
      <c r="U53" s="425">
        <v>11.032857077571427</v>
      </c>
      <c r="V53" s="425">
        <v>13</v>
      </c>
      <c r="W53" s="425">
        <v>1.6000000240000001</v>
      </c>
      <c r="X53" s="425">
        <v>51.470714571428573</v>
      </c>
      <c r="Y53" s="425">
        <v>20.280285972857143</v>
      </c>
    </row>
    <row r="54" spans="1:25">
      <c r="A54" s="136"/>
      <c r="B54" s="138"/>
      <c r="C54" s="138"/>
      <c r="D54" s="138"/>
      <c r="E54" s="138"/>
      <c r="F54" s="138"/>
      <c r="G54" s="138"/>
      <c r="H54" s="138"/>
      <c r="I54" s="138"/>
      <c r="P54" s="424">
        <v>51</v>
      </c>
      <c r="Q54" s="425">
        <v>9.7215715127142861</v>
      </c>
      <c r="R54" s="425">
        <v>4.2539999484285715</v>
      </c>
      <c r="S54" s="425">
        <v>78.166143688571424</v>
      </c>
      <c r="T54" s="425">
        <v>94.237856191428577</v>
      </c>
      <c r="U54" s="425">
        <v>14.381428445285712</v>
      </c>
      <c r="V54" s="425">
        <v>13.01285743857143</v>
      </c>
      <c r="W54" s="425">
        <v>1.6257142851428572</v>
      </c>
      <c r="X54" s="425">
        <v>65.58357184285714</v>
      </c>
      <c r="Y54" s="425">
        <v>34.849000112857141</v>
      </c>
    </row>
    <row r="55" spans="1:25">
      <c r="A55" s="136"/>
      <c r="B55" s="138"/>
      <c r="C55" s="138"/>
      <c r="D55" s="138"/>
      <c r="E55" s="138"/>
      <c r="F55" s="138"/>
      <c r="G55" s="138"/>
      <c r="H55" s="138"/>
      <c r="I55" s="138"/>
      <c r="O55" s="423">
        <v>52</v>
      </c>
      <c r="P55" s="424">
        <v>52</v>
      </c>
      <c r="Q55" s="425">
        <v>10.323285784571427</v>
      </c>
      <c r="R55" s="425">
        <v>4.6457142829999993</v>
      </c>
      <c r="S55" s="425">
        <v>86.972714017142849</v>
      </c>
      <c r="T55" s="425">
        <v>94.357285634285716</v>
      </c>
      <c r="U55" s="425">
        <v>13.293999945714287</v>
      </c>
      <c r="V55" s="425">
        <v>13.09681579142857</v>
      </c>
      <c r="W55" s="425">
        <v>1.644999981</v>
      </c>
      <c r="X55" s="425">
        <v>104.27285767571428</v>
      </c>
      <c r="Y55" s="425">
        <v>35.335714887142856</v>
      </c>
    </row>
    <row r="56" spans="1:25">
      <c r="A56" s="136"/>
      <c r="B56" s="138"/>
      <c r="C56" s="138"/>
      <c r="D56" s="138"/>
      <c r="E56" s="138"/>
      <c r="F56" s="138"/>
      <c r="G56" s="138"/>
      <c r="H56" s="138"/>
      <c r="I56" s="138"/>
      <c r="N56" s="423">
        <v>2018</v>
      </c>
      <c r="O56" s="423">
        <v>1</v>
      </c>
      <c r="P56" s="424">
        <v>1</v>
      </c>
      <c r="Q56" s="425">
        <v>10.34</v>
      </c>
      <c r="R56" s="425">
        <v>4.4628571428571426</v>
      </c>
      <c r="S56" s="425">
        <v>140.04142857142858</v>
      </c>
      <c r="T56" s="425">
        <v>143.09</v>
      </c>
      <c r="U56" s="425">
        <v>20.63</v>
      </c>
      <c r="V56" s="425">
        <v>13</v>
      </c>
      <c r="W56" s="425">
        <v>1.64</v>
      </c>
      <c r="X56" s="425">
        <v>201.2428571428571</v>
      </c>
      <c r="Y56" s="425">
        <v>63.23</v>
      </c>
    </row>
    <row r="57" spans="1:25">
      <c r="A57" s="136"/>
      <c r="B57" s="138"/>
      <c r="C57" s="138"/>
      <c r="D57" s="138"/>
      <c r="E57" s="138"/>
      <c r="F57" s="138"/>
      <c r="G57" s="138"/>
      <c r="H57" s="138"/>
      <c r="I57" s="138"/>
      <c r="P57" s="424">
        <v>2</v>
      </c>
      <c r="Q57" s="425">
        <v>13.730999947142859</v>
      </c>
      <c r="R57" s="425">
        <v>3.5944285392857145</v>
      </c>
      <c r="S57" s="425">
        <v>209.91800362857143</v>
      </c>
      <c r="T57" s="425">
        <v>160.98214394285716</v>
      </c>
      <c r="U57" s="425">
        <v>36.213856559999996</v>
      </c>
      <c r="V57" s="425">
        <v>11.774285724285715</v>
      </c>
      <c r="W57" s="425">
        <v>1.5914286031428568</v>
      </c>
      <c r="X57" s="425">
        <v>229.4250030571429</v>
      </c>
      <c r="Y57" s="425">
        <v>56.654285431428562</v>
      </c>
    </row>
    <row r="58" spans="1:25">
      <c r="A58" s="136"/>
      <c r="B58" s="138"/>
      <c r="C58" s="138"/>
      <c r="D58" s="138"/>
      <c r="E58" s="138"/>
      <c r="F58" s="138"/>
      <c r="G58" s="138"/>
      <c r="H58" s="138"/>
      <c r="I58" s="138"/>
      <c r="P58" s="424">
        <v>3</v>
      </c>
      <c r="Q58" s="425">
        <v>15.983285902857142</v>
      </c>
      <c r="R58" s="425">
        <v>8.3045714242857152</v>
      </c>
      <c r="S58" s="425">
        <v>223.6645725857143</v>
      </c>
      <c r="T58" s="425">
        <v>190.44042751428574</v>
      </c>
      <c r="U58" s="425">
        <v>30.819142750000001</v>
      </c>
      <c r="V58" s="425">
        <v>11.857142857142858</v>
      </c>
      <c r="W58" s="425">
        <v>1.5814286125714285</v>
      </c>
      <c r="X58" s="425">
        <v>261.56357028571426</v>
      </c>
      <c r="Y58" s="425">
        <v>68.516428267142857</v>
      </c>
    </row>
    <row r="59" spans="1:25">
      <c r="A59" s="136"/>
      <c r="B59" s="138"/>
      <c r="C59" s="138"/>
      <c r="D59" s="138"/>
      <c r="E59" s="138"/>
      <c r="F59" s="138"/>
      <c r="G59" s="138"/>
      <c r="H59" s="138"/>
      <c r="I59" s="138"/>
      <c r="O59" s="423">
        <v>4</v>
      </c>
      <c r="P59" s="424">
        <v>4</v>
      </c>
      <c r="Q59" s="425">
        <v>21.988571574285714</v>
      </c>
      <c r="R59" s="425">
        <v>15.598142828000002</v>
      </c>
      <c r="S59" s="425">
        <v>346.88342720000003</v>
      </c>
      <c r="T59" s="425">
        <v>205.5832868285714</v>
      </c>
      <c r="U59" s="425">
        <v>40.893000467142862</v>
      </c>
      <c r="V59" s="425">
        <v>18.734285627142857</v>
      </c>
      <c r="W59" s="425">
        <v>1.5700000519999997</v>
      </c>
      <c r="X59" s="425">
        <v>261.98000009999998</v>
      </c>
      <c r="Y59" s="425">
        <v>58.935427530000005</v>
      </c>
    </row>
    <row r="60" spans="1:25">
      <c r="A60" s="136"/>
      <c r="B60" s="138"/>
      <c r="C60" s="138"/>
      <c r="D60" s="138"/>
      <c r="E60" s="138"/>
      <c r="F60" s="138"/>
      <c r="G60" s="138"/>
      <c r="H60" s="138"/>
      <c r="I60" s="138"/>
      <c r="P60" s="424">
        <v>5</v>
      </c>
      <c r="Q60" s="425">
        <v>17.729000225714284</v>
      </c>
      <c r="R60" s="425">
        <v>13.724571365714285</v>
      </c>
      <c r="S60" s="425">
        <v>214.95928737142859</v>
      </c>
      <c r="T60" s="425">
        <v>93.607142857142861</v>
      </c>
      <c r="U60" s="425">
        <v>17.748285841428572</v>
      </c>
      <c r="V60" s="425">
        <v>23.390000208571426</v>
      </c>
      <c r="W60" s="425">
        <v>1.5700000519999997</v>
      </c>
      <c r="X60" s="425">
        <v>141.83571514285714</v>
      </c>
      <c r="Y60" s="425">
        <v>45.332857951428579</v>
      </c>
    </row>
    <row r="61" spans="1:25">
      <c r="A61" s="136"/>
      <c r="B61" s="138"/>
      <c r="C61" s="138"/>
      <c r="D61" s="138"/>
      <c r="E61" s="138"/>
      <c r="F61" s="138"/>
      <c r="G61" s="138"/>
      <c r="H61" s="138"/>
      <c r="I61" s="138"/>
      <c r="P61" s="424">
        <v>6</v>
      </c>
      <c r="Q61" s="425">
        <v>13.582571572857143</v>
      </c>
      <c r="R61" s="425">
        <v>8.6634286477142854</v>
      </c>
      <c r="S61" s="425">
        <v>166.34242902857142</v>
      </c>
      <c r="T61" s="425">
        <v>108.25571334000001</v>
      </c>
      <c r="U61" s="425">
        <v>18.79157175142857</v>
      </c>
      <c r="V61" s="425">
        <v>20.201017107142857</v>
      </c>
      <c r="W61" s="425">
        <v>2.3694285491428571</v>
      </c>
      <c r="X61" s="425">
        <v>164.55714089999998</v>
      </c>
      <c r="Y61" s="425">
        <v>65.987571171428584</v>
      </c>
    </row>
    <row r="62" spans="1:25">
      <c r="A62" s="136"/>
      <c r="B62" s="138"/>
      <c r="C62" s="138"/>
      <c r="D62" s="138"/>
      <c r="E62" s="138"/>
      <c r="F62" s="138"/>
      <c r="G62" s="138"/>
      <c r="H62" s="138"/>
      <c r="I62" s="138"/>
      <c r="P62" s="424">
        <v>7</v>
      </c>
      <c r="Q62" s="425">
        <v>14.722571237142859</v>
      </c>
      <c r="R62" s="425">
        <v>11.071428435428571</v>
      </c>
      <c r="S62" s="425">
        <v>239.50057330000001</v>
      </c>
      <c r="T62" s="425">
        <v>202.98199900000003</v>
      </c>
      <c r="U62" s="425">
        <v>42.088571821428573</v>
      </c>
      <c r="V62" s="425">
        <v>15.283185821428571</v>
      </c>
      <c r="W62" s="425">
        <v>3.1689999100000001</v>
      </c>
      <c r="X62" s="425">
        <v>355.31285748571423</v>
      </c>
      <c r="Y62" s="425">
        <v>97.722999031428586</v>
      </c>
    </row>
    <row r="63" spans="1:25">
      <c r="A63" s="136"/>
      <c r="B63" s="138"/>
      <c r="C63" s="138"/>
      <c r="D63" s="138"/>
      <c r="E63" s="138"/>
      <c r="F63" s="138"/>
      <c r="G63" s="138"/>
      <c r="H63" s="138"/>
      <c r="I63" s="138"/>
      <c r="O63" s="423">
        <v>8</v>
      </c>
      <c r="P63" s="424">
        <v>8</v>
      </c>
      <c r="Q63" s="425">
        <v>18.48</v>
      </c>
      <c r="R63" s="425">
        <v>14.97</v>
      </c>
      <c r="S63" s="425">
        <v>357.61814662857148</v>
      </c>
      <c r="T63" s="425">
        <v>251.1</v>
      </c>
      <c r="U63" s="425">
        <v>43.74</v>
      </c>
      <c r="V63" s="425">
        <v>16.564</v>
      </c>
      <c r="W63" s="425">
        <v>3.16</v>
      </c>
      <c r="X63" s="425">
        <v>437.78</v>
      </c>
      <c r="Y63" s="425">
        <v>142.13</v>
      </c>
    </row>
    <row r="64" spans="1:25" ht="6" customHeight="1">
      <c r="A64" s="136"/>
      <c r="B64" s="138"/>
      <c r="C64" s="138"/>
      <c r="D64" s="138"/>
      <c r="E64" s="138"/>
      <c r="F64" s="138"/>
      <c r="G64" s="138"/>
      <c r="H64" s="138"/>
      <c r="I64" s="138"/>
      <c r="P64" s="424">
        <v>9</v>
      </c>
      <c r="Q64" s="425">
        <v>21.652428627142854</v>
      </c>
      <c r="R64" s="425">
        <v>14.185285431142857</v>
      </c>
      <c r="S64" s="425">
        <v>333.90885488571433</v>
      </c>
      <c r="T64" s="425">
        <v>204.95843285714287</v>
      </c>
      <c r="U64" s="425">
        <v>31.755000522857138</v>
      </c>
      <c r="V64" s="425">
        <v>15.852976190476195</v>
      </c>
      <c r="W64" s="425">
        <v>3.1689999100000001</v>
      </c>
      <c r="X64" s="425">
        <v>424.14571271428576</v>
      </c>
      <c r="Y64" s="425">
        <v>142.13857270714286</v>
      </c>
    </row>
    <row r="65" spans="1:25" ht="24.75" customHeight="1">
      <c r="A65" s="939" t="s">
        <v>471</v>
      </c>
      <c r="B65" s="939"/>
      <c r="C65" s="939"/>
      <c r="D65" s="939"/>
      <c r="E65" s="939"/>
      <c r="F65" s="939"/>
      <c r="G65" s="939"/>
      <c r="H65" s="939"/>
      <c r="I65" s="939"/>
      <c r="J65" s="939"/>
      <c r="K65" s="939"/>
      <c r="L65" s="939"/>
      <c r="P65" s="424">
        <v>10</v>
      </c>
      <c r="Q65" s="425">
        <v>30.272714344285713</v>
      </c>
      <c r="R65" s="425">
        <v>17.434571538571429</v>
      </c>
      <c r="S65" s="425">
        <v>431.64157101428572</v>
      </c>
      <c r="T65" s="425">
        <v>177.15485925714287</v>
      </c>
      <c r="U65" s="425">
        <v>31.196571622857142</v>
      </c>
      <c r="V65" s="425">
        <v>14.442</v>
      </c>
      <c r="W65" s="425">
        <v>4.7437142644285712</v>
      </c>
      <c r="X65" s="425">
        <v>293.69142804285718</v>
      </c>
      <c r="Y65" s="425">
        <v>72.30971418</v>
      </c>
    </row>
    <row r="66" spans="1:25" ht="20.25" customHeight="1">
      <c r="P66" s="424">
        <v>11</v>
      </c>
      <c r="Q66" s="425">
        <v>28.071857179999999</v>
      </c>
      <c r="R66" s="425">
        <v>17.048571724285715</v>
      </c>
      <c r="S66" s="425">
        <v>485.98543439999997</v>
      </c>
      <c r="T66" s="425">
        <v>169.375</v>
      </c>
      <c r="U66" s="425">
        <v>52.626284462857136</v>
      </c>
      <c r="V66" s="425">
        <v>18.273</v>
      </c>
      <c r="W66" s="425">
        <v>3.0879999738571429</v>
      </c>
      <c r="X66" s="425">
        <v>511.54500034285724</v>
      </c>
      <c r="Y66" s="425">
        <v>119.7894287057143</v>
      </c>
    </row>
    <row r="67" spans="1:25">
      <c r="O67" s="423">
        <v>12</v>
      </c>
      <c r="P67" s="424">
        <v>12</v>
      </c>
      <c r="Q67" s="425">
        <v>29.90999984714286</v>
      </c>
      <c r="R67" s="425">
        <v>21.62</v>
      </c>
      <c r="S67" s="425">
        <v>465.24414497142863</v>
      </c>
      <c r="T67" s="425">
        <v>201.58328465714288</v>
      </c>
      <c r="U67" s="425">
        <v>57.669144221428567</v>
      </c>
      <c r="V67" s="425">
        <v>23.244</v>
      </c>
      <c r="W67" s="425">
        <v>4.5095714328571432</v>
      </c>
      <c r="X67" s="425">
        <v>433.89143152857145</v>
      </c>
      <c r="Y67" s="425">
        <v>152.80443028571429</v>
      </c>
    </row>
    <row r="68" spans="1:25">
      <c r="P68" s="424">
        <v>13</v>
      </c>
      <c r="Q68" s="425">
        <v>28.360142844285718</v>
      </c>
      <c r="R68" s="425">
        <v>17.439428465714283</v>
      </c>
      <c r="S68" s="425">
        <v>396.37686155714289</v>
      </c>
      <c r="T68" s="425">
        <v>163.75585502857143</v>
      </c>
      <c r="U68" s="425">
        <v>35.725570951428573</v>
      </c>
      <c r="V68" s="425">
        <v>23.143392837142859</v>
      </c>
      <c r="W68" s="425">
        <v>3.3929999999999998</v>
      </c>
      <c r="X68" s="425">
        <v>281.79928587142859</v>
      </c>
      <c r="Y68" s="425">
        <v>107.32928468714286</v>
      </c>
    </row>
    <row r="69" spans="1:25">
      <c r="P69" s="424">
        <v>14</v>
      </c>
      <c r="Q69" s="425">
        <v>23.830285752857144</v>
      </c>
      <c r="R69" s="425">
        <v>12.833285604571429</v>
      </c>
      <c r="S69" s="425">
        <v>226.32643345714288</v>
      </c>
      <c r="T69" s="425">
        <v>133.53585814285714</v>
      </c>
      <c r="U69" s="425">
        <v>28.622000282857147</v>
      </c>
      <c r="V69" s="425">
        <v>19.16</v>
      </c>
      <c r="W69" s="425">
        <v>1.736</v>
      </c>
      <c r="X69" s="425">
        <v>176.23214502857144</v>
      </c>
      <c r="Y69" s="425">
        <v>80.936570849999995</v>
      </c>
    </row>
    <row r="70" spans="1:25">
      <c r="P70" s="424">
        <v>15</v>
      </c>
      <c r="Q70" s="425">
        <v>27</v>
      </c>
      <c r="R70" s="425">
        <v>15.571285655714286</v>
      </c>
      <c r="S70" s="425">
        <v>207.40800040000002</v>
      </c>
      <c r="T70" s="425">
        <v>107.59514291428572</v>
      </c>
      <c r="U70" s="425">
        <v>30.753999982857145</v>
      </c>
      <c r="V70" s="425">
        <v>14.377143042857142</v>
      </c>
      <c r="W70" s="425">
        <v>1.8612856864285716</v>
      </c>
      <c r="X70" s="425">
        <v>130.09</v>
      </c>
      <c r="Y70" s="425">
        <v>42.693143572857146</v>
      </c>
    </row>
    <row r="71" spans="1:25">
      <c r="O71" s="423">
        <v>16</v>
      </c>
      <c r="P71" s="424">
        <v>16</v>
      </c>
      <c r="Q71" s="425">
        <v>19.899999999999999</v>
      </c>
      <c r="R71" s="425">
        <v>12.83</v>
      </c>
      <c r="S71" s="425">
        <v>166.38871437142856</v>
      </c>
      <c r="T71" s="425">
        <v>95.78</v>
      </c>
      <c r="U71" s="425">
        <v>29.88</v>
      </c>
      <c r="V71" s="425">
        <v>12.36</v>
      </c>
      <c r="W71" s="425">
        <v>1.9</v>
      </c>
      <c r="X71" s="425">
        <v>96.9</v>
      </c>
      <c r="Y71" s="425">
        <v>33.717142651428574</v>
      </c>
    </row>
    <row r="72" spans="1:25">
      <c r="P72" s="424">
        <v>17</v>
      </c>
      <c r="Q72" s="425">
        <v>19.14</v>
      </c>
      <c r="R72" s="425">
        <v>13.52</v>
      </c>
      <c r="S72" s="425">
        <v>168.19342804285716</v>
      </c>
      <c r="T72" s="425">
        <v>95.39</v>
      </c>
      <c r="U72" s="425">
        <v>22.257285525714284</v>
      </c>
      <c r="V72" s="425">
        <v>13.4</v>
      </c>
      <c r="W72" s="425">
        <v>1.7940000124285713</v>
      </c>
      <c r="X72" s="425">
        <v>89.59</v>
      </c>
      <c r="Y72" s="425">
        <v>27.06</v>
      </c>
    </row>
    <row r="73" spans="1:25">
      <c r="P73" s="424">
        <v>18</v>
      </c>
      <c r="Q73" s="425">
        <v>19.703571455714286</v>
      </c>
      <c r="R73" s="425">
        <v>14.166857039571427</v>
      </c>
      <c r="S73" s="425">
        <v>171.5428597714286</v>
      </c>
      <c r="T73" s="425">
        <v>85.958285739999994</v>
      </c>
      <c r="U73" s="425">
        <v>21.651714052857141</v>
      </c>
      <c r="V73" s="425">
        <v>12.785805702857145</v>
      </c>
      <c r="W73" s="425">
        <v>2.3024285860000004</v>
      </c>
      <c r="X73" s="425">
        <v>89.602142331428567</v>
      </c>
      <c r="Y73" s="425">
        <v>22.269714081428571</v>
      </c>
    </row>
    <row r="74" spans="1:25">
      <c r="P74" s="424">
        <v>19</v>
      </c>
      <c r="Q74" s="425">
        <v>15.48828561</v>
      </c>
      <c r="R74" s="425">
        <v>12.650857108142857</v>
      </c>
      <c r="S74" s="425">
        <v>146.54485865714287</v>
      </c>
      <c r="T74" s="425">
        <v>88.244000028571435</v>
      </c>
      <c r="U74" s="425">
        <v>19.037142890000002</v>
      </c>
      <c r="V74" s="425">
        <v>11.328391347142857</v>
      </c>
      <c r="W74" s="425">
        <v>1.8057142665714285</v>
      </c>
      <c r="X74" s="425">
        <v>75.568572998571426</v>
      </c>
      <c r="Y74" s="425">
        <v>17.565999711428571</v>
      </c>
    </row>
    <row r="75" spans="1:25">
      <c r="O75" s="423">
        <v>20</v>
      </c>
      <c r="P75" s="424">
        <v>20</v>
      </c>
      <c r="Q75" s="425">
        <v>14.601142882857145</v>
      </c>
      <c r="R75" s="425">
        <v>10.013285772</v>
      </c>
      <c r="S75" s="425">
        <v>112.76242937142857</v>
      </c>
      <c r="T75" s="425">
        <v>64.809571402857145</v>
      </c>
      <c r="U75" s="425">
        <v>16.531571660000001</v>
      </c>
      <c r="V75" s="425">
        <v>10.899261474285714</v>
      </c>
      <c r="W75" s="425">
        <v>1.7767143248571429</v>
      </c>
      <c r="X75" s="425">
        <v>62.208570752857149</v>
      </c>
      <c r="Y75" s="425">
        <v>14.502285821428572</v>
      </c>
    </row>
    <row r="76" spans="1:25">
      <c r="P76" s="424">
        <v>21</v>
      </c>
      <c r="Q76" s="425">
        <v>13.411285537142858</v>
      </c>
      <c r="R76" s="425">
        <v>7.8631429672857154</v>
      </c>
      <c r="S76" s="425">
        <v>94.636570517142857</v>
      </c>
      <c r="T76" s="425">
        <v>49.303714208571428</v>
      </c>
      <c r="U76" s="425">
        <v>13.450571468571427</v>
      </c>
      <c r="V76" s="425">
        <v>11.166911400000002</v>
      </c>
      <c r="W76" s="425">
        <v>1.8437143055714282</v>
      </c>
      <c r="X76" s="425">
        <v>54.38714218285714</v>
      </c>
      <c r="Y76" s="425">
        <v>12.214999879999999</v>
      </c>
    </row>
    <row r="77" spans="1:25">
      <c r="P77" s="424">
        <v>22</v>
      </c>
      <c r="Q77" s="425">
        <v>12.490285737142855</v>
      </c>
      <c r="R77" s="425">
        <v>6.4215714250000007</v>
      </c>
      <c r="S77" s="425">
        <v>81.718714031428576</v>
      </c>
      <c r="T77" s="425">
        <v>42.928571428571431</v>
      </c>
      <c r="U77" s="425">
        <v>11.897571562857141</v>
      </c>
      <c r="V77" s="425">
        <v>10.57333578442857</v>
      </c>
      <c r="W77" s="425">
        <v>1.8770000252857142</v>
      </c>
      <c r="X77" s="425">
        <v>48.837857382857138</v>
      </c>
      <c r="Y77" s="425">
        <v>10.894571441428569</v>
      </c>
    </row>
    <row r="78" spans="1:25">
      <c r="P78" s="424">
        <v>23</v>
      </c>
      <c r="Q78" s="425">
        <v>12.278000014285713</v>
      </c>
      <c r="R78" s="425">
        <v>5.5577142921428564</v>
      </c>
      <c r="S78" s="425">
        <v>83.760285512857152</v>
      </c>
      <c r="T78" s="425">
        <v>67.797571451428567</v>
      </c>
      <c r="U78" s="425">
        <v>15.801714215714284</v>
      </c>
      <c r="V78" s="425">
        <v>11.341294289999999</v>
      </c>
      <c r="W78" s="425">
        <v>1.7928571701428571</v>
      </c>
      <c r="X78" s="425">
        <v>58.175000328571436</v>
      </c>
      <c r="Y78" s="425">
        <v>13.860571451428571</v>
      </c>
    </row>
    <row r="79" spans="1:25">
      <c r="O79" s="423">
        <v>24</v>
      </c>
      <c r="P79" s="424">
        <v>24</v>
      </c>
      <c r="Q79" s="425">
        <v>10.882714271142857</v>
      </c>
      <c r="R79" s="425">
        <v>5.3317142215714286</v>
      </c>
      <c r="S79" s="425">
        <v>82.799001421428557</v>
      </c>
      <c r="T79" s="425">
        <v>63.982142857142854</v>
      </c>
      <c r="U79" s="425">
        <v>15.595999989999999</v>
      </c>
      <c r="V79" s="425">
        <v>11.96411841142857</v>
      </c>
      <c r="W79" s="425">
        <v>2.0252857377142854</v>
      </c>
      <c r="X79" s="425">
        <v>61.988572801428582</v>
      </c>
      <c r="Y79" s="425">
        <v>13.392856871428572</v>
      </c>
    </row>
    <row r="80" spans="1:25">
      <c r="P80" s="424">
        <v>25</v>
      </c>
      <c r="Q80" s="425">
        <v>10.290999957142857</v>
      </c>
      <c r="R80" s="425">
        <v>3.7498572211428569</v>
      </c>
      <c r="S80" s="425">
        <v>74.093855721428568</v>
      </c>
      <c r="T80" s="425">
        <v>53.035571505714287</v>
      </c>
      <c r="U80" s="425">
        <v>14.135857038571428</v>
      </c>
      <c r="V80" s="425">
        <v>11.79</v>
      </c>
      <c r="W80" s="425">
        <v>2.0514285564285717</v>
      </c>
      <c r="X80" s="425">
        <v>51.970714024285719</v>
      </c>
      <c r="Y80" s="425">
        <v>10.749428476857142</v>
      </c>
    </row>
    <row r="81" spans="15:25">
      <c r="P81" s="424">
        <v>26</v>
      </c>
      <c r="Q81" s="425">
        <v>9.5591429302857147</v>
      </c>
      <c r="R81" s="425">
        <v>3.5651427677142853</v>
      </c>
      <c r="S81" s="425">
        <v>66.795142037142867</v>
      </c>
      <c r="T81" s="425">
        <v>40.369000025714286</v>
      </c>
      <c r="U81" s="425">
        <v>10.912428581428573</v>
      </c>
      <c r="V81" s="425">
        <v>10.93</v>
      </c>
      <c r="W81" s="425">
        <v>2.1038571597142854</v>
      </c>
      <c r="X81" s="425">
        <v>44.390714371428579</v>
      </c>
      <c r="Y81" s="425">
        <v>9.1145714351428584</v>
      </c>
    </row>
    <row r="82" spans="15:25">
      <c r="P82" s="424">
        <v>27</v>
      </c>
      <c r="Q82" s="425">
        <v>9.3137141635714293</v>
      </c>
      <c r="R82" s="425">
        <v>4.7600000245714282</v>
      </c>
      <c r="S82" s="425">
        <v>67.368571689999996</v>
      </c>
      <c r="T82" s="425">
        <v>33.409999999999997</v>
      </c>
      <c r="U82" s="425">
        <v>9.4035714009999989</v>
      </c>
      <c r="V82" s="425">
        <v>12.51</v>
      </c>
      <c r="W82" s="425">
        <v>2.0499999999999998</v>
      </c>
      <c r="X82" s="425">
        <v>39.173571994285716</v>
      </c>
      <c r="Y82" s="425">
        <v>7.6487142698571438</v>
      </c>
    </row>
    <row r="83" spans="15:25">
      <c r="O83" s="423">
        <v>28</v>
      </c>
      <c r="P83" s="424">
        <v>28</v>
      </c>
      <c r="Q83" s="425">
        <v>8.7544284548571447</v>
      </c>
      <c r="R83" s="425">
        <v>2.5707143034285713</v>
      </c>
      <c r="S83" s="425">
        <v>65.073571887142847</v>
      </c>
      <c r="T83" s="425">
        <v>33.160714285714285</v>
      </c>
      <c r="U83" s="425">
        <v>9.4155716217142871</v>
      </c>
      <c r="V83" s="425">
        <v>12.3</v>
      </c>
      <c r="W83" s="425">
        <v>2.2505714212857142</v>
      </c>
      <c r="X83" s="425">
        <v>36.999285560000011</v>
      </c>
      <c r="Y83" s="425">
        <v>7.0544285774285713</v>
      </c>
    </row>
    <row r="84" spans="15:25">
      <c r="P84" s="424">
        <v>29</v>
      </c>
      <c r="Q84" s="425">
        <v>8.6149000000000004</v>
      </c>
      <c r="R84" s="425">
        <v>3.7006000000000001</v>
      </c>
      <c r="S84" s="425">
        <v>62.515714285714289</v>
      </c>
      <c r="T84" s="425">
        <v>35.738</v>
      </c>
      <c r="U84" s="425">
        <v>9.5503999999999998</v>
      </c>
      <c r="V84" s="425">
        <v>12.245714285714286</v>
      </c>
      <c r="W84" s="425">
        <v>1.9771428571428571</v>
      </c>
      <c r="X84" s="425">
        <v>38.677142857142861</v>
      </c>
      <c r="Y84" s="425">
        <v>6.3400000000000007</v>
      </c>
    </row>
    <row r="85" spans="15:25">
      <c r="P85" s="424">
        <v>30</v>
      </c>
      <c r="Q85" s="425">
        <v>8.1221428598571439</v>
      </c>
      <c r="R85" s="425">
        <v>4.9111429789999992</v>
      </c>
      <c r="S85" s="425">
        <v>57.148857115714286</v>
      </c>
      <c r="T85" s="425">
        <v>85.065429679999994</v>
      </c>
      <c r="U85" s="425">
        <v>15.534142631428571</v>
      </c>
      <c r="V85" s="425">
        <v>10.995952741142858</v>
      </c>
      <c r="W85" s="425">
        <v>2.2859999964285715</v>
      </c>
      <c r="X85" s="425">
        <v>56.166428702857139</v>
      </c>
      <c r="Y85" s="425">
        <v>9.4385714285714304</v>
      </c>
    </row>
    <row r="86" spans="15:25">
      <c r="P86" s="424">
        <v>31</v>
      </c>
      <c r="Q86" s="425">
        <v>7.5620000000000003</v>
      </c>
      <c r="R86" s="425">
        <v>3.28</v>
      </c>
      <c r="S86" s="425">
        <v>58.768000000000001</v>
      </c>
      <c r="T86" s="425">
        <v>40.375</v>
      </c>
      <c r="U86" s="425">
        <v>8.5579999999999998</v>
      </c>
      <c r="V86" s="425">
        <v>13.18</v>
      </c>
      <c r="W86" s="425">
        <v>2</v>
      </c>
      <c r="X86" s="425">
        <v>50.215000000000003</v>
      </c>
      <c r="Y86" s="425">
        <v>8.5770238095238049</v>
      </c>
    </row>
    <row r="87" spans="15:25">
      <c r="O87" s="423">
        <v>32</v>
      </c>
      <c r="P87" s="424">
        <v>32</v>
      </c>
      <c r="Q87" s="425">
        <v>8.4994284765714276</v>
      </c>
      <c r="R87" s="425">
        <v>4.8781427315714287</v>
      </c>
      <c r="S87" s="425">
        <v>54.703428540000004</v>
      </c>
      <c r="T87" s="425">
        <v>52.946428571428569</v>
      </c>
      <c r="U87" s="425">
        <v>10.739857128857144</v>
      </c>
      <c r="V87" s="425">
        <v>10.850328444285712</v>
      </c>
      <c r="W87" s="425">
        <v>2.0667142697142857</v>
      </c>
      <c r="X87" s="425">
        <v>50.460713522857141</v>
      </c>
      <c r="Y87" s="425">
        <v>9.7962856299999999</v>
      </c>
    </row>
    <row r="88" spans="15:25">
      <c r="P88" s="424">
        <v>33</v>
      </c>
      <c r="Q88" s="425">
        <v>7.8117142411428571</v>
      </c>
      <c r="R88" s="425">
        <v>4.5999999999999996</v>
      </c>
      <c r="S88" s="425">
        <v>59.066285269999995</v>
      </c>
      <c r="T88" s="425">
        <v>47.13</v>
      </c>
      <c r="U88" s="425">
        <v>9.23</v>
      </c>
      <c r="V88" s="425">
        <v>10.84</v>
      </c>
      <c r="W88" s="425">
        <v>2.0499999999999998</v>
      </c>
      <c r="X88" s="425">
        <v>44.64</v>
      </c>
      <c r="Y88" s="425">
        <v>8.7822855541428577</v>
      </c>
    </row>
    <row r="89" spans="15:25">
      <c r="P89" s="424">
        <v>34</v>
      </c>
      <c r="Q89" s="425">
        <v>6.44</v>
      </c>
      <c r="R89" s="425">
        <v>5.1568571165714285</v>
      </c>
      <c r="S89" s="425">
        <v>82.033571515714272</v>
      </c>
      <c r="T89" s="425">
        <v>63.892999920000001</v>
      </c>
      <c r="U89" s="425">
        <v>10.917285918714287</v>
      </c>
      <c r="V89" s="425">
        <v>10.534582955714285</v>
      </c>
      <c r="W89" s="425">
        <v>1.8788571358571429</v>
      </c>
      <c r="X89" s="425">
        <v>35.627857751428571</v>
      </c>
      <c r="Y89" s="425">
        <v>11.383714402571428</v>
      </c>
    </row>
    <row r="90" spans="15:25">
      <c r="P90" s="424">
        <v>35</v>
      </c>
      <c r="Q90" s="425">
        <v>7.5428571428571427</v>
      </c>
      <c r="R90" s="425">
        <v>2.15</v>
      </c>
      <c r="S90" s="425">
        <v>71.48</v>
      </c>
      <c r="T90" s="425">
        <v>45.64</v>
      </c>
      <c r="U90" s="425">
        <v>9.4700000000000006</v>
      </c>
      <c r="V90" s="425">
        <v>10.92</v>
      </c>
      <c r="W90" s="425">
        <v>1.88</v>
      </c>
      <c r="X90" s="425">
        <v>32.979999999999997</v>
      </c>
      <c r="Y90" s="425">
        <v>7.88</v>
      </c>
    </row>
    <row r="91" spans="15:25">
      <c r="O91" s="423">
        <v>36</v>
      </c>
      <c r="P91" s="424">
        <v>36</v>
      </c>
      <c r="Q91" s="425">
        <v>7.1671427998571433</v>
      </c>
      <c r="R91" s="425">
        <v>4.8342857142857136</v>
      </c>
      <c r="S91" s="425">
        <v>63.092857142857149</v>
      </c>
      <c r="T91" s="425">
        <v>34.571428571428569</v>
      </c>
      <c r="U91" s="425">
        <v>7.5942857142857134</v>
      </c>
      <c r="V91" s="425">
        <v>11.091428571428571</v>
      </c>
      <c r="W91" s="425">
        <v>1.8442857142857143</v>
      </c>
      <c r="X91" s="425">
        <v>31.20428571428571</v>
      </c>
      <c r="Y91" s="425">
        <v>8.0857142857142854</v>
      </c>
    </row>
    <row r="92" spans="15:25">
      <c r="P92" s="424">
        <v>37</v>
      </c>
      <c r="Q92" s="425">
        <v>7.1637143408571422</v>
      </c>
      <c r="R92" s="425">
        <v>3.1535714688571423</v>
      </c>
      <c r="S92" s="425">
        <v>61.141713821428574</v>
      </c>
      <c r="T92" s="425">
        <v>28.744000025714286</v>
      </c>
      <c r="U92" s="425">
        <v>6.5637142318571433</v>
      </c>
      <c r="V92" s="425">
        <v>10.825238499999999</v>
      </c>
      <c r="W92" s="425">
        <v>1.8114285809999999</v>
      </c>
      <c r="X92" s="425">
        <v>29.614285605714283</v>
      </c>
      <c r="Y92" s="425">
        <v>8.6452856064285708</v>
      </c>
    </row>
    <row r="93" spans="15:25">
      <c r="P93" s="424">
        <v>38</v>
      </c>
      <c r="Q93" s="425">
        <v>8.31</v>
      </c>
      <c r="R93" s="425">
        <v>3.3441428289999995</v>
      </c>
      <c r="S93" s="425">
        <v>49.664428712857145</v>
      </c>
      <c r="T93" s="425">
        <v>35.571571351428574</v>
      </c>
      <c r="U93" s="425">
        <v>7.2939999444285712</v>
      </c>
      <c r="V93" s="425">
        <v>11.159824370000001</v>
      </c>
      <c r="W93" s="425">
        <v>1.8427142925714282</v>
      </c>
      <c r="X93" s="425">
        <v>30.912857054285716</v>
      </c>
      <c r="Y93" s="425">
        <v>8.6452856064285708</v>
      </c>
    </row>
    <row r="94" spans="15:25">
      <c r="P94" s="424">
        <v>39</v>
      </c>
      <c r="Q94" s="425">
        <v>7.621428489714285</v>
      </c>
      <c r="R94" s="425">
        <v>4.6500000000000004</v>
      </c>
      <c r="S94" s="425">
        <v>42.24</v>
      </c>
      <c r="T94" s="425">
        <v>39.39</v>
      </c>
      <c r="U94" s="425">
        <v>7.68</v>
      </c>
      <c r="V94" s="425">
        <v>11.33</v>
      </c>
      <c r="W94" s="425">
        <v>1.64</v>
      </c>
      <c r="X94" s="425">
        <v>37.200000000000003</v>
      </c>
      <c r="Y94" s="425">
        <v>7.4194285528571422</v>
      </c>
    </row>
    <row r="95" spans="15:25">
      <c r="O95" s="423">
        <v>40</v>
      </c>
      <c r="P95" s="424">
        <v>40</v>
      </c>
      <c r="Q95" s="425">
        <v>7.621428489714285</v>
      </c>
      <c r="R95" s="425">
        <v>5.128571373571428</v>
      </c>
      <c r="S95" s="425">
        <v>38.906285422857138</v>
      </c>
      <c r="T95" s="425">
        <v>41.34000069857143</v>
      </c>
      <c r="U95" s="425">
        <v>9.112857137571428</v>
      </c>
      <c r="V95" s="425">
        <v>11.565001485714285</v>
      </c>
      <c r="W95" s="425">
        <v>1.8221428395714285</v>
      </c>
      <c r="X95" s="425">
        <v>42.197143011428572</v>
      </c>
      <c r="Y95" s="425">
        <v>9.6005713597142837</v>
      </c>
    </row>
    <row r="96" spans="15:25">
      <c r="P96" s="424">
        <v>41</v>
      </c>
      <c r="Q96" s="425">
        <v>7.2698572022574259</v>
      </c>
      <c r="R96" s="425">
        <v>4.8594285079410948</v>
      </c>
      <c r="S96" s="425">
        <v>42.923713956560341</v>
      </c>
      <c r="T96" s="425">
        <v>56.607142857142847</v>
      </c>
      <c r="U96" s="425">
        <v>11.170142854962995</v>
      </c>
      <c r="V96" s="425">
        <v>12.740178653172041</v>
      </c>
      <c r="W96" s="425">
        <v>1.7041428429739784</v>
      </c>
      <c r="X96" s="425">
        <v>49.475714547293492</v>
      </c>
      <c r="Y96" s="425">
        <v>10.943285942077617</v>
      </c>
    </row>
    <row r="97" spans="14:25">
      <c r="P97" s="424">
        <v>42</v>
      </c>
      <c r="Q97" s="425">
        <v>6.2732856614249064</v>
      </c>
      <c r="R97" s="425">
        <v>4.00314286776951</v>
      </c>
      <c r="S97" s="425">
        <v>73.976001194545148</v>
      </c>
      <c r="T97" s="425">
        <v>89.232285635811792</v>
      </c>
      <c r="U97" s="425">
        <v>19.282285690307582</v>
      </c>
      <c r="V97" s="425">
        <v>11.792381422860229</v>
      </c>
      <c r="W97" s="425">
        <v>1.5524285691124997</v>
      </c>
      <c r="X97" s="425">
        <v>72.350713457379968</v>
      </c>
      <c r="Y97" s="425">
        <v>17.972571236746628</v>
      </c>
    </row>
    <row r="98" spans="14:25">
      <c r="P98" s="424">
        <v>43</v>
      </c>
      <c r="Q98" s="425">
        <v>8.3208571161542526</v>
      </c>
      <c r="R98" s="425">
        <v>6.0481427737644662</v>
      </c>
      <c r="S98" s="425">
        <v>97.234427315848038</v>
      </c>
      <c r="T98" s="425">
        <v>125.70828465052978</v>
      </c>
      <c r="U98" s="425">
        <v>26.382142475673081</v>
      </c>
      <c r="V98" s="425">
        <v>12.0416071755545</v>
      </c>
      <c r="W98" s="425">
        <v>1.585428544453207</v>
      </c>
      <c r="X98" s="425">
        <v>82.484284537179079</v>
      </c>
      <c r="Y98" s="425">
        <v>19.552571432931028</v>
      </c>
    </row>
    <row r="99" spans="14:25">
      <c r="O99" s="423">
        <v>44</v>
      </c>
      <c r="P99" s="424">
        <v>44</v>
      </c>
      <c r="Q99" s="425">
        <v>9.2941429947142868</v>
      </c>
      <c r="R99" s="425">
        <v>7.6531428608571428</v>
      </c>
      <c r="S99" s="425">
        <v>120.62971387142855</v>
      </c>
      <c r="T99" s="425">
        <v>157.60714285714286</v>
      </c>
      <c r="U99" s="425">
        <v>33.364427840000005</v>
      </c>
      <c r="V99" s="425">
        <v>12.188929967142856</v>
      </c>
      <c r="W99" s="425">
        <v>1.6864285471428571</v>
      </c>
      <c r="X99" s="425">
        <v>110.40928649571428</v>
      </c>
      <c r="Y99" s="425">
        <v>33.081571032857141</v>
      </c>
    </row>
    <row r="100" spans="14:25">
      <c r="P100" s="424">
        <v>45</v>
      </c>
      <c r="Q100" s="425">
        <v>8.6642857274285721</v>
      </c>
      <c r="R100" s="425">
        <v>4.2061428341428568</v>
      </c>
      <c r="S100" s="425">
        <v>125.43157086857143</v>
      </c>
      <c r="T100" s="425">
        <v>105.63685608857143</v>
      </c>
      <c r="U100" s="425">
        <v>18.735571588571428</v>
      </c>
      <c r="V100" s="425">
        <v>13</v>
      </c>
      <c r="W100" s="425">
        <v>1.7397142818571427</v>
      </c>
      <c r="X100" s="425">
        <v>114.14357212285714</v>
      </c>
      <c r="Y100" s="425">
        <v>39.80185754</v>
      </c>
    </row>
    <row r="101" spans="14:25">
      <c r="P101" s="424">
        <v>46</v>
      </c>
      <c r="Q101" s="425">
        <v>8.5371428571428574</v>
      </c>
      <c r="R101" s="425">
        <v>5.9</v>
      </c>
      <c r="S101" s="425">
        <v>78.757142857142853</v>
      </c>
      <c r="T101" s="425">
        <v>79.304285714285712</v>
      </c>
      <c r="U101" s="425">
        <v>13.16</v>
      </c>
      <c r="V101" s="425">
        <v>13.001428571428571</v>
      </c>
      <c r="W101" s="425">
        <v>1.5</v>
      </c>
      <c r="X101" s="425">
        <v>93.457142857142841</v>
      </c>
      <c r="Y101" s="425">
        <v>37.212857142857146</v>
      </c>
    </row>
    <row r="102" spans="14:25">
      <c r="P102" s="424">
        <v>47</v>
      </c>
      <c r="Q102" s="425">
        <v>9.0094285692857135</v>
      </c>
      <c r="R102" s="425">
        <v>7.1015714912857133</v>
      </c>
      <c r="S102" s="425">
        <v>88.111712864285735</v>
      </c>
      <c r="T102" s="425">
        <v>74.684428622857141</v>
      </c>
      <c r="U102" s="425">
        <v>13.483142988571428</v>
      </c>
      <c r="V102" s="425">
        <v>12.142405645714286</v>
      </c>
      <c r="W102" s="425">
        <v>1.5</v>
      </c>
      <c r="X102" s="425">
        <v>104.10500007571429</v>
      </c>
      <c r="Y102" s="425">
        <v>35.055428368571434</v>
      </c>
    </row>
    <row r="103" spans="14:25">
      <c r="O103" s="423">
        <v>48</v>
      </c>
      <c r="P103" s="424">
        <v>48</v>
      </c>
      <c r="Q103" s="425">
        <v>8.5042856081428582</v>
      </c>
      <c r="R103" s="425">
        <v>4.3617142950000005</v>
      </c>
      <c r="S103" s="425">
        <v>80.151286534285717</v>
      </c>
      <c r="T103" s="425">
        <v>95.303570342857142</v>
      </c>
      <c r="U103" s="425">
        <v>12.543571337142859</v>
      </c>
      <c r="V103" s="425">
        <v>11.975262778571429</v>
      </c>
      <c r="W103" s="425">
        <v>1.5</v>
      </c>
      <c r="X103" s="425">
        <v>91.569999695714287</v>
      </c>
      <c r="Y103" s="425">
        <v>28.370000294285713</v>
      </c>
    </row>
    <row r="104" spans="14:25">
      <c r="P104" s="424">
        <v>49</v>
      </c>
      <c r="Q104" s="425">
        <v>8.27</v>
      </c>
      <c r="R104" s="425">
        <v>6.9099999999999993</v>
      </c>
      <c r="S104" s="425">
        <v>66.555714285714288</v>
      </c>
      <c r="T104" s="425">
        <v>54.31</v>
      </c>
      <c r="U104" s="425">
        <v>8.99</v>
      </c>
      <c r="V104" s="425">
        <v>12.26</v>
      </c>
      <c r="W104" s="425">
        <v>1.5</v>
      </c>
      <c r="X104" s="425">
        <v>62.974285714285706</v>
      </c>
      <c r="Y104" s="425">
        <v>22.919999999999998</v>
      </c>
    </row>
    <row r="105" spans="14:25">
      <c r="P105" s="424">
        <v>50</v>
      </c>
      <c r="Q105" s="425">
        <v>8.1765714374285707</v>
      </c>
      <c r="R105" s="425">
        <v>6.5639999597142857</v>
      </c>
      <c r="S105" s="425">
        <v>61.602715082857152</v>
      </c>
      <c r="T105" s="425">
        <v>52.47614288285714</v>
      </c>
      <c r="U105" s="425">
        <v>10.909571511285714</v>
      </c>
      <c r="V105" s="425">
        <v>13.001428604285715</v>
      </c>
      <c r="W105" s="425">
        <v>1.457142846857143</v>
      </c>
      <c r="X105" s="425">
        <v>52.244286674285718</v>
      </c>
      <c r="Y105" s="425">
        <v>17.695714271428571</v>
      </c>
    </row>
    <row r="106" spans="14:25">
      <c r="P106" s="424">
        <v>51</v>
      </c>
      <c r="Q106" s="425">
        <v>10.342857142857142</v>
      </c>
      <c r="R106" s="425">
        <v>7.3285714285714283</v>
      </c>
      <c r="S106" s="425">
        <v>53.9</v>
      </c>
      <c r="T106" s="425">
        <v>126.14285714285714</v>
      </c>
      <c r="U106" s="425">
        <v>16.8</v>
      </c>
      <c r="V106" s="425">
        <v>12.257142857142856</v>
      </c>
      <c r="W106" s="425">
        <v>1.3857142857142859</v>
      </c>
      <c r="X106" s="425">
        <v>86.528571428571439</v>
      </c>
      <c r="Y106" s="425">
        <v>33.51428571428572</v>
      </c>
    </row>
    <row r="107" spans="14:25">
      <c r="O107" s="423">
        <v>52</v>
      </c>
      <c r="P107" s="424">
        <v>52</v>
      </c>
      <c r="Q107" s="425">
        <v>10.661999840142856</v>
      </c>
      <c r="R107" s="425">
        <v>7.4820000789999996</v>
      </c>
      <c r="S107" s="425">
        <v>57.504999978571433</v>
      </c>
      <c r="T107" s="425">
        <v>100.38085719714286</v>
      </c>
      <c r="U107" s="425">
        <v>16.435142652857145</v>
      </c>
      <c r="V107" s="425">
        <v>12.222315514285714</v>
      </c>
      <c r="W107" s="425">
        <v>1.2999999520000001</v>
      </c>
      <c r="X107" s="425">
        <v>103.53357153142858</v>
      </c>
      <c r="Y107" s="425">
        <v>52.753143308571431</v>
      </c>
    </row>
    <row r="108" spans="14:25">
      <c r="N108" s="423">
        <v>2019</v>
      </c>
      <c r="O108" s="423">
        <v>1</v>
      </c>
      <c r="P108" s="424">
        <v>1</v>
      </c>
      <c r="Q108" s="425">
        <v>8.992857251428573</v>
      </c>
      <c r="R108" s="425">
        <v>4.4642857141428571</v>
      </c>
      <c r="S108" s="425">
        <v>57.514999934285704</v>
      </c>
      <c r="T108" s="425">
        <v>79.871427261428579</v>
      </c>
      <c r="U108" s="425">
        <v>13.115714484285716</v>
      </c>
      <c r="V108" s="425">
        <v>11.571904317142856</v>
      </c>
      <c r="W108" s="425">
        <v>1.2999999520000001</v>
      </c>
      <c r="X108" s="425">
        <v>121.75642612857142</v>
      </c>
      <c r="Y108" s="425">
        <v>64.398429325714275</v>
      </c>
    </row>
    <row r="109" spans="14:25">
      <c r="P109" s="424">
        <v>2</v>
      </c>
      <c r="Q109" s="425">
        <v>7.4904285157142843</v>
      </c>
      <c r="R109" s="425">
        <v>3.3685714177142856</v>
      </c>
      <c r="S109" s="425">
        <v>63.363856724285711</v>
      </c>
      <c r="T109" s="425">
        <v>84.184571402857145</v>
      </c>
      <c r="U109" s="425">
        <v>16.11014284285714</v>
      </c>
      <c r="V109" s="425">
        <v>11.570298602857141</v>
      </c>
      <c r="W109" s="425">
        <v>1.2999999520000001</v>
      </c>
      <c r="X109" s="425">
        <v>180.32999965714288</v>
      </c>
      <c r="Y109" s="425">
        <v>70.997858864285703</v>
      </c>
    </row>
    <row r="110" spans="14:25">
      <c r="P110" s="424">
        <v>3</v>
      </c>
      <c r="Q110" s="425">
        <v>14.36</v>
      </c>
      <c r="R110" s="425">
        <v>10.74</v>
      </c>
      <c r="S110" s="425">
        <v>80.75</v>
      </c>
      <c r="T110" s="425">
        <v>149.30000000000001</v>
      </c>
      <c r="U110" s="425">
        <v>29.23</v>
      </c>
      <c r="V110" s="425">
        <v>11.28</v>
      </c>
      <c r="W110" s="425">
        <v>1.33</v>
      </c>
      <c r="X110" s="425">
        <v>167.22</v>
      </c>
      <c r="Y110" s="425">
        <v>68.83</v>
      </c>
    </row>
    <row r="111" spans="14:25">
      <c r="O111" s="423">
        <v>4</v>
      </c>
      <c r="P111" s="424">
        <v>4</v>
      </c>
      <c r="Q111" s="425">
        <v>17.131428719999999</v>
      </c>
      <c r="R111" s="425">
        <v>11.155714580142858</v>
      </c>
      <c r="S111" s="425">
        <v>85.689570837142853</v>
      </c>
      <c r="T111" s="425">
        <v>168.80999974285714</v>
      </c>
      <c r="U111" s="425">
        <v>36.200000218571425</v>
      </c>
      <c r="V111" s="425">
        <v>11.843988554285716</v>
      </c>
      <c r="W111" s="425">
        <v>3.0287143159999999</v>
      </c>
      <c r="X111" s="425">
        <v>185.51500375714286</v>
      </c>
      <c r="Y111" s="425">
        <v>70.089428494285713</v>
      </c>
    </row>
    <row r="112" spans="14:25">
      <c r="P112" s="424">
        <v>5</v>
      </c>
      <c r="Q112" s="425">
        <v>30.592286245714288</v>
      </c>
      <c r="R112" s="425">
        <v>16.463000024285716</v>
      </c>
      <c r="S112" s="425">
        <v>416.48700821428571</v>
      </c>
      <c r="T112" s="425">
        <v>195.24999782857142</v>
      </c>
      <c r="U112" s="425">
        <v>36.703999928571427</v>
      </c>
      <c r="V112" s="425">
        <v>12.496724401428571</v>
      </c>
      <c r="W112" s="425">
        <v>6.6928571292857146</v>
      </c>
      <c r="X112" s="425">
        <v>199.03571430000002</v>
      </c>
      <c r="Y112" s="425">
        <v>74.655428748571438</v>
      </c>
    </row>
    <row r="113" spans="15:25">
      <c r="P113" s="424">
        <v>6</v>
      </c>
      <c r="Q113" s="425">
        <v>20.372857142857146</v>
      </c>
      <c r="R113" s="425">
        <v>17.05857142857143</v>
      </c>
      <c r="S113" s="425">
        <v>426.67142857142863</v>
      </c>
      <c r="T113" s="425">
        <v>265.28000000000003</v>
      </c>
      <c r="U113" s="425">
        <v>51.29</v>
      </c>
      <c r="V113" s="425">
        <v>12.744285714285715</v>
      </c>
      <c r="W113" s="425">
        <v>14.464285714285714</v>
      </c>
      <c r="X113" s="425">
        <v>338.89857142857142</v>
      </c>
      <c r="Y113" s="425">
        <v>117.82857142857142</v>
      </c>
    </row>
    <row r="114" spans="15:25">
      <c r="P114" s="424">
        <v>7</v>
      </c>
      <c r="Q114" s="425">
        <v>28.837571554285717</v>
      </c>
      <c r="R114" s="425">
        <v>18.065285818571429</v>
      </c>
      <c r="S114" s="425">
        <v>581.62514822857145</v>
      </c>
      <c r="T114" s="425">
        <v>230.7322888857143</v>
      </c>
      <c r="U114" s="425">
        <v>46.224000658571427</v>
      </c>
      <c r="V114" s="425">
        <v>23.841369902857146</v>
      </c>
      <c r="W114" s="425">
        <v>21.059571402857141</v>
      </c>
      <c r="X114" s="425">
        <v>288.0957205571429</v>
      </c>
      <c r="Y114" s="425">
        <v>118.07871352857144</v>
      </c>
    </row>
    <row r="115" spans="15:25">
      <c r="O115" s="423">
        <v>8</v>
      </c>
      <c r="P115" s="424">
        <v>8</v>
      </c>
      <c r="Q115" s="425">
        <v>20.077857700000003</v>
      </c>
      <c r="R115" s="425">
        <v>14.531571660571432</v>
      </c>
      <c r="S115" s="425">
        <v>439.74099729999995</v>
      </c>
      <c r="T115" s="425">
        <v>219.37485614285717</v>
      </c>
      <c r="U115" s="425">
        <v>42.94585745571429</v>
      </c>
      <c r="V115" s="425">
        <v>23.894881112857146</v>
      </c>
      <c r="W115" s="425">
        <v>6.8928571428571432</v>
      </c>
      <c r="X115" s="425">
        <v>411.75142995714288</v>
      </c>
      <c r="Y115" s="425">
        <v>98.32</v>
      </c>
    </row>
    <row r="116" spans="15:25">
      <c r="P116" s="424">
        <v>9</v>
      </c>
      <c r="Q116" s="425">
        <v>26.317999977142858</v>
      </c>
      <c r="R116" s="425">
        <v>19.520428521428574</v>
      </c>
      <c r="S116" s="425">
        <v>316.26999772857147</v>
      </c>
      <c r="T116" s="425">
        <v>191.17842539999998</v>
      </c>
      <c r="U116" s="425">
        <v>34.696428571428569</v>
      </c>
      <c r="V116" s="425">
        <v>22.406962801428573</v>
      </c>
      <c r="W116" s="425">
        <v>3.3807143142857146</v>
      </c>
      <c r="X116" s="425">
        <v>249.46285358571427</v>
      </c>
      <c r="Y116" s="425">
        <v>120.90099988571428</v>
      </c>
    </row>
    <row r="117" spans="15:25">
      <c r="P117" s="424">
        <v>10</v>
      </c>
      <c r="Q117" s="425">
        <v>27.959571565714288</v>
      </c>
      <c r="R117" s="425">
        <v>20.831714628571426</v>
      </c>
      <c r="S117" s="425">
        <v>326.63642664285715</v>
      </c>
      <c r="T117" s="425">
        <v>184.08928571428572</v>
      </c>
      <c r="U117" s="425">
        <v>38.680999754285715</v>
      </c>
      <c r="V117" s="425">
        <v>23.828572680000001</v>
      </c>
      <c r="W117" s="425">
        <v>2.3840000118571427</v>
      </c>
      <c r="X117" s="425">
        <v>225.10000174285716</v>
      </c>
      <c r="Y117" s="425">
        <v>78.177285328571429</v>
      </c>
    </row>
    <row r="118" spans="15:25">
      <c r="P118" s="424">
        <v>11</v>
      </c>
      <c r="Q118" s="425">
        <v>27.959571565714288</v>
      </c>
      <c r="R118" s="425">
        <v>22.247142927987216</v>
      </c>
      <c r="S118" s="425">
        <v>416.08099801199745</v>
      </c>
      <c r="T118" s="425">
        <v>226.88085501534573</v>
      </c>
      <c r="U118" s="425">
        <v>42.633285522460888</v>
      </c>
      <c r="V118" s="425">
        <v>23.809881482805473</v>
      </c>
      <c r="W118" s="425">
        <v>1.9291428668158341</v>
      </c>
      <c r="X118" s="425">
        <v>217.45642525809117</v>
      </c>
      <c r="Y118" s="425">
        <v>44.638999938964801</v>
      </c>
    </row>
    <row r="119" spans="15:25">
      <c r="O119" s="423">
        <v>12</v>
      </c>
      <c r="P119" s="424">
        <v>12</v>
      </c>
      <c r="Q119" s="425">
        <v>28.476714270455457</v>
      </c>
      <c r="R119" s="425">
        <v>21.707857131428572</v>
      </c>
      <c r="S119" s="425">
        <v>394.13957431428571</v>
      </c>
      <c r="T119" s="425">
        <v>203.44642857142858</v>
      </c>
      <c r="U119" s="425">
        <v>43.529285431428569</v>
      </c>
      <c r="V119" s="425">
        <v>19.572964258571432</v>
      </c>
      <c r="W119" s="425">
        <v>1.7968571012857144</v>
      </c>
      <c r="X119" s="425">
        <v>327.82142857142861</v>
      </c>
      <c r="Y119" s="425">
        <v>98.4</v>
      </c>
    </row>
    <row r="120" spans="15:25">
      <c r="P120" s="424">
        <v>13</v>
      </c>
      <c r="Q120" s="425">
        <v>24.844714028571435</v>
      </c>
      <c r="R120" s="425">
        <v>20.569142751428576</v>
      </c>
      <c r="S120" s="425">
        <v>522.42285592857138</v>
      </c>
      <c r="T120" s="425">
        <v>225.26185825714285</v>
      </c>
      <c r="U120" s="425">
        <v>57.974427901428569</v>
      </c>
      <c r="V120" s="425">
        <v>12.582738467142859</v>
      </c>
      <c r="W120" s="425">
        <v>1.6904285634285714</v>
      </c>
      <c r="X120" s="425">
        <v>339.04356602857143</v>
      </c>
      <c r="Y120" s="425">
        <v>92.103571201428579</v>
      </c>
    </row>
    <row r="121" spans="15:25">
      <c r="P121" s="424">
        <v>14</v>
      </c>
      <c r="Q121" s="425">
        <v>29.483285902857141</v>
      </c>
      <c r="R121" s="425">
        <v>18.767857142857142</v>
      </c>
      <c r="S121" s="425">
        <v>316.33943394285717</v>
      </c>
      <c r="T121" s="425">
        <v>152.47643277142856</v>
      </c>
      <c r="U121" s="425">
        <v>55.119428907142868</v>
      </c>
      <c r="V121" s="425">
        <v>21.303751674285714</v>
      </c>
      <c r="W121" s="425">
        <v>1.6808571647142858</v>
      </c>
      <c r="X121" s="425">
        <v>250.08571298571431</v>
      </c>
      <c r="Y121" s="425">
        <v>65.665856497142855</v>
      </c>
    </row>
    <row r="122" spans="15:25">
      <c r="P122" s="424">
        <v>15</v>
      </c>
      <c r="Q122" s="425">
        <v>20.040428705714284</v>
      </c>
      <c r="R122" s="425">
        <v>14.275999887714287</v>
      </c>
      <c r="S122" s="425">
        <v>168.45457024285716</v>
      </c>
      <c r="T122" s="425">
        <v>98.160714291428576</v>
      </c>
      <c r="U122" s="425">
        <v>27.713714872857139</v>
      </c>
      <c r="V122" s="425">
        <v>17.810774395714287</v>
      </c>
      <c r="W122" s="425">
        <v>1.7205714498571432</v>
      </c>
      <c r="X122" s="425">
        <v>148.48785617142858</v>
      </c>
      <c r="Y122" s="425">
        <v>49.633285522857136</v>
      </c>
    </row>
    <row r="123" spans="15:25">
      <c r="O123" s="423">
        <v>16</v>
      </c>
      <c r="P123" s="424">
        <v>16</v>
      </c>
      <c r="Q123" s="425">
        <v>16.072142737142858</v>
      </c>
      <c r="R123" s="425">
        <v>10.180143014285713</v>
      </c>
      <c r="S123" s="425">
        <v>131.80142647142856</v>
      </c>
      <c r="T123" s="425">
        <v>98.279714314285712</v>
      </c>
      <c r="U123" s="425">
        <v>22.869143077142859</v>
      </c>
      <c r="V123" s="425">
        <v>12.210951395714286</v>
      </c>
      <c r="W123" s="425">
        <v>1.789857131857143</v>
      </c>
      <c r="X123" s="425">
        <v>105.47928511571429</v>
      </c>
      <c r="Y123" s="425">
        <v>31.291000095714285</v>
      </c>
    </row>
    <row r="124" spans="15:25">
      <c r="P124" s="424">
        <v>17</v>
      </c>
      <c r="Q124" s="425">
        <v>15.383999960000001</v>
      </c>
      <c r="R124" s="425">
        <v>12.121571608857142</v>
      </c>
      <c r="S124" s="425">
        <v>143.84128789999997</v>
      </c>
      <c r="T124" s="425">
        <v>83.547571454285716</v>
      </c>
      <c r="U124" s="425">
        <v>20.273857388571425</v>
      </c>
      <c r="V124" s="425">
        <v>12.949641501428573</v>
      </c>
      <c r="W124" s="425">
        <v>1.6648571664285714</v>
      </c>
      <c r="X124" s="425">
        <v>103.81928579571429</v>
      </c>
      <c r="Y124" s="425">
        <v>25.921857015714284</v>
      </c>
    </row>
    <row r="125" spans="15:25">
      <c r="P125" s="424">
        <v>18</v>
      </c>
      <c r="Q125" s="425">
        <v>16.026142665714286</v>
      </c>
      <c r="R125" s="425">
        <v>11.996285711571428</v>
      </c>
      <c r="S125" s="425">
        <v>111.12314277285714</v>
      </c>
      <c r="T125" s="425">
        <v>74.392857142857139</v>
      </c>
      <c r="U125" s="425">
        <v>18.103142875714287</v>
      </c>
      <c r="V125" s="425">
        <v>11.493274145714285</v>
      </c>
      <c r="W125" s="425">
        <v>1.55</v>
      </c>
      <c r="X125" s="425">
        <v>91.532855442857141</v>
      </c>
      <c r="Y125" s="425">
        <v>22.190428595714284</v>
      </c>
    </row>
    <row r="126" spans="15:25">
      <c r="P126" s="424">
        <v>19</v>
      </c>
      <c r="Q126" s="425">
        <v>14.769714355714287</v>
      </c>
      <c r="R126" s="425">
        <v>10.123285769857144</v>
      </c>
      <c r="S126" s="425">
        <v>89.41828482428572</v>
      </c>
      <c r="T126" s="425">
        <v>60.613000051428571</v>
      </c>
      <c r="U126" s="425">
        <v>15.728999954285714</v>
      </c>
      <c r="V126" s="425">
        <v>10.883738517142858</v>
      </c>
      <c r="W126" s="425">
        <v>1.5914285865714286</v>
      </c>
      <c r="X126" s="425">
        <v>82.45500183</v>
      </c>
      <c r="Y126" s="425">
        <v>20.991285870000006</v>
      </c>
    </row>
    <row r="127" spans="15:25">
      <c r="P127" s="424">
        <v>20</v>
      </c>
      <c r="Q127" s="425">
        <v>13.81242861</v>
      </c>
      <c r="R127" s="425">
        <v>9.3731427190000005</v>
      </c>
      <c r="S127" s="425">
        <v>79.212427410000004</v>
      </c>
      <c r="T127" s="425">
        <v>72.321428569999995</v>
      </c>
      <c r="U127" s="425">
        <v>20.647571429999999</v>
      </c>
      <c r="V127" s="425">
        <v>11.153748650000001</v>
      </c>
      <c r="W127" s="425">
        <v>1.5371428389999999</v>
      </c>
      <c r="X127" s="425">
        <v>76.857142859999996</v>
      </c>
      <c r="Y127" s="425">
        <v>23.085714070000002</v>
      </c>
    </row>
    <row r="128" spans="15:25">
      <c r="P128" s="424">
        <v>21</v>
      </c>
      <c r="Q128" s="425">
        <v>12.849714414285714</v>
      </c>
      <c r="R128" s="425">
        <v>7.085428442285715</v>
      </c>
      <c r="S128" s="425">
        <v>62.717000688571432</v>
      </c>
      <c r="T128" s="425">
        <v>52.565571377142859</v>
      </c>
      <c r="U128" s="425">
        <v>14.46171447</v>
      </c>
      <c r="V128" s="425">
        <v>12</v>
      </c>
      <c r="W128" s="425">
        <v>1.5128571304285714</v>
      </c>
      <c r="X128" s="425">
        <v>58.057856968571436</v>
      </c>
      <c r="Y128" s="425">
        <v>17.858285902857144</v>
      </c>
    </row>
    <row r="129" spans="15:26">
      <c r="O129" s="423">
        <v>22</v>
      </c>
      <c r="P129" s="424">
        <v>22</v>
      </c>
      <c r="Q129" s="425">
        <v>12.105428559999998</v>
      </c>
      <c r="R129" s="425">
        <v>7.3308571058571435</v>
      </c>
      <c r="S129" s="425">
        <v>41.633143151428598</v>
      </c>
      <c r="T129" s="425">
        <v>49.261999948571429</v>
      </c>
      <c r="U129" s="425">
        <v>12.621714454285712</v>
      </c>
      <c r="V129" s="425">
        <v>10.442797251571431</v>
      </c>
      <c r="W129" s="425">
        <v>1.5</v>
      </c>
      <c r="X129" s="425">
        <v>51.520714895714285</v>
      </c>
      <c r="Y129" s="425">
        <v>15.324571202857143</v>
      </c>
    </row>
    <row r="130" spans="15:26">
      <c r="P130" s="424">
        <v>23</v>
      </c>
      <c r="Q130" s="425">
        <v>11.272714207142856</v>
      </c>
      <c r="R130" s="425">
        <v>7.7242857718571427</v>
      </c>
      <c r="S130" s="425">
        <v>41.633143151428598</v>
      </c>
      <c r="T130" s="425">
        <v>40.500142779999997</v>
      </c>
      <c r="U130" s="425">
        <v>10.571857179142857</v>
      </c>
      <c r="V130" s="425">
        <v>10.979225701428572</v>
      </c>
      <c r="W130" s="425">
        <v>1.5</v>
      </c>
      <c r="X130" s="425">
        <v>46.520714351428573</v>
      </c>
      <c r="Y130" s="425">
        <v>13.868142808571431</v>
      </c>
    </row>
    <row r="131" spans="15:26">
      <c r="P131" s="424">
        <v>24</v>
      </c>
      <c r="Q131" s="425">
        <v>10.867999894285715</v>
      </c>
      <c r="R131" s="425">
        <v>8.8337143495714301</v>
      </c>
      <c r="S131" s="425">
        <v>78.434000150000003</v>
      </c>
      <c r="T131" s="425">
        <v>35.785857065714289</v>
      </c>
      <c r="U131" s="425">
        <v>9.2180000031428584</v>
      </c>
      <c r="V131" s="425">
        <v>11.096784181428571</v>
      </c>
      <c r="W131" s="425">
        <v>1.5</v>
      </c>
      <c r="X131" s="425">
        <v>42.473571777142858</v>
      </c>
      <c r="Y131" s="425">
        <v>12.512571334285715</v>
      </c>
    </row>
    <row r="132" spans="15:26">
      <c r="P132" s="424">
        <v>25</v>
      </c>
      <c r="Q132" s="425">
        <v>10.167285918857143</v>
      </c>
      <c r="R132" s="425">
        <v>7.6592858184285708</v>
      </c>
      <c r="S132" s="425">
        <v>77.872000559999989</v>
      </c>
      <c r="T132" s="425">
        <v>33.357000077142857</v>
      </c>
      <c r="U132" s="425">
        <v>8.9321429390000002</v>
      </c>
      <c r="V132" s="425">
        <v>10.461965969999998</v>
      </c>
      <c r="W132" s="425">
        <v>1.5</v>
      </c>
      <c r="X132" s="425">
        <v>43.729285104285715</v>
      </c>
      <c r="Y132" s="425">
        <v>11.450428658571429</v>
      </c>
    </row>
    <row r="133" spans="15:26">
      <c r="O133" s="423">
        <v>26</v>
      </c>
      <c r="P133" s="424">
        <v>26</v>
      </c>
      <c r="Q133" s="425">
        <v>9.3535717554285718</v>
      </c>
      <c r="R133" s="425">
        <v>6.2751428064285708</v>
      </c>
      <c r="S133" s="425">
        <v>76.447856358571428</v>
      </c>
      <c r="T133" s="425">
        <v>29.154571531428569</v>
      </c>
      <c r="U133" s="425">
        <v>8.3007144928571428</v>
      </c>
      <c r="V133" s="425">
        <v>11.259941372857144</v>
      </c>
      <c r="W133" s="425">
        <v>1.5</v>
      </c>
      <c r="X133" s="425">
        <v>44.616428919999997</v>
      </c>
      <c r="Y133" s="425">
        <v>9.6660000944285702</v>
      </c>
    </row>
    <row r="134" spans="15:26">
      <c r="P134" s="424">
        <v>27</v>
      </c>
      <c r="Q134" s="425">
        <v>8.86</v>
      </c>
      <c r="R134" s="425">
        <v>7.15</v>
      </c>
      <c r="S134" s="425">
        <v>77.430000000000007</v>
      </c>
      <c r="T134" s="425">
        <v>30.35</v>
      </c>
      <c r="U134" s="425">
        <v>8.59</v>
      </c>
      <c r="V134" s="425">
        <v>10.758154460361988</v>
      </c>
      <c r="W134" s="425">
        <v>1.59</v>
      </c>
      <c r="X134" s="425">
        <v>43.84</v>
      </c>
      <c r="Y134" s="425">
        <v>8.27</v>
      </c>
    </row>
    <row r="135" spans="15:26">
      <c r="P135" s="424">
        <v>28</v>
      </c>
      <c r="Q135" s="425">
        <v>8.9135712215714289</v>
      </c>
      <c r="R135" s="425">
        <v>5.7058570728571425</v>
      </c>
      <c r="S135" s="425">
        <v>76.24514443428572</v>
      </c>
      <c r="T135" s="425">
        <v>27.702285765714286</v>
      </c>
      <c r="U135" s="425">
        <v>7.8261427880000003</v>
      </c>
      <c r="V135" s="425">
        <v>11.139168601428571</v>
      </c>
      <c r="W135" s="425">
        <v>1.6000000240000001</v>
      </c>
      <c r="X135" s="425">
        <v>39.995714458571435</v>
      </c>
      <c r="Y135" s="425">
        <v>7.4899999752857136</v>
      </c>
    </row>
    <row r="136" spans="15:26">
      <c r="P136" s="424">
        <v>29</v>
      </c>
      <c r="Q136" s="425">
        <v>9.1244284766060932</v>
      </c>
      <c r="R136" s="425">
        <v>6.4564285959516052</v>
      </c>
      <c r="S136" s="425">
        <v>66.31271307809007</v>
      </c>
      <c r="T136" s="425">
        <v>29.940428597586454</v>
      </c>
      <c r="U136" s="425">
        <v>7.6488569804600273</v>
      </c>
      <c r="V136" s="425">
        <v>10.810358456202879</v>
      </c>
      <c r="W136" s="425">
        <v>1.6000000238418504</v>
      </c>
      <c r="X136" s="425">
        <v>42.704285757882197</v>
      </c>
      <c r="Y136" s="425">
        <v>6.46428571428571</v>
      </c>
    </row>
    <row r="137" spans="15:26">
      <c r="O137" s="423">
        <v>30</v>
      </c>
      <c r="P137" s="424">
        <v>30</v>
      </c>
      <c r="Q137" s="425">
        <v>8.5528571428571407</v>
      </c>
      <c r="R137" s="425">
        <v>4.6828571428571433</v>
      </c>
      <c r="S137" s="425">
        <v>72.048571428571435</v>
      </c>
      <c r="T137" s="425">
        <v>36.729999999999997</v>
      </c>
      <c r="U137" s="425">
        <v>8.18</v>
      </c>
      <c r="V137" s="425">
        <v>12.61</v>
      </c>
      <c r="W137" s="425">
        <v>1.6285714285714283</v>
      </c>
      <c r="X137" s="425">
        <v>44.611428571428576</v>
      </c>
      <c r="Y137" s="425">
        <v>8.2285714285714295</v>
      </c>
    </row>
    <row r="138" spans="15:26">
      <c r="P138" s="424">
        <v>31</v>
      </c>
      <c r="Q138" s="425">
        <v>8.6655714172857152</v>
      </c>
      <c r="R138" s="425">
        <v>6.0697142064285714</v>
      </c>
      <c r="S138" s="425">
        <v>71.543143134285714</v>
      </c>
      <c r="T138" s="425">
        <v>31.720428468571431</v>
      </c>
      <c r="U138" s="425">
        <v>7.0618571554285712</v>
      </c>
      <c r="V138" s="425">
        <v>12.322975702857141</v>
      </c>
      <c r="W138" s="425">
        <v>1.7000000479999999</v>
      </c>
      <c r="X138" s="425">
        <v>43.444999694285706</v>
      </c>
      <c r="Y138" s="425">
        <v>6.7562857354285706</v>
      </c>
    </row>
    <row r="139" spans="15:26">
      <c r="P139" s="424">
        <v>32</v>
      </c>
      <c r="Q139" s="425">
        <v>8.8231430052857132</v>
      </c>
      <c r="R139" s="425">
        <v>7.5088570807142858</v>
      </c>
      <c r="S139" s="425">
        <v>73.754999434285722</v>
      </c>
      <c r="T139" s="425">
        <v>23.255857194285714</v>
      </c>
      <c r="U139" s="425">
        <v>6.2595714159999991</v>
      </c>
      <c r="V139" s="425">
        <v>12.551451548571427</v>
      </c>
      <c r="W139" s="425">
        <v>1.7214285988571427</v>
      </c>
      <c r="X139" s="425">
        <v>38.432857512857147</v>
      </c>
      <c r="Y139" s="425">
        <v>6.4201429230000002</v>
      </c>
    </row>
    <row r="140" spans="15:26">
      <c r="P140" s="424">
        <v>33</v>
      </c>
      <c r="Q140" s="425">
        <v>7.5077142715714285</v>
      </c>
      <c r="R140" s="425">
        <v>3.2121428764285715</v>
      </c>
      <c r="S140" s="425">
        <v>68.878572191428574</v>
      </c>
      <c r="T140" s="425">
        <v>21.297428674285715</v>
      </c>
      <c r="U140" s="425">
        <v>6.3691428730000004</v>
      </c>
      <c r="V140" s="425">
        <v>12.137084417142857</v>
      </c>
      <c r="W140" s="425">
        <v>1.7482857022857143</v>
      </c>
      <c r="X140" s="425">
        <v>36.690713608571421</v>
      </c>
      <c r="Y140" s="425">
        <v>4.7154285567142855</v>
      </c>
    </row>
    <row r="141" spans="15:26">
      <c r="P141" s="424">
        <v>34</v>
      </c>
      <c r="Q141" s="425">
        <v>7.6147142817142859</v>
      </c>
      <c r="R141" s="425">
        <v>3.3949999810000002</v>
      </c>
      <c r="S141" s="425">
        <v>65.663999831428569</v>
      </c>
      <c r="T141" s="425">
        <v>20.922428674285715</v>
      </c>
      <c r="U141" s="425">
        <v>6.115428584</v>
      </c>
      <c r="V141" s="425">
        <v>12.034524235714285</v>
      </c>
      <c r="W141" s="425">
        <v>1.7482857022857143</v>
      </c>
      <c r="X141" s="425">
        <v>34.872856138571429</v>
      </c>
      <c r="Y141" s="425">
        <v>5.7421428814285713</v>
      </c>
    </row>
    <row r="142" spans="15:26">
      <c r="P142" s="424">
        <v>35</v>
      </c>
      <c r="Q142" s="425">
        <v>8.7815715245714294</v>
      </c>
      <c r="R142" s="425">
        <v>7.1025714534285722</v>
      </c>
      <c r="S142" s="425">
        <v>65.224427905714279</v>
      </c>
      <c r="T142" s="425">
        <v>19.458285740000001</v>
      </c>
      <c r="U142" s="425">
        <v>6.3137143680000003</v>
      </c>
      <c r="V142" s="425">
        <v>12.041607177142856</v>
      </c>
      <c r="W142" s="425">
        <v>1.75</v>
      </c>
      <c r="X142" s="425">
        <v>34.16142872428572</v>
      </c>
      <c r="Y142" s="425">
        <v>6.5945714541428577</v>
      </c>
    </row>
    <row r="143" spans="15:26">
      <c r="O143" s="423">
        <v>36</v>
      </c>
      <c r="P143" s="424">
        <v>36</v>
      </c>
      <c r="Q143" s="425">
        <v>8.2851428302857144</v>
      </c>
      <c r="R143" s="425">
        <v>6.7619999824285708</v>
      </c>
      <c r="S143" s="425">
        <v>60.719142914285719</v>
      </c>
      <c r="T143" s="425">
        <v>25.369000025714286</v>
      </c>
      <c r="U143" s="425">
        <v>5.8737142427142857</v>
      </c>
      <c r="V143" s="425">
        <v>12.055594308571429</v>
      </c>
      <c r="W143" s="425">
        <v>1.6425714154285713</v>
      </c>
      <c r="X143" s="425">
        <v>35.968571799999999</v>
      </c>
      <c r="Y143" s="425">
        <v>4.9847143037142851</v>
      </c>
      <c r="Z143" s="452"/>
    </row>
    <row r="144" spans="15:26">
      <c r="P144" s="424">
        <v>37</v>
      </c>
      <c r="Q144" s="425">
        <v>7.6475714954285712</v>
      </c>
      <c r="R144" s="425">
        <v>6.5272856442857137</v>
      </c>
      <c r="S144" s="425">
        <v>62.679428645714289</v>
      </c>
      <c r="T144" s="425">
        <v>28.136857168571428</v>
      </c>
      <c r="U144" s="425">
        <v>6.1154285838571436</v>
      </c>
      <c r="V144" s="425">
        <v>12.130952835714286</v>
      </c>
      <c r="W144" s="425">
        <v>1.6457142658571429</v>
      </c>
      <c r="X144" s="425">
        <v>34.324999674285714</v>
      </c>
      <c r="Y144" s="425">
        <v>5.502714293285714</v>
      </c>
    </row>
    <row r="145" spans="15:25">
      <c r="P145" s="424">
        <v>38</v>
      </c>
      <c r="Q145" s="425">
        <v>7.6971428571428575</v>
      </c>
      <c r="R145" s="425">
        <v>5.444285714285714</v>
      </c>
      <c r="S145" s="425">
        <v>65.47</v>
      </c>
      <c r="T145" s="425">
        <v>29.351428571428567</v>
      </c>
      <c r="U145" s="425">
        <v>6.8328571428571419</v>
      </c>
      <c r="V145" s="425">
        <v>12.194285714285716</v>
      </c>
      <c r="W145" s="425">
        <v>1.6014285714285712</v>
      </c>
      <c r="X145" s="425">
        <v>33.131428571428572</v>
      </c>
      <c r="Y145" s="425">
        <v>6.8414285714285716</v>
      </c>
    </row>
    <row r="146" spans="15:25">
      <c r="P146" s="424">
        <v>39</v>
      </c>
      <c r="Q146" s="425">
        <v>7.6702859061104887</v>
      </c>
      <c r="R146" s="425">
        <v>5.896142857415323</v>
      </c>
      <c r="S146" s="425">
        <v>72.930715288434641</v>
      </c>
      <c r="T146" s="425">
        <v>26.470285688127774</v>
      </c>
      <c r="U146" s="425">
        <v>9.2337144442966927</v>
      </c>
      <c r="V146" s="425">
        <v>12.167024339948341</v>
      </c>
      <c r="W146" s="425">
        <v>1.4285714115415273</v>
      </c>
      <c r="X146" s="425">
        <v>32.532142911638481</v>
      </c>
      <c r="Y146" s="425">
        <v>5.5879999569484111</v>
      </c>
    </row>
    <row r="147" spans="15:25">
      <c r="O147" s="423">
        <v>40</v>
      </c>
      <c r="P147" s="424">
        <v>40</v>
      </c>
      <c r="Q147" s="425">
        <v>6.5494285314285721</v>
      </c>
      <c r="R147" s="425">
        <v>3.8238571030000004</v>
      </c>
      <c r="S147" s="425">
        <v>70.661287578571418</v>
      </c>
      <c r="T147" s="425">
        <v>28.190571377142856</v>
      </c>
      <c r="U147" s="425">
        <v>9.6928569934285722</v>
      </c>
      <c r="V147" s="425">
        <v>12.594642775714282</v>
      </c>
      <c r="W147" s="425">
        <v>1.3999999759999999</v>
      </c>
      <c r="X147" s="425">
        <v>36.384999957142853</v>
      </c>
      <c r="Y147" s="425">
        <v>8.0550000327142861</v>
      </c>
    </row>
    <row r="148" spans="15:25">
      <c r="P148" s="424">
        <v>41</v>
      </c>
      <c r="Q148" s="425">
        <v>8.096428529999999</v>
      </c>
      <c r="R148" s="425">
        <v>4.0404286040000006</v>
      </c>
      <c r="S148" s="425">
        <v>65.047571455714291</v>
      </c>
      <c r="T148" s="425">
        <v>47.010571615714284</v>
      </c>
      <c r="U148" s="425">
        <v>10.709857054714286</v>
      </c>
      <c r="V148" s="425">
        <v>13.274107117142858</v>
      </c>
      <c r="W148" s="425">
        <v>1.3785714251428571</v>
      </c>
      <c r="X148" s="425">
        <v>40.987143380000006</v>
      </c>
      <c r="Y148" s="425">
        <v>6.9969999451428562</v>
      </c>
    </row>
    <row r="149" spans="15:25">
      <c r="P149" s="424">
        <v>42</v>
      </c>
      <c r="Q149" s="425">
        <v>7.4685714285714289</v>
      </c>
      <c r="R149" s="425">
        <v>4.8257142857142856</v>
      </c>
      <c r="S149" s="425">
        <v>67.597142857142856</v>
      </c>
      <c r="T149" s="425">
        <v>47.291428571428575</v>
      </c>
      <c r="U149" s="425">
        <v>8.5642857142857132</v>
      </c>
      <c r="V149" s="425">
        <v>13.001428571428571</v>
      </c>
      <c r="W149" s="425">
        <v>1.3499999999999999</v>
      </c>
      <c r="X149" s="425">
        <v>37.554285714285712</v>
      </c>
      <c r="Y149" s="425">
        <v>6.2985714285714289</v>
      </c>
    </row>
    <row r="150" spans="15:25">
      <c r="P150" s="424">
        <v>43</v>
      </c>
      <c r="Q150" s="425">
        <v>8.9041427881428579</v>
      </c>
      <c r="R150" s="425">
        <v>7.354714223857143</v>
      </c>
      <c r="S150" s="425">
        <v>80.445570807142857</v>
      </c>
      <c r="T150" s="425">
        <v>71.934570317142857</v>
      </c>
      <c r="U150" s="425">
        <v>12.279142925142859</v>
      </c>
      <c r="V150" s="425">
        <v>13.139822822857143</v>
      </c>
      <c r="W150" s="425">
        <v>1.2642857177142857</v>
      </c>
      <c r="X150" s="425">
        <v>52.87071446142857</v>
      </c>
      <c r="Y150" s="425">
        <v>11.989999907285712</v>
      </c>
    </row>
    <row r="151" spans="15:25">
      <c r="O151" s="423">
        <v>44</v>
      </c>
      <c r="P151" s="424">
        <v>44</v>
      </c>
      <c r="Q151" s="425">
        <v>7.8245713370000001</v>
      </c>
      <c r="R151" s="425">
        <v>6.0929999348571409</v>
      </c>
      <c r="S151" s="425">
        <v>68.079284669999993</v>
      </c>
      <c r="T151" s="425">
        <v>33.011999948571429</v>
      </c>
      <c r="U151" s="425">
        <v>8.685571329857142</v>
      </c>
      <c r="V151" s="425">
        <v>13.275356975714287</v>
      </c>
      <c r="W151" s="425">
        <v>1.1857142621428574</v>
      </c>
      <c r="X151" s="425">
        <v>36.208572388571426</v>
      </c>
      <c r="Y151" s="425">
        <v>7.9394285338571438</v>
      </c>
    </row>
    <row r="152" spans="15:25">
      <c r="P152" s="424">
        <v>45</v>
      </c>
      <c r="Q152" s="425">
        <v>9.4607142031428566</v>
      </c>
      <c r="R152" s="425">
        <v>6.8107141777142859</v>
      </c>
      <c r="S152" s="425">
        <v>71.555715832857132</v>
      </c>
      <c r="T152" s="425">
        <v>77.119000028571435</v>
      </c>
      <c r="U152" s="425">
        <v>11.169571467285715</v>
      </c>
      <c r="V152" s="425">
        <v>14</v>
      </c>
      <c r="W152" s="425">
        <v>1.1200000049999999</v>
      </c>
      <c r="X152" s="425">
        <v>61.867856707142856</v>
      </c>
      <c r="Y152" s="425">
        <v>10.621285710571428</v>
      </c>
    </row>
    <row r="153" spans="15:25">
      <c r="P153" s="424">
        <v>46</v>
      </c>
      <c r="Q153" s="425">
        <v>9.3077141910000005</v>
      </c>
      <c r="R153" s="425">
        <v>7.0327142307142854</v>
      </c>
      <c r="S153" s="425">
        <v>91.077428547142858</v>
      </c>
      <c r="T153" s="425">
        <v>102.37485722571429</v>
      </c>
      <c r="U153" s="425">
        <v>13.601000102857142</v>
      </c>
      <c r="V153" s="425">
        <v>14.050535747142858</v>
      </c>
      <c r="W153" s="425">
        <v>1.1085714441428569</v>
      </c>
      <c r="X153" s="425">
        <v>108.26642826857143</v>
      </c>
      <c r="Y153" s="425">
        <v>19.484428541428574</v>
      </c>
    </row>
    <row r="154" spans="15:25">
      <c r="P154" s="424">
        <v>47</v>
      </c>
      <c r="Q154" s="425">
        <v>9.4625713492857138</v>
      </c>
      <c r="R154" s="425">
        <v>5.5844285494285719</v>
      </c>
      <c r="S154" s="425">
        <v>81.972856794285704</v>
      </c>
      <c r="T154" s="425">
        <v>82.511857174285723</v>
      </c>
      <c r="U154" s="425">
        <v>10.628571509714286</v>
      </c>
      <c r="V154" s="425">
        <v>13.985775811428573</v>
      </c>
      <c r="W154" s="425">
        <v>1.1000000240000001</v>
      </c>
      <c r="X154" s="425">
        <v>123.16000039999999</v>
      </c>
      <c r="Y154" s="425">
        <v>19.475428171428575</v>
      </c>
    </row>
    <row r="155" spans="15:25">
      <c r="O155" s="423">
        <v>48</v>
      </c>
      <c r="P155" s="424">
        <v>48</v>
      </c>
      <c r="Q155" s="425">
        <v>10.788142817999999</v>
      </c>
      <c r="R155" s="425">
        <v>7.5644286014285722</v>
      </c>
      <c r="S155" s="425">
        <v>84.626999989999987</v>
      </c>
      <c r="T155" s="425">
        <v>67.75</v>
      </c>
      <c r="U155" s="425">
        <v>8.4404285975714277</v>
      </c>
      <c r="V155" s="425">
        <v>13.781128474285714</v>
      </c>
      <c r="W155" s="425">
        <v>1.1000000240000001</v>
      </c>
      <c r="X155" s="425">
        <v>94.382143292857137</v>
      </c>
      <c r="Y155" s="425">
        <v>16.918428555714282</v>
      </c>
    </row>
    <row r="156" spans="15:25">
      <c r="P156" s="424">
        <v>49</v>
      </c>
      <c r="Q156" s="425">
        <v>12.195857184142856</v>
      </c>
      <c r="R156" s="425">
        <v>8.7971429828571424</v>
      </c>
      <c r="S156" s="425">
        <v>127.52371543</v>
      </c>
      <c r="T156" s="425">
        <v>92.821572431428564</v>
      </c>
      <c r="U156" s="425">
        <v>12.563142707428572</v>
      </c>
      <c r="V156" s="425">
        <v>13.148691448571428</v>
      </c>
      <c r="W156" s="425">
        <v>1.1000000000000001</v>
      </c>
      <c r="X156" s="425">
        <v>134.38285718142859</v>
      </c>
      <c r="Y156" s="425">
        <v>23.580285755714289</v>
      </c>
    </row>
    <row r="157" spans="15:25">
      <c r="P157" s="424">
        <v>50</v>
      </c>
      <c r="Q157" s="425">
        <v>12.195857184142856</v>
      </c>
      <c r="R157" s="425">
        <v>8.7971429828571424</v>
      </c>
      <c r="S157" s="425">
        <v>183.5428575857143</v>
      </c>
      <c r="T157" s="425">
        <v>117.73200008285714</v>
      </c>
      <c r="U157" s="425">
        <v>21.506999832857144</v>
      </c>
      <c r="V157" s="425">
        <v>12.61392865857143</v>
      </c>
      <c r="W157" s="425">
        <v>1.1014285939999999</v>
      </c>
      <c r="X157" s="425">
        <v>210.99928282857144</v>
      </c>
      <c r="Y157" s="425">
        <v>41.892142702857143</v>
      </c>
    </row>
    <row r="158" spans="15:25">
      <c r="P158" s="424">
        <v>51</v>
      </c>
      <c r="Q158" s="425">
        <v>18.622142792857144</v>
      </c>
      <c r="R158" s="425">
        <v>18.057571141428571</v>
      </c>
      <c r="S158" s="425">
        <v>292.95071844285718</v>
      </c>
      <c r="T158" s="425">
        <v>180.44057028571427</v>
      </c>
      <c r="U158" s="425">
        <v>47.032857078571432</v>
      </c>
      <c r="V158" s="425">
        <v>12.600475584285714</v>
      </c>
      <c r="W158" s="425">
        <v>1.1000000240000001</v>
      </c>
      <c r="X158" s="425">
        <v>166.85428727142857</v>
      </c>
      <c r="Y158" s="425">
        <v>39.827428544285716</v>
      </c>
    </row>
    <row r="159" spans="15:25">
      <c r="P159" s="424">
        <v>52</v>
      </c>
      <c r="Q159" s="425">
        <v>29.98</v>
      </c>
      <c r="R159" s="425">
        <v>19.592142921428572</v>
      </c>
      <c r="S159" s="425">
        <v>381.11599999999993</v>
      </c>
      <c r="T159" s="425">
        <v>222.82728794285717</v>
      </c>
      <c r="U159" s="425">
        <v>45.963714052857135</v>
      </c>
      <c r="V159" s="425">
        <v>12.617798667142859</v>
      </c>
      <c r="W159" s="425">
        <v>1.4000000274285713</v>
      </c>
      <c r="X159" s="425">
        <v>293.28928701428578</v>
      </c>
      <c r="Y159" s="425">
        <v>62.57285690285714</v>
      </c>
    </row>
    <row r="160" spans="15:25">
      <c r="O160" s="423">
        <v>53</v>
      </c>
      <c r="P160" s="424">
        <v>53</v>
      </c>
      <c r="Q160" s="425">
        <v>16.182714325714286</v>
      </c>
      <c r="R160" s="425">
        <v>8.7855713015714283</v>
      </c>
      <c r="S160" s="425">
        <v>271.83385794285715</v>
      </c>
      <c r="T160" s="425">
        <v>172.15485925714285</v>
      </c>
      <c r="U160" s="425">
        <v>29.933428355714284</v>
      </c>
      <c r="V160" s="425">
        <v>12.85226127</v>
      </c>
      <c r="W160" s="425">
        <v>1.4571428811428571</v>
      </c>
      <c r="X160" s="425">
        <v>278.16286141428571</v>
      </c>
      <c r="Y160" s="425">
        <v>97.806430279999987</v>
      </c>
    </row>
    <row r="161" spans="13:32">
      <c r="N161" s="423">
        <v>2020</v>
      </c>
      <c r="P161" s="424">
        <v>1</v>
      </c>
      <c r="Q161" s="425">
        <v>12.763571330479184</v>
      </c>
      <c r="R161" s="425">
        <v>7.4842857292720009</v>
      </c>
      <c r="S161" s="425">
        <v>176.20814078194715</v>
      </c>
      <c r="T161" s="425">
        <v>130.2321406773155</v>
      </c>
      <c r="U161" s="425">
        <v>24.27742849077493</v>
      </c>
      <c r="V161" s="425">
        <v>14.514315741402715</v>
      </c>
      <c r="W161" s="425">
        <v>2.278571367263786</v>
      </c>
      <c r="X161" s="425">
        <v>468.15499877929659</v>
      </c>
      <c r="Y161" s="425">
        <v>152.80385916573601</v>
      </c>
    </row>
    <row r="162" spans="13:32">
      <c r="P162" s="424">
        <v>2</v>
      </c>
      <c r="Q162" s="425">
        <v>13.386285781428571</v>
      </c>
      <c r="R162" s="425">
        <v>6.9174285272857139</v>
      </c>
      <c r="S162" s="425">
        <v>159.75199889999999</v>
      </c>
      <c r="T162" s="425">
        <v>106.97614288285715</v>
      </c>
      <c r="U162" s="425">
        <v>30.680286678571431</v>
      </c>
      <c r="V162" s="425">
        <v>13.21958133142857</v>
      </c>
      <c r="W162" s="425">
        <v>1.8857142757142857</v>
      </c>
      <c r="X162" s="425">
        <v>213.59428187142859</v>
      </c>
      <c r="Y162" s="425">
        <v>97.949856347142855</v>
      </c>
    </row>
    <row r="163" spans="13:32">
      <c r="P163" s="424">
        <v>3</v>
      </c>
      <c r="Q163" s="425">
        <v>15.196428435714285</v>
      </c>
      <c r="R163" s="425">
        <v>11.330428599714283</v>
      </c>
      <c r="S163" s="425">
        <v>243.87700107142857</v>
      </c>
      <c r="T163" s="425">
        <v>137.04186028571428</v>
      </c>
      <c r="U163" s="425">
        <v>40.240000044285715</v>
      </c>
      <c r="V163" s="425">
        <v>16.855534282857143</v>
      </c>
      <c r="W163" s="425">
        <v>6.3075712748571418</v>
      </c>
      <c r="X163" s="425">
        <v>247.26214164285713</v>
      </c>
      <c r="Y163" s="425">
        <v>78.131857190000005</v>
      </c>
    </row>
    <row r="164" spans="13:32">
      <c r="O164" s="423">
        <v>4</v>
      </c>
      <c r="P164" s="424">
        <v>4</v>
      </c>
      <c r="Q164" s="425">
        <v>16.57199968714286</v>
      </c>
      <c r="R164" s="425">
        <v>12.821999958571428</v>
      </c>
      <c r="S164" s="425">
        <v>236.61043005714285</v>
      </c>
      <c r="T164" s="425">
        <v>121.29742760000001</v>
      </c>
      <c r="U164" s="425">
        <v>26.470714297142855</v>
      </c>
      <c r="V164" s="425">
        <v>22.011848449999999</v>
      </c>
      <c r="W164" s="425">
        <v>4.3669999327142861</v>
      </c>
      <c r="X164" s="425">
        <v>212.78856985714287</v>
      </c>
      <c r="Y164" s="425">
        <v>52.875</v>
      </c>
    </row>
    <row r="165" spans="13:32">
      <c r="P165" s="424">
        <v>5</v>
      </c>
      <c r="Q165" s="425">
        <v>25.675428661428576</v>
      </c>
      <c r="R165" s="425">
        <v>18.254856927142857</v>
      </c>
      <c r="S165" s="425">
        <v>392.82542635714287</v>
      </c>
      <c r="T165" s="425">
        <v>216.11300005714287</v>
      </c>
      <c r="U165" s="425">
        <v>48.707714625714289</v>
      </c>
      <c r="V165" s="425">
        <v>14.496191432857142</v>
      </c>
      <c r="W165" s="425">
        <v>2.6891428574285712</v>
      </c>
      <c r="X165" s="425">
        <v>410.15428595714286</v>
      </c>
      <c r="Y165" s="425">
        <v>99.128998899999985</v>
      </c>
    </row>
    <row r="166" spans="13:32">
      <c r="P166" s="424">
        <v>6</v>
      </c>
      <c r="Q166" s="425">
        <v>22.638571330479174</v>
      </c>
      <c r="R166" s="425">
        <v>17.332571574619813</v>
      </c>
      <c r="S166" s="425">
        <v>448.59157017299066</v>
      </c>
      <c r="T166" s="425">
        <v>221.35714285714261</v>
      </c>
      <c r="U166" s="425">
        <v>51.925000326974022</v>
      </c>
      <c r="V166" s="425">
        <v>17.659045491899729</v>
      </c>
      <c r="W166" s="425">
        <v>9.7964284079415354</v>
      </c>
      <c r="X166" s="425">
        <v>622.45499965122758</v>
      </c>
      <c r="Y166" s="425">
        <v>151.47385733468144</v>
      </c>
    </row>
    <row r="167" spans="13:32">
      <c r="P167" s="424">
        <v>7</v>
      </c>
      <c r="Q167" s="425">
        <v>24.818285805714286</v>
      </c>
      <c r="R167" s="425">
        <v>19.436000279999998</v>
      </c>
      <c r="S167" s="425">
        <v>374.25799560000002</v>
      </c>
      <c r="T167" s="425">
        <v>142.54771639999998</v>
      </c>
      <c r="U167" s="425">
        <v>37.997142247142854</v>
      </c>
      <c r="V167" s="425">
        <v>23.642735891428568</v>
      </c>
      <c r="W167" s="425">
        <v>10.810714449000001</v>
      </c>
      <c r="X167" s="425">
        <v>434.32357352857144</v>
      </c>
      <c r="Y167" s="425">
        <v>148.12728554285715</v>
      </c>
    </row>
    <row r="168" spans="13:32">
      <c r="O168" s="423">
        <v>8</v>
      </c>
      <c r="P168" s="424">
        <v>8</v>
      </c>
      <c r="Q168" s="425">
        <v>16.877285957336387</v>
      </c>
      <c r="R168" s="425">
        <v>13.084142684936484</v>
      </c>
      <c r="S168" s="425">
        <v>289.19357081821948</v>
      </c>
      <c r="T168" s="425">
        <v>162.01200212751087</v>
      </c>
      <c r="U168" s="425">
        <v>30.780285699026873</v>
      </c>
      <c r="V168" s="425">
        <v>23.681545802525072</v>
      </c>
      <c r="W168" s="425">
        <v>21.290571621486073</v>
      </c>
      <c r="X168" s="425">
        <v>403.40571376255542</v>
      </c>
      <c r="Y168" s="425">
        <v>143.28899928501644</v>
      </c>
    </row>
    <row r="169" spans="13:32">
      <c r="P169" s="424">
        <v>9</v>
      </c>
      <c r="Q169" s="425">
        <v>20.463000162857146</v>
      </c>
      <c r="R169" s="425">
        <v>16.131428717142857</v>
      </c>
      <c r="S169" s="425">
        <v>302.38613892857137</v>
      </c>
      <c r="T169" s="425">
        <v>174.72028894285717</v>
      </c>
      <c r="U169" s="425">
        <v>36.13400023285714</v>
      </c>
      <c r="V169" s="425">
        <v>23.625475747142854</v>
      </c>
      <c r="W169" s="425">
        <v>11.064000130142858</v>
      </c>
      <c r="X169" s="425">
        <v>388.35356794285718</v>
      </c>
      <c r="Y169" s="425">
        <v>84.357999531428575</v>
      </c>
    </row>
    <row r="170" spans="13:32">
      <c r="P170" s="424">
        <v>10</v>
      </c>
      <c r="Q170" s="425">
        <v>20.001714159999999</v>
      </c>
      <c r="R170" s="425">
        <v>16.133428572857145</v>
      </c>
      <c r="S170" s="425">
        <v>219.49971445714283</v>
      </c>
      <c r="T170" s="425">
        <v>118.91071428571429</v>
      </c>
      <c r="U170" s="425">
        <v>22.61842863857143</v>
      </c>
      <c r="V170" s="425">
        <v>23.72583552857143</v>
      </c>
      <c r="W170" s="425">
        <v>5.0324285712857142</v>
      </c>
      <c r="X170" s="425">
        <v>317.96785625714284</v>
      </c>
      <c r="Y170" s="425">
        <v>76.472572329999977</v>
      </c>
    </row>
    <row r="171" spans="13:32" s="730" customFormat="1">
      <c r="M171" s="423"/>
      <c r="N171" s="423"/>
      <c r="O171" s="423"/>
      <c r="P171" s="424">
        <v>11</v>
      </c>
      <c r="Q171" s="425">
        <v>20.464285714285715</v>
      </c>
      <c r="R171" s="425">
        <v>16.275285719999999</v>
      </c>
      <c r="S171" s="425">
        <v>210.39014761428572</v>
      </c>
      <c r="T171" s="425">
        <v>145.36899785714286</v>
      </c>
      <c r="U171" s="425">
        <v>39.343428748571434</v>
      </c>
      <c r="V171" s="425">
        <v>23.714347295714287</v>
      </c>
      <c r="W171" s="425">
        <v>12.165999821428571</v>
      </c>
      <c r="X171" s="425">
        <v>377.62500435714281</v>
      </c>
      <c r="Y171" s="425">
        <v>110.78628649857141</v>
      </c>
      <c r="Z171" s="413"/>
      <c r="AA171" s="298"/>
      <c r="AB171" s="298"/>
      <c r="AC171" s="298"/>
      <c r="AD171" s="298"/>
      <c r="AE171" s="286"/>
      <c r="AF171" s="286"/>
    </row>
    <row r="172" spans="13:32" s="730" customFormat="1">
      <c r="M172" s="423"/>
      <c r="N172" s="423"/>
      <c r="O172" s="423">
        <v>12</v>
      </c>
      <c r="P172" s="424">
        <v>12</v>
      </c>
      <c r="Q172" s="425">
        <v>23.032714026314846</v>
      </c>
      <c r="R172" s="425">
        <v>20.180714198521169</v>
      </c>
      <c r="S172" s="425">
        <v>335.19785417829189</v>
      </c>
      <c r="T172" s="425">
        <v>171.26185716901472</v>
      </c>
      <c r="U172" s="425">
        <v>46.286999838692772</v>
      </c>
      <c r="V172" s="425">
        <v>23.623331614903002</v>
      </c>
      <c r="W172" s="425">
        <v>11.119714055742502</v>
      </c>
      <c r="X172" s="425">
        <v>380.85929216657314</v>
      </c>
      <c r="Y172" s="425">
        <v>113.32999965122723</v>
      </c>
      <c r="Z172" s="413"/>
      <c r="AA172" s="298"/>
      <c r="AB172" s="298"/>
      <c r="AC172" s="298"/>
      <c r="AD172" s="298"/>
      <c r="AE172" s="286"/>
      <c r="AF172" s="286"/>
    </row>
    <row r="173" spans="13:32" s="730" customFormat="1">
      <c r="M173" s="423"/>
      <c r="N173" s="423"/>
      <c r="O173" s="423"/>
      <c r="P173" s="424">
        <v>13</v>
      </c>
      <c r="Q173" s="425">
        <v>27.558857236589642</v>
      </c>
      <c r="R173" s="425">
        <v>21.319143022809669</v>
      </c>
      <c r="S173" s="425">
        <v>569.31741768973188</v>
      </c>
      <c r="T173" s="425">
        <v>241.59529113769531</v>
      </c>
      <c r="U173" s="425">
        <v>63.414285387311629</v>
      </c>
      <c r="V173" s="425">
        <v>22.128154209681874</v>
      </c>
      <c r="W173" s="425">
        <v>6.0048571995326432</v>
      </c>
      <c r="X173" s="425">
        <v>332.15285818917374</v>
      </c>
      <c r="Y173" s="425">
        <v>97.158571515764294</v>
      </c>
      <c r="Z173" s="413"/>
      <c r="AA173" s="298"/>
      <c r="AB173" s="298"/>
      <c r="AC173" s="298"/>
      <c r="AD173" s="298"/>
      <c r="AE173" s="286"/>
      <c r="AF173" s="286"/>
    </row>
    <row r="174" spans="13:32" s="730" customFormat="1">
      <c r="M174" s="423"/>
      <c r="N174" s="423"/>
      <c r="O174" s="423"/>
      <c r="P174" s="424">
        <v>14</v>
      </c>
      <c r="Q174" s="425">
        <v>18.795857294285714</v>
      </c>
      <c r="R174" s="425">
        <v>18.168000220000003</v>
      </c>
      <c r="S174" s="425">
        <v>298.48543221428571</v>
      </c>
      <c r="T174" s="425">
        <v>156.28586031428571</v>
      </c>
      <c r="U174" s="425">
        <v>40.567142485714285</v>
      </c>
      <c r="V174" s="425">
        <v>21.36</v>
      </c>
      <c r="W174" s="425">
        <v>4.6619999238571435</v>
      </c>
      <c r="X174" s="425">
        <v>272.16142927142863</v>
      </c>
      <c r="Y174" s="425">
        <v>87.023999895714283</v>
      </c>
      <c r="Z174" s="413"/>
      <c r="AA174" s="298"/>
      <c r="AB174" s="298"/>
      <c r="AC174" s="298"/>
      <c r="AD174" s="298"/>
      <c r="AE174" s="286"/>
      <c r="AF174" s="286"/>
    </row>
    <row r="175" spans="13:32">
      <c r="P175" s="424">
        <v>15</v>
      </c>
      <c r="Q175" s="845">
        <v>16.380999974285714</v>
      </c>
      <c r="R175" s="845">
        <v>14.786285537142858</v>
      </c>
      <c r="S175" s="845">
        <v>196.30642698571427</v>
      </c>
      <c r="T175" s="845">
        <v>126.20242854857143</v>
      </c>
      <c r="U175" s="845">
        <v>27.609000341428576</v>
      </c>
      <c r="V175" s="845">
        <v>23.601429802857144</v>
      </c>
      <c r="W175" s="845">
        <v>2.5870000464285714</v>
      </c>
      <c r="X175" s="845">
        <v>174.17928642857143</v>
      </c>
      <c r="Y175" s="845">
        <v>56.692000798571428</v>
      </c>
    </row>
    <row r="176" spans="13:32">
      <c r="O176" s="423">
        <v>16</v>
      </c>
      <c r="P176" s="424">
        <v>16</v>
      </c>
      <c r="Q176" s="425">
        <v>15.142857142857142</v>
      </c>
      <c r="R176" s="425">
        <v>11.113285608857142</v>
      </c>
      <c r="S176" s="425">
        <v>144.25785718571427</v>
      </c>
      <c r="T176" s="425">
        <v>112.32742854857143</v>
      </c>
      <c r="U176" s="425">
        <v>23.319143022857144</v>
      </c>
      <c r="V176" s="425">
        <v>16.145714351428573</v>
      </c>
      <c r="W176" s="425">
        <v>1.9568571534285717</v>
      </c>
      <c r="X176" s="425">
        <v>124.01500048571428</v>
      </c>
      <c r="Y176" s="425">
        <v>41.578285762857142</v>
      </c>
    </row>
    <row r="177" spans="13:32" s="730" customFormat="1">
      <c r="M177" s="423"/>
      <c r="N177" s="423"/>
      <c r="O177" s="423"/>
      <c r="P177" s="424">
        <v>17</v>
      </c>
      <c r="Q177" s="425">
        <v>14.535142626081141</v>
      </c>
      <c r="R177" s="425">
        <v>7.95871441704886</v>
      </c>
      <c r="S177" s="425">
        <v>118.61742946079741</v>
      </c>
      <c r="T177" s="425">
        <v>86.636999947684131</v>
      </c>
      <c r="U177" s="425">
        <v>19.662570953369116</v>
      </c>
      <c r="V177" s="425">
        <v>14.007261548723459</v>
      </c>
      <c r="W177" s="425">
        <v>2.0897142546517471</v>
      </c>
      <c r="X177" s="425">
        <v>109.72071402413471</v>
      </c>
      <c r="Y177" s="425">
        <v>32.277857099260544</v>
      </c>
      <c r="Z177" s="413"/>
      <c r="AA177" s="298"/>
      <c r="AB177" s="298"/>
      <c r="AC177" s="298"/>
      <c r="AD177" s="298"/>
      <c r="AE177" s="286"/>
      <c r="AF177" s="286"/>
    </row>
    <row r="178" spans="13:32" s="730" customFormat="1">
      <c r="M178" s="423"/>
      <c r="N178" s="423"/>
      <c r="O178" s="423"/>
      <c r="P178" s="424">
        <v>18</v>
      </c>
      <c r="Q178" s="425">
        <v>15.919285638571427</v>
      </c>
      <c r="R178" s="425">
        <v>12.133857388142859</v>
      </c>
      <c r="S178" s="425">
        <v>119.46943012857146</v>
      </c>
      <c r="T178" s="425">
        <v>95.79771531714286</v>
      </c>
      <c r="U178" s="425">
        <v>21.329571314285715</v>
      </c>
      <c r="V178" s="425">
        <v>12.484048571428572</v>
      </c>
      <c r="W178" s="425">
        <v>2.074857081857143</v>
      </c>
      <c r="X178" s="425">
        <v>121.69785745714287</v>
      </c>
      <c r="Y178" s="425">
        <v>27.218570980000003</v>
      </c>
      <c r="Z178" s="413"/>
      <c r="AA178" s="298"/>
      <c r="AB178" s="298"/>
      <c r="AC178" s="298"/>
      <c r="AD178" s="298"/>
      <c r="AE178" s="286"/>
      <c r="AF178" s="286"/>
    </row>
    <row r="179" spans="13:32" s="730" customFormat="1">
      <c r="M179" s="423"/>
      <c r="N179" s="423"/>
      <c r="O179" s="423"/>
      <c r="P179" s="424">
        <v>19</v>
      </c>
      <c r="Q179" s="425">
        <v>16.148714472857144</v>
      </c>
      <c r="R179" s="425">
        <v>14.776714189999998</v>
      </c>
      <c r="S179" s="425">
        <v>179.62085941428572</v>
      </c>
      <c r="T179" s="425">
        <v>63.654857091428575</v>
      </c>
      <c r="U179" s="425">
        <v>18.961428234285709</v>
      </c>
      <c r="V179" s="425">
        <v>11.436902861999998</v>
      </c>
      <c r="W179" s="425">
        <v>1.6491428614285712</v>
      </c>
      <c r="X179" s="425">
        <v>98.23285565285714</v>
      </c>
      <c r="Y179" s="425">
        <v>23.996714454285712</v>
      </c>
      <c r="Z179" s="413"/>
      <c r="AA179" s="298"/>
      <c r="AB179" s="298"/>
      <c r="AC179" s="298"/>
      <c r="AD179" s="298"/>
      <c r="AE179" s="286"/>
      <c r="AF179" s="286"/>
    </row>
    <row r="180" spans="13:32" s="730" customFormat="1">
      <c r="M180" s="423"/>
      <c r="N180" s="423"/>
      <c r="O180" s="423">
        <v>20</v>
      </c>
      <c r="P180" s="424">
        <v>20</v>
      </c>
      <c r="Q180" s="425">
        <v>13.91285719</v>
      </c>
      <c r="R180" s="425">
        <v>10.484285559</v>
      </c>
      <c r="S180" s="425">
        <v>132.41042655714287</v>
      </c>
      <c r="T180" s="425">
        <v>63.017857142857146</v>
      </c>
      <c r="U180" s="425">
        <v>17.724285941428572</v>
      </c>
      <c r="V180" s="425">
        <v>12.01881</v>
      </c>
      <c r="W180" s="425">
        <v>1.6491428614285712</v>
      </c>
      <c r="X180" s="425">
        <v>74.486427307142861</v>
      </c>
      <c r="Y180" s="425">
        <v>27.218570980000003</v>
      </c>
      <c r="Z180" s="413"/>
      <c r="AA180" s="298"/>
      <c r="AB180" s="298"/>
      <c r="AC180" s="298"/>
      <c r="AD180" s="298"/>
      <c r="AE180" s="286"/>
      <c r="AF180" s="286"/>
    </row>
    <row r="181" spans="13:32" s="730" customFormat="1">
      <c r="M181" s="423"/>
      <c r="N181" s="423"/>
      <c r="O181" s="423"/>
      <c r="P181" s="424">
        <v>21</v>
      </c>
      <c r="Q181" s="425">
        <v>12.832571710859</v>
      </c>
      <c r="R181" s="425">
        <v>8.7072857448032899</v>
      </c>
      <c r="S181" s="425">
        <v>118.96285901750787</v>
      </c>
      <c r="T181" s="425">
        <v>55.553428649902308</v>
      </c>
      <c r="U181" s="425">
        <v>14.547714369637587</v>
      </c>
      <c r="V181" s="425">
        <v>11.963334356035457</v>
      </c>
      <c r="W181" s="425">
        <v>1.6175714560917398</v>
      </c>
      <c r="X181" s="425">
        <v>66.354285648890865</v>
      </c>
      <c r="Y181" s="425">
        <v>17.639571326119512</v>
      </c>
      <c r="Z181" s="413"/>
      <c r="AA181" s="298"/>
      <c r="AB181" s="298"/>
      <c r="AC181" s="298"/>
      <c r="AD181" s="298"/>
      <c r="AE181" s="286"/>
      <c r="AF181" s="286"/>
    </row>
    <row r="182" spans="13:32" s="730" customFormat="1">
      <c r="M182" s="423"/>
      <c r="N182" s="423"/>
      <c r="O182" s="423"/>
      <c r="P182" s="424">
        <v>22</v>
      </c>
      <c r="Q182" s="425">
        <v>11.589857237142857</v>
      </c>
      <c r="R182" s="425">
        <v>7.6087141037142851</v>
      </c>
      <c r="S182" s="425">
        <v>92.527713229999989</v>
      </c>
      <c r="T182" s="425">
        <v>48.85114288285714</v>
      </c>
      <c r="U182" s="425">
        <v>12.851142882857143</v>
      </c>
      <c r="V182" s="425">
        <v>11.972144264285713</v>
      </c>
      <c r="W182" s="425">
        <v>1.7258571555714286</v>
      </c>
      <c r="X182" s="425">
        <v>60.742857795714293</v>
      </c>
      <c r="Y182" s="425">
        <v>13.389714241428573</v>
      </c>
      <c r="Z182" s="413"/>
      <c r="AA182" s="298"/>
      <c r="AB182" s="298"/>
      <c r="AC182" s="298"/>
      <c r="AD182" s="298"/>
      <c r="AE182" s="286"/>
      <c r="AF182" s="286"/>
    </row>
    <row r="183" spans="13:32" s="730" customFormat="1">
      <c r="M183" s="423"/>
      <c r="N183" s="423"/>
      <c r="O183" s="423"/>
      <c r="P183" s="424">
        <v>23</v>
      </c>
      <c r="Q183" s="425">
        <v>10.866000038571428</v>
      </c>
      <c r="R183" s="425">
        <v>6.6898570742857144</v>
      </c>
      <c r="S183" s="425">
        <v>86.262142725714284</v>
      </c>
      <c r="T183" s="425">
        <v>49.02971431142857</v>
      </c>
      <c r="U183" s="425">
        <v>13.300571305714286</v>
      </c>
      <c r="V183" s="425">
        <v>12.060297148571431</v>
      </c>
      <c r="W183" s="425">
        <v>2.2755714314285713</v>
      </c>
      <c r="X183" s="425">
        <v>60.932143074285719</v>
      </c>
      <c r="Y183" s="425">
        <v>13.06000001</v>
      </c>
      <c r="Z183" s="413"/>
      <c r="AA183" s="298"/>
      <c r="AB183" s="298"/>
      <c r="AC183" s="298"/>
      <c r="AD183" s="298"/>
      <c r="AE183" s="286"/>
      <c r="AF183" s="286"/>
    </row>
    <row r="184" spans="13:32" s="730" customFormat="1">
      <c r="M184" s="423"/>
      <c r="N184" s="423"/>
      <c r="O184" s="851">
        <v>24</v>
      </c>
      <c r="P184" s="846">
        <v>24</v>
      </c>
      <c r="Q184" s="425">
        <v>10.893428530011814</v>
      </c>
      <c r="R184" s="425">
        <v>6.3937142235892095</v>
      </c>
      <c r="S184" s="425">
        <v>80.154999869210343</v>
      </c>
      <c r="T184" s="425">
        <v>39.363000052315797</v>
      </c>
      <c r="U184" s="425">
        <v>11.205857140677287</v>
      </c>
      <c r="V184" s="425">
        <v>12.025059972490542</v>
      </c>
      <c r="W184" s="425">
        <v>2.2755714314324473</v>
      </c>
      <c r="X184" s="425">
        <v>56.771429334367994</v>
      </c>
      <c r="Y184" s="425">
        <v>10.094714164733857</v>
      </c>
      <c r="Z184" s="413"/>
      <c r="AA184" s="298"/>
      <c r="AB184" s="298"/>
      <c r="AC184" s="298"/>
      <c r="AD184" s="298"/>
      <c r="AE184" s="286"/>
      <c r="AF184" s="286"/>
    </row>
    <row r="185" spans="13:32" s="730" customFormat="1">
      <c r="M185" s="423"/>
      <c r="N185" s="423"/>
      <c r="O185" s="851"/>
      <c r="P185" s="846">
        <v>25</v>
      </c>
      <c r="Q185" s="425">
        <v>9.7685713087142858</v>
      </c>
      <c r="R185" s="425">
        <v>5.4858571460000007</v>
      </c>
      <c r="S185" s="425">
        <v>71.438000270000003</v>
      </c>
      <c r="T185" s="425">
        <v>31.88514287142857</v>
      </c>
      <c r="U185" s="425">
        <v>9.1724285395714276</v>
      </c>
      <c r="V185" s="425">
        <v>11.867550168571428</v>
      </c>
      <c r="W185" s="425">
        <v>1.7577142885714285</v>
      </c>
      <c r="X185" s="425">
        <v>51.780714305714291</v>
      </c>
      <c r="Y185" s="425">
        <v>9.1595716474285691</v>
      </c>
      <c r="Z185" s="413"/>
      <c r="AA185" s="298"/>
      <c r="AB185" s="298"/>
      <c r="AC185" s="298"/>
      <c r="AD185" s="298"/>
      <c r="AE185" s="286"/>
      <c r="AF185" s="286"/>
    </row>
    <row r="186" spans="13:32" s="730" customFormat="1">
      <c r="M186" s="423"/>
      <c r="N186" s="423"/>
      <c r="O186" s="851"/>
      <c r="P186" s="846">
        <v>26</v>
      </c>
      <c r="Q186" s="425">
        <v>9.3011428291428579</v>
      </c>
      <c r="R186" s="425">
        <v>5.6422856875714285</v>
      </c>
      <c r="S186" s="425">
        <v>70.798141479999998</v>
      </c>
      <c r="T186" s="425">
        <v>29.80342864857143</v>
      </c>
      <c r="U186" s="425">
        <v>8.6642858641428564</v>
      </c>
      <c r="V186" s="425">
        <v>11.961507115714285</v>
      </c>
      <c r="W186" s="425">
        <v>1.7387143204285713</v>
      </c>
      <c r="X186" s="425">
        <v>47.265713828571435</v>
      </c>
      <c r="Y186" s="425">
        <v>8.8348572594285706</v>
      </c>
      <c r="Z186" s="413"/>
      <c r="AA186" s="298"/>
      <c r="AB186" s="298"/>
      <c r="AC186" s="298"/>
      <c r="AD186" s="298"/>
      <c r="AE186" s="286"/>
      <c r="AF186" s="286"/>
    </row>
    <row r="187" spans="13:32" s="730" customFormat="1">
      <c r="M187" s="423"/>
      <c r="N187" s="423"/>
      <c r="O187" s="851"/>
      <c r="P187" s="846">
        <v>27</v>
      </c>
      <c r="Q187" s="425">
        <v>9.0898572376796078</v>
      </c>
      <c r="R187" s="425">
        <v>4.8411428587777223</v>
      </c>
      <c r="S187" s="425">
        <v>72.323284694126613</v>
      </c>
      <c r="T187" s="425">
        <v>28.875142778669062</v>
      </c>
      <c r="U187" s="425">
        <v>8.3150001253400507</v>
      </c>
      <c r="V187" s="425">
        <v>12.125935554504371</v>
      </c>
      <c r="W187" s="425">
        <v>2.0545714242117699</v>
      </c>
      <c r="X187" s="425">
        <v>44.601428440638877</v>
      </c>
      <c r="Y187" s="425">
        <v>8.4665715353829452</v>
      </c>
      <c r="Z187" s="413"/>
      <c r="AA187" s="298"/>
      <c r="AB187" s="298"/>
      <c r="AC187" s="298"/>
      <c r="AD187" s="298"/>
      <c r="AE187" s="286"/>
      <c r="AF187" s="286"/>
    </row>
    <row r="188" spans="13:32" s="730" customFormat="1">
      <c r="M188" s="423"/>
      <c r="N188" s="423"/>
      <c r="O188" s="851">
        <v>28</v>
      </c>
      <c r="P188" s="846">
        <v>28</v>
      </c>
      <c r="Q188" s="425">
        <v>8.3315715788571421</v>
      </c>
      <c r="R188" s="425">
        <v>4.0902857780000001</v>
      </c>
      <c r="S188" s="425">
        <v>70.352427891428562</v>
      </c>
      <c r="T188" s="425">
        <v>27.071428571428573</v>
      </c>
      <c r="U188" s="425">
        <v>7.9792855807142846</v>
      </c>
      <c r="V188" s="425">
        <v>12.036131450000001</v>
      </c>
      <c r="W188" s="425">
        <v>1.862857103571429</v>
      </c>
      <c r="X188" s="425">
        <v>42.742857252857149</v>
      </c>
      <c r="Y188" s="425">
        <v>7.6952857290000001</v>
      </c>
      <c r="Z188" s="413"/>
      <c r="AA188" s="298"/>
      <c r="AB188" s="298"/>
      <c r="AC188" s="298"/>
      <c r="AD188" s="298"/>
      <c r="AE188" s="286"/>
      <c r="AF188" s="286"/>
    </row>
    <row r="189" spans="13:32" s="730" customFormat="1">
      <c r="M189" s="423"/>
      <c r="N189" s="423"/>
      <c r="O189" s="851"/>
      <c r="P189" s="846">
        <v>29</v>
      </c>
      <c r="Q189" s="425">
        <v>8.7399999755714273</v>
      </c>
      <c r="R189" s="425">
        <v>3.3690000857142857</v>
      </c>
      <c r="S189" s="425">
        <v>69.363000051428585</v>
      </c>
      <c r="T189" s="425">
        <v>26.369142805714286</v>
      </c>
      <c r="U189" s="425">
        <v>7.2952857698571441</v>
      </c>
      <c r="V189" s="425">
        <v>12.01250158142857</v>
      </c>
      <c r="W189" s="425">
        <v>2.1428571427142855</v>
      </c>
      <c r="X189" s="425">
        <v>40.262857164285712</v>
      </c>
      <c r="Y189" s="425">
        <v>7.1297142847142867</v>
      </c>
      <c r="Z189" s="413"/>
      <c r="AA189" s="298"/>
      <c r="AB189" s="298"/>
      <c r="AC189" s="298"/>
      <c r="AD189" s="298"/>
      <c r="AE189" s="286"/>
      <c r="AF189" s="286"/>
    </row>
    <row r="190" spans="13:32" s="730" customFormat="1">
      <c r="M190" s="423"/>
      <c r="N190" s="423"/>
      <c r="O190" s="851"/>
      <c r="P190" s="846">
        <v>30</v>
      </c>
      <c r="Q190" s="425">
        <v>8.2612857819999999</v>
      </c>
      <c r="R190" s="425">
        <v>3.9334286622857135</v>
      </c>
      <c r="S190" s="425">
        <v>68.101856775714282</v>
      </c>
      <c r="T190" s="425">
        <v>23.077571325714285</v>
      </c>
      <c r="U190" s="425">
        <v>7.5452858379999999</v>
      </c>
      <c r="V190" s="425">
        <v>12.065415654285715</v>
      </c>
      <c r="W190" s="425">
        <v>2.0148571899999999</v>
      </c>
      <c r="X190" s="425">
        <v>39.827141895714291</v>
      </c>
      <c r="Y190" s="425">
        <v>8.1214285577142853</v>
      </c>
      <c r="Z190" s="413"/>
      <c r="AA190" s="298"/>
      <c r="AB190" s="298"/>
      <c r="AC190" s="298"/>
      <c r="AD190" s="298"/>
      <c r="AE190" s="286"/>
      <c r="AF190" s="286"/>
    </row>
    <row r="191" spans="13:32" s="730" customFormat="1">
      <c r="M191" s="423"/>
      <c r="N191" s="423"/>
      <c r="O191" s="851"/>
      <c r="P191" s="846">
        <v>31</v>
      </c>
      <c r="Q191" s="425">
        <v>7.5295715331428577</v>
      </c>
      <c r="R191" s="425">
        <v>3.8718570981428577</v>
      </c>
      <c r="S191" s="425">
        <v>66.163572037142856</v>
      </c>
      <c r="T191" s="425">
        <v>20.36314283098493</v>
      </c>
      <c r="U191" s="425">
        <v>7.1267142297142865</v>
      </c>
      <c r="V191" s="425">
        <v>12.064045632857143</v>
      </c>
      <c r="W191" s="425">
        <v>2.0708571672857143</v>
      </c>
      <c r="X191" s="425">
        <v>37.761428834285709</v>
      </c>
      <c r="Y191" s="425">
        <v>8.1097143717142863</v>
      </c>
      <c r="Z191" s="413"/>
      <c r="AA191" s="298"/>
      <c r="AB191" s="298"/>
      <c r="AC191" s="298"/>
      <c r="AD191" s="298"/>
      <c r="AE191" s="286"/>
      <c r="AF191" s="286"/>
    </row>
    <row r="192" spans="13:32" s="730" customFormat="1">
      <c r="M192" s="423"/>
      <c r="N192" s="423"/>
      <c r="O192" s="851">
        <v>32</v>
      </c>
      <c r="P192" s="846">
        <v>32</v>
      </c>
      <c r="Q192" s="425">
        <v>7.1332857268197154</v>
      </c>
      <c r="R192" s="425">
        <v>3.9694285733359158</v>
      </c>
      <c r="S192" s="425">
        <v>69.589143480573355</v>
      </c>
      <c r="T192" s="425">
        <v>20.36</v>
      </c>
      <c r="U192" s="425">
        <v>6.828428472791396</v>
      </c>
      <c r="V192" s="425">
        <v>11.89809417724604</v>
      </c>
      <c r="W192" s="425">
        <v>1.7728571551186658</v>
      </c>
      <c r="X192" s="425">
        <v>37.760714394705587</v>
      </c>
      <c r="Y192" s="425">
        <v>10.538714272635294</v>
      </c>
      <c r="Z192" s="413"/>
      <c r="AA192" s="298"/>
      <c r="AB192" s="298"/>
      <c r="AC192" s="298"/>
      <c r="AD192" s="298"/>
      <c r="AE192" s="286"/>
      <c r="AF192" s="286"/>
    </row>
    <row r="193" spans="13:32" s="730" customFormat="1">
      <c r="M193" s="423"/>
      <c r="N193" s="423"/>
      <c r="O193" s="851"/>
      <c r="P193" s="846">
        <v>33</v>
      </c>
      <c r="Q193" s="425">
        <v>7.307000092</v>
      </c>
      <c r="R193" s="425">
        <v>4.0542857307142848</v>
      </c>
      <c r="S193" s="425">
        <v>67.52914374142857</v>
      </c>
      <c r="T193" s="425">
        <v>23.369000025714286</v>
      </c>
      <c r="U193" s="425">
        <v>6.6690000125714279</v>
      </c>
      <c r="V193" s="425">
        <v>11.954105787142856</v>
      </c>
      <c r="W193" s="425">
        <v>1.7154285907142857</v>
      </c>
      <c r="X193" s="425">
        <v>38.402142115714284</v>
      </c>
      <c r="Y193" s="425">
        <v>6.1292857952857149</v>
      </c>
      <c r="Z193" s="413"/>
      <c r="AA193" s="298"/>
      <c r="AB193" s="298"/>
      <c r="AC193" s="298"/>
      <c r="AD193" s="298"/>
      <c r="AE193" s="286"/>
      <c r="AF193" s="286"/>
    </row>
    <row r="194" spans="13:32" s="730" customFormat="1">
      <c r="M194" s="423"/>
      <c r="N194" s="423"/>
      <c r="O194" s="851"/>
      <c r="P194" s="846">
        <v>34</v>
      </c>
      <c r="Q194" s="425">
        <v>6.8864285605714288</v>
      </c>
      <c r="R194" s="425">
        <v>3.8852857181428568</v>
      </c>
      <c r="S194" s="425">
        <v>67.307859692857136</v>
      </c>
      <c r="T194" s="425">
        <v>24.434428622857144</v>
      </c>
      <c r="U194" s="425">
        <v>6.6477142742857138</v>
      </c>
      <c r="V194" s="425">
        <v>11.958392961428572</v>
      </c>
      <c r="W194" s="425">
        <v>2.26100002</v>
      </c>
      <c r="X194" s="425">
        <v>36.792856487142856</v>
      </c>
      <c r="Y194" s="425">
        <v>6.0765714645714288</v>
      </c>
      <c r="Z194" s="413"/>
      <c r="AA194" s="298"/>
      <c r="AB194" s="298"/>
      <c r="AC194" s="298"/>
      <c r="AD194" s="298"/>
      <c r="AE194" s="286"/>
      <c r="AF194" s="286"/>
    </row>
    <row r="195" spans="13:32" s="730" customFormat="1">
      <c r="M195" s="423"/>
      <c r="N195" s="423"/>
      <c r="O195" s="851">
        <v>35</v>
      </c>
      <c r="P195" s="846">
        <v>35</v>
      </c>
      <c r="Q195" s="425">
        <v>6.9537143707275364</v>
      </c>
      <c r="R195" s="425">
        <v>3.3560000147138283</v>
      </c>
      <c r="S195" s="425">
        <v>62.870428357805473</v>
      </c>
      <c r="T195" s="425">
        <v>21.077428545270632</v>
      </c>
      <c r="U195" s="425">
        <v>6.0071428843906904</v>
      </c>
      <c r="V195" s="425">
        <v>12.309941428048228</v>
      </c>
      <c r="W195" s="425">
        <v>1.5178571258272411</v>
      </c>
      <c r="X195" s="425">
        <v>37.991428375244077</v>
      </c>
      <c r="Y195" s="425">
        <v>5.9287142923900031</v>
      </c>
      <c r="Z195" s="413"/>
      <c r="AA195" s="298"/>
      <c r="AB195" s="298"/>
      <c r="AC195" s="298"/>
      <c r="AD195" s="298"/>
      <c r="AE195" s="286"/>
      <c r="AF195" s="286"/>
    </row>
    <row r="196" spans="13:32">
      <c r="P196" s="424"/>
      <c r="Q196" s="425"/>
      <c r="R196" s="425"/>
      <c r="S196" s="425"/>
      <c r="T196" s="425"/>
      <c r="U196" s="425"/>
      <c r="V196" s="425"/>
      <c r="W196" s="425"/>
      <c r="X196" s="425"/>
      <c r="Y196" s="425"/>
    </row>
    <row r="197" spans="13:32">
      <c r="P197" s="424"/>
      <c r="Q197" s="425"/>
      <c r="R197" s="425"/>
      <c r="S197" s="425"/>
      <c r="T197" s="425"/>
      <c r="U197" s="425"/>
      <c r="V197" s="425"/>
      <c r="W197" s="425"/>
      <c r="X197" s="425"/>
      <c r="Y197" s="425"/>
    </row>
    <row r="198" spans="13:32">
      <c r="P198" s="424"/>
      <c r="Q198" s="425"/>
      <c r="R198" s="425"/>
      <c r="S198" s="425"/>
      <c r="T198" s="425"/>
      <c r="U198" s="425"/>
      <c r="V198" s="425"/>
      <c r="W198" s="425"/>
      <c r="X198" s="425"/>
      <c r="Y198" s="425"/>
    </row>
    <row r="199" spans="13:32">
      <c r="P199" s="424"/>
      <c r="Q199" s="425"/>
      <c r="R199" s="425"/>
      <c r="S199" s="425"/>
      <c r="T199" s="425"/>
      <c r="U199" s="425"/>
      <c r="V199" s="425"/>
      <c r="W199" s="425"/>
      <c r="X199" s="425"/>
      <c r="Y199" s="425"/>
    </row>
    <row r="200" spans="13:32">
      <c r="P200" s="424"/>
      <c r="Q200" s="425"/>
      <c r="R200" s="425"/>
      <c r="S200" s="425"/>
      <c r="T200" s="425"/>
      <c r="U200" s="425"/>
      <c r="V200" s="425"/>
      <c r="W200" s="425"/>
      <c r="X200" s="425"/>
      <c r="Y200" s="425"/>
    </row>
    <row r="201" spans="13:32">
      <c r="Q201" s="767" t="s">
        <v>266</v>
      </c>
      <c r="R201" s="767" t="s">
        <v>267</v>
      </c>
      <c r="S201" s="767" t="s">
        <v>268</v>
      </c>
      <c r="T201" s="767" t="s">
        <v>269</v>
      </c>
      <c r="U201" s="767" t="s">
        <v>270</v>
      </c>
      <c r="V201" s="767" t="s">
        <v>271</v>
      </c>
      <c r="W201" s="767" t="s">
        <v>272</v>
      </c>
      <c r="X201" s="767" t="s">
        <v>273</v>
      </c>
      <c r="Y201" s="767" t="s">
        <v>274</v>
      </c>
    </row>
    <row r="204" spans="13:32">
      <c r="P204" s="424"/>
      <c r="Q204" s="425"/>
      <c r="R204" s="425"/>
      <c r="S204" s="425"/>
      <c r="T204" s="425"/>
      <c r="U204" s="425"/>
      <c r="V204" s="425"/>
      <c r="W204" s="425"/>
      <c r="X204" s="425"/>
      <c r="Y204" s="425"/>
    </row>
    <row r="205" spans="13:32">
      <c r="P205" s="424"/>
      <c r="Q205" s="425"/>
      <c r="R205" s="425"/>
      <c r="S205" s="425"/>
      <c r="T205" s="425"/>
      <c r="U205" s="425"/>
      <c r="V205" s="425"/>
      <c r="W205" s="425"/>
      <c r="X205" s="425"/>
      <c r="Y205" s="425"/>
    </row>
    <row r="206" spans="13:32">
      <c r="P206" s="424"/>
      <c r="Q206" s="425"/>
      <c r="R206" s="425"/>
      <c r="S206" s="425"/>
      <c r="T206" s="425"/>
      <c r="U206" s="425"/>
      <c r="V206" s="425"/>
      <c r="W206" s="425"/>
      <c r="X206" s="425"/>
      <c r="Y206" s="425"/>
    </row>
    <row r="207" spans="13:32">
      <c r="P207" s="424"/>
      <c r="Q207" s="425"/>
      <c r="R207" s="425"/>
      <c r="S207" s="425"/>
      <c r="T207" s="425"/>
      <c r="U207" s="425"/>
      <c r="V207" s="425"/>
      <c r="W207" s="425"/>
      <c r="X207" s="425"/>
      <c r="Y207" s="425"/>
    </row>
    <row r="208" spans="13:32">
      <c r="P208" s="424"/>
      <c r="Q208" s="425"/>
      <c r="R208" s="425"/>
      <c r="S208" s="732"/>
      <c r="T208" s="425"/>
      <c r="U208" s="425"/>
      <c r="V208" s="425"/>
      <c r="W208" s="425"/>
      <c r="X208" s="425"/>
      <c r="Y208" s="425"/>
    </row>
    <row r="209" spans="16:25">
      <c r="P209" s="424"/>
      <c r="Q209" s="425"/>
      <c r="R209" s="425"/>
      <c r="S209" s="732"/>
      <c r="T209" s="425"/>
      <c r="U209" s="425"/>
      <c r="V209" s="425"/>
      <c r="W209" s="425"/>
      <c r="X209" s="425"/>
      <c r="Y209" s="425"/>
    </row>
    <row r="210" spans="16:25">
      <c r="P210" s="424"/>
      <c r="Q210" s="425"/>
      <c r="R210" s="425"/>
      <c r="S210" s="732"/>
      <c r="T210" s="425"/>
      <c r="U210" s="425"/>
      <c r="V210" s="425"/>
      <c r="W210" s="425"/>
      <c r="X210" s="425"/>
      <c r="Y210" s="425"/>
    </row>
    <row r="211" spans="16:25">
      <c r="P211" s="424"/>
      <c r="Q211" s="425"/>
      <c r="R211" s="425"/>
      <c r="S211" s="732"/>
      <c r="T211" s="425"/>
      <c r="U211" s="425"/>
      <c r="V211" s="425"/>
      <c r="W211" s="425"/>
      <c r="X211" s="425"/>
      <c r="Y211" s="425"/>
    </row>
    <row r="212" spans="16:25">
      <c r="P212" s="424"/>
      <c r="Q212" s="425"/>
      <c r="R212" s="425"/>
      <c r="S212" s="732"/>
      <c r="T212" s="425"/>
      <c r="U212" s="425"/>
      <c r="V212" s="425"/>
      <c r="W212" s="425"/>
      <c r="X212" s="425"/>
      <c r="Y212" s="425"/>
    </row>
    <row r="213" spans="16:25">
      <c r="P213" s="424"/>
      <c r="Q213" s="425"/>
      <c r="R213" s="425"/>
      <c r="S213" s="425"/>
      <c r="T213" s="425"/>
      <c r="U213" s="425"/>
      <c r="V213" s="425"/>
      <c r="W213" s="425"/>
      <c r="X213" s="425"/>
      <c r="Y213" s="425"/>
    </row>
    <row r="214" spans="16:25">
      <c r="P214" s="424"/>
      <c r="Q214" s="425"/>
      <c r="R214" s="425"/>
      <c r="S214" s="425"/>
      <c r="T214" s="425"/>
      <c r="U214" s="425"/>
      <c r="V214" s="425"/>
      <c r="W214" s="425"/>
      <c r="X214" s="425"/>
      <c r="Y214" s="425"/>
    </row>
    <row r="215" spans="16:25">
      <c r="P215" s="424"/>
      <c r="Q215" s="425"/>
      <c r="R215" s="425"/>
      <c r="S215" s="425"/>
      <c r="T215" s="425"/>
      <c r="U215" s="425"/>
      <c r="V215" s="425"/>
      <c r="W215" s="425"/>
      <c r="X215" s="425"/>
      <c r="Y215" s="425"/>
    </row>
    <row r="216" spans="16:25">
      <c r="P216" s="424"/>
      <c r="Q216" s="425"/>
      <c r="R216" s="425"/>
      <c r="S216" s="425"/>
      <c r="T216" s="425"/>
      <c r="U216" s="425"/>
      <c r="V216" s="425"/>
      <c r="W216" s="425"/>
      <c r="X216" s="425"/>
      <c r="Y216" s="425"/>
    </row>
    <row r="217" spans="16:25">
      <c r="P217" s="424"/>
      <c r="Q217" s="425"/>
      <c r="R217" s="425"/>
      <c r="S217" s="425"/>
      <c r="T217" s="425"/>
      <c r="U217" s="425"/>
      <c r="V217" s="425"/>
      <c r="W217" s="425"/>
      <c r="X217" s="425"/>
      <c r="Y217" s="425"/>
    </row>
    <row r="218" spans="16:25">
      <c r="P218" s="424"/>
      <c r="Q218" s="425"/>
      <c r="R218" s="425"/>
      <c r="S218" s="425"/>
      <c r="T218" s="425"/>
      <c r="U218" s="425"/>
      <c r="V218" s="425"/>
      <c r="W218" s="425"/>
      <c r="X218" s="425"/>
      <c r="Y218" s="425"/>
    </row>
    <row r="219" spans="16:25">
      <c r="P219" s="424"/>
      <c r="Q219" s="425"/>
      <c r="R219" s="425"/>
      <c r="S219" s="425"/>
      <c r="T219" s="425"/>
      <c r="U219" s="425"/>
      <c r="V219" s="425"/>
      <c r="W219" s="425"/>
      <c r="X219" s="425"/>
      <c r="Y219" s="425"/>
    </row>
    <row r="220" spans="16:25">
      <c r="P220" s="424"/>
      <c r="Q220" s="425"/>
      <c r="R220" s="425"/>
      <c r="S220" s="425"/>
      <c r="T220" s="425"/>
      <c r="U220" s="425"/>
      <c r="V220" s="425"/>
      <c r="W220" s="425"/>
      <c r="X220" s="425"/>
      <c r="Y220" s="425"/>
    </row>
    <row r="221" spans="16:25">
      <c r="P221" s="424"/>
      <c r="Q221" s="425"/>
      <c r="R221" s="425"/>
      <c r="S221" s="425"/>
      <c r="T221" s="425"/>
      <c r="U221" s="425"/>
      <c r="V221" s="425"/>
      <c r="W221" s="425"/>
      <c r="X221" s="425"/>
      <c r="Y221" s="425"/>
    </row>
    <row r="222" spans="16:25">
      <c r="P222" s="424"/>
      <c r="Q222" s="425"/>
      <c r="R222" s="425"/>
      <c r="S222" s="425"/>
      <c r="T222" s="425"/>
      <c r="U222" s="425"/>
      <c r="V222" s="425"/>
      <c r="W222" s="425"/>
      <c r="X222" s="425"/>
      <c r="Y222" s="425"/>
    </row>
    <row r="223" spans="16:25">
      <c r="P223" s="424"/>
      <c r="Q223" s="425"/>
      <c r="R223" s="425"/>
      <c r="S223" s="425"/>
      <c r="T223" s="425"/>
      <c r="U223" s="425"/>
      <c r="V223" s="425"/>
      <c r="W223" s="425"/>
      <c r="X223" s="425"/>
      <c r="Y223" s="425"/>
    </row>
    <row r="224" spans="16:25">
      <c r="P224" s="424"/>
      <c r="Q224" s="425"/>
      <c r="R224" s="425"/>
      <c r="S224" s="425"/>
      <c r="T224" s="425"/>
      <c r="U224" s="425"/>
      <c r="V224" s="425"/>
      <c r="W224" s="425"/>
      <c r="X224" s="425"/>
      <c r="Y224" s="425"/>
    </row>
    <row r="225" spans="16:25">
      <c r="P225" s="424"/>
      <c r="Q225" s="425"/>
      <c r="R225" s="425"/>
      <c r="S225" s="425"/>
      <c r="T225" s="425"/>
      <c r="U225" s="425"/>
      <c r="V225" s="425"/>
      <c r="W225" s="425"/>
      <c r="X225" s="425"/>
      <c r="Y225" s="425"/>
    </row>
    <row r="226" spans="16:25">
      <c r="P226" s="424"/>
      <c r="Q226" s="425"/>
      <c r="R226" s="425"/>
      <c r="S226" s="425"/>
      <c r="T226" s="425"/>
      <c r="U226" s="425"/>
      <c r="V226" s="425"/>
      <c r="W226" s="425"/>
      <c r="X226" s="425"/>
      <c r="Y226" s="425"/>
    </row>
    <row r="227" spans="16:25">
      <c r="P227" s="424"/>
      <c r="Q227" s="425"/>
      <c r="R227" s="425"/>
      <c r="S227" s="425"/>
      <c r="T227" s="425"/>
      <c r="U227" s="425"/>
      <c r="V227" s="425"/>
      <c r="W227" s="425"/>
      <c r="X227" s="425"/>
      <c r="Y227" s="425"/>
    </row>
    <row r="228" spans="16:25">
      <c r="P228" s="424"/>
      <c r="Q228" s="425"/>
      <c r="R228" s="425"/>
      <c r="S228" s="425"/>
      <c r="T228" s="425"/>
      <c r="U228" s="425"/>
      <c r="V228" s="425"/>
      <c r="W228" s="425"/>
      <c r="X228" s="425"/>
      <c r="Y228" s="425"/>
    </row>
    <row r="229" spans="16:25">
      <c r="P229" s="424"/>
      <c r="Q229" s="425"/>
      <c r="R229" s="425"/>
      <c r="S229" s="425"/>
      <c r="T229" s="425"/>
      <c r="U229" s="425"/>
      <c r="V229" s="425"/>
      <c r="W229" s="425"/>
      <c r="X229" s="425"/>
      <c r="Y229" s="425"/>
    </row>
    <row r="230" spans="16:25">
      <c r="P230" s="424"/>
      <c r="Q230" s="425"/>
      <c r="R230" s="425"/>
      <c r="S230" s="425"/>
      <c r="T230" s="425"/>
      <c r="U230" s="425"/>
      <c r="V230" s="425"/>
      <c r="W230" s="425"/>
      <c r="X230" s="425"/>
      <c r="Y230" s="425"/>
    </row>
    <row r="231" spans="16:25">
      <c r="P231" s="424"/>
      <c r="Q231" s="425"/>
      <c r="R231" s="425"/>
      <c r="S231" s="425"/>
      <c r="T231" s="425"/>
      <c r="U231" s="425"/>
      <c r="V231" s="425"/>
      <c r="W231" s="425"/>
      <c r="X231" s="425"/>
      <c r="Y231" s="425"/>
    </row>
    <row r="232" spans="16:25">
      <c r="P232" s="424"/>
      <c r="Q232" s="425"/>
      <c r="R232" s="425"/>
      <c r="S232" s="425"/>
      <c r="T232" s="425"/>
      <c r="U232" s="425"/>
      <c r="V232" s="425"/>
      <c r="W232" s="425"/>
      <c r="X232" s="425"/>
      <c r="Y232" s="425"/>
    </row>
    <row r="233" spans="16:25">
      <c r="P233" s="424"/>
      <c r="Q233" s="425"/>
      <c r="R233" s="425"/>
      <c r="S233" s="425"/>
      <c r="T233" s="425"/>
      <c r="U233" s="425"/>
      <c r="V233" s="425"/>
      <c r="W233" s="425"/>
      <c r="X233" s="425"/>
      <c r="Y233" s="425"/>
    </row>
    <row r="234" spans="16:25">
      <c r="P234" s="424"/>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60" workbookViewId="0">
      <selection activeCell="N25" sqref="N25"/>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30" customWidth="1"/>
    <col min="12" max="12" width="9.33203125" style="630"/>
    <col min="13" max="13" width="20.5" style="672" customWidth="1"/>
    <col min="14" max="21" width="9.33203125" style="768"/>
  </cols>
  <sheetData>
    <row r="1" spans="1:17" ht="11.25" customHeight="1"/>
    <row r="2" spans="1:17" ht="11.25" customHeight="1">
      <c r="A2" s="945" t="s">
        <v>456</v>
      </c>
      <c r="B2" s="945"/>
      <c r="C2" s="945"/>
      <c r="D2" s="945"/>
      <c r="E2" s="945"/>
      <c r="F2" s="945"/>
      <c r="G2" s="945"/>
      <c r="H2" s="945"/>
      <c r="I2" s="945"/>
      <c r="J2" s="945"/>
      <c r="K2" s="945"/>
    </row>
    <row r="3" spans="1:17" ht="11.25" customHeight="1">
      <c r="A3" s="18"/>
      <c r="B3" s="18"/>
      <c r="C3" s="18"/>
      <c r="D3" s="18"/>
      <c r="E3" s="18"/>
      <c r="F3" s="18"/>
      <c r="G3" s="18"/>
      <c r="H3" s="18"/>
      <c r="I3" s="18"/>
      <c r="J3" s="655"/>
      <c r="K3" s="655"/>
      <c r="L3" s="329"/>
    </row>
    <row r="4" spans="1:17" ht="11.25" customHeight="1">
      <c r="A4" s="929" t="s">
        <v>387</v>
      </c>
      <c r="B4" s="929"/>
      <c r="C4" s="929"/>
      <c r="D4" s="929"/>
      <c r="E4" s="929"/>
      <c r="F4" s="929"/>
      <c r="G4" s="929"/>
      <c r="H4" s="929"/>
      <c r="I4" s="183"/>
      <c r="J4" s="656"/>
      <c r="L4" s="329"/>
    </row>
    <row r="5" spans="1:17" ht="7.5" customHeight="1">
      <c r="A5" s="184"/>
      <c r="B5" s="184"/>
      <c r="C5" s="184"/>
      <c r="D5" s="184"/>
      <c r="E5" s="184"/>
      <c r="F5" s="184"/>
      <c r="G5" s="184"/>
      <c r="H5" s="184"/>
      <c r="I5" s="184"/>
      <c r="J5" s="657"/>
      <c r="L5" s="658"/>
    </row>
    <row r="6" spans="1:17" ht="11.25" customHeight="1">
      <c r="A6" s="184"/>
      <c r="B6" s="188" t="s">
        <v>388</v>
      </c>
      <c r="C6" s="184"/>
      <c r="D6" s="184"/>
      <c r="E6" s="184"/>
      <c r="F6" s="184"/>
      <c r="G6" s="184"/>
      <c r="H6" s="184"/>
      <c r="I6" s="184"/>
      <c r="J6" s="657"/>
      <c r="L6" s="659"/>
    </row>
    <row r="7" spans="1:17" ht="7.5" customHeight="1">
      <c r="A7" s="184"/>
      <c r="B7" s="185"/>
      <c r="C7" s="184"/>
      <c r="D7" s="184"/>
      <c r="E7" s="184"/>
      <c r="F7" s="184"/>
      <c r="G7" s="184"/>
      <c r="H7" s="184"/>
      <c r="I7" s="184"/>
      <c r="J7" s="657"/>
      <c r="L7" s="660"/>
    </row>
    <row r="8" spans="1:17" ht="21" customHeight="1">
      <c r="A8" s="184"/>
      <c r="B8" s="490" t="s">
        <v>166</v>
      </c>
      <c r="C8" s="491" t="s">
        <v>167</v>
      </c>
      <c r="D8" s="491" t="s">
        <v>168</v>
      </c>
      <c r="E8" s="491" t="s">
        <v>170</v>
      </c>
      <c r="F8" s="491" t="s">
        <v>169</v>
      </c>
      <c r="G8" s="492" t="s">
        <v>171</v>
      </c>
      <c r="H8" s="180"/>
      <c r="I8" s="180"/>
      <c r="J8" s="661"/>
      <c r="L8" s="662"/>
      <c r="M8" s="673" t="s">
        <v>167</v>
      </c>
      <c r="N8" s="769" t="str">
        <f>M8&amp;"
 ("&amp;ROUND(HLOOKUP(M8,$C$8:$G$9,2,0),2)&amp;" USD/MWh)"</f>
        <v>PIURA OESTE 220
 (12,48 USD/MWh)</v>
      </c>
      <c r="O8" s="286"/>
      <c r="P8" s="286"/>
      <c r="Q8" s="286"/>
    </row>
    <row r="9" spans="1:17" ht="18" customHeight="1">
      <c r="A9" s="184"/>
      <c r="B9" s="493" t="s">
        <v>172</v>
      </c>
      <c r="C9" s="270">
        <v>12.484529212366317</v>
      </c>
      <c r="D9" s="270">
        <v>12.478656054942711</v>
      </c>
      <c r="E9" s="270">
        <v>12.22815391963829</v>
      </c>
      <c r="F9" s="270">
        <v>12.13845824466231</v>
      </c>
      <c r="G9" s="270">
        <v>12.393591152677891</v>
      </c>
      <c r="H9" s="180"/>
      <c r="I9" s="180"/>
      <c r="J9" s="661"/>
      <c r="K9" s="661"/>
      <c r="L9" s="662"/>
      <c r="M9" s="673" t="s">
        <v>168</v>
      </c>
      <c r="N9" s="769" t="str">
        <f>M9&amp;"
("&amp;ROUND(HLOOKUP(M9,$C$8:$G$9,2,0),2)&amp;" USD/MWh)"</f>
        <v>CHICLAYO 220
(12,48 USD/MWh)</v>
      </c>
      <c r="O9" s="286"/>
      <c r="P9" s="286"/>
      <c r="Q9" s="286"/>
    </row>
    <row r="10" spans="1:17" ht="14.25" customHeight="1">
      <c r="A10" s="184"/>
      <c r="B10" s="969" t="str">
        <f>"Cuadro N°11: Valor de los costos marginales medios registrados en las principales barras del área norte durante el mes de "&amp;'1. Resumen'!Q4</f>
        <v>Cuadro N°11: Valor de los costos marginales medios registrados en las principales barras del área norte durante el mes de agosto</v>
      </c>
      <c r="C10" s="969"/>
      <c r="D10" s="969"/>
      <c r="E10" s="969"/>
      <c r="F10" s="969"/>
      <c r="G10" s="969"/>
      <c r="H10" s="969"/>
      <c r="I10" s="969"/>
      <c r="J10" s="661"/>
      <c r="K10" s="661"/>
      <c r="L10" s="662"/>
      <c r="M10" s="673" t="s">
        <v>170</v>
      </c>
      <c r="N10" s="769" t="str">
        <f>M10&amp;"
("&amp;ROUND(HLOOKUP(M10,$C$8:$G$9,2,0),2)&amp;" USD/MWh)"</f>
        <v>TRUJILLO 220
(12,23 USD/MWh)</v>
      </c>
      <c r="O10" s="286"/>
      <c r="P10" s="286"/>
      <c r="Q10" s="286"/>
    </row>
    <row r="11" spans="1:17" ht="11.25" customHeight="1">
      <c r="A11" s="184"/>
      <c r="B11" s="191"/>
      <c r="C11" s="180"/>
      <c r="D11" s="180"/>
      <c r="E11" s="180"/>
      <c r="F11" s="180"/>
      <c r="G11" s="180"/>
      <c r="H11" s="180"/>
      <c r="I11" s="180"/>
      <c r="J11" s="661"/>
      <c r="K11" s="661"/>
      <c r="L11" s="662"/>
      <c r="M11" s="673" t="s">
        <v>169</v>
      </c>
      <c r="N11" s="769" t="str">
        <f>M11&amp;"
("&amp;ROUND(HLOOKUP(M11,$C$8:$G$9,2,0),2)&amp;" USD/MWh)"</f>
        <v>CHIMBOTE1 138
(12,14 USD/MWh)</v>
      </c>
      <c r="O11" s="286"/>
      <c r="P11" s="286"/>
      <c r="Q11" s="286"/>
    </row>
    <row r="12" spans="1:17" ht="11.25" customHeight="1">
      <c r="A12" s="184"/>
      <c r="B12" s="180"/>
      <c r="C12" s="180"/>
      <c r="D12" s="180"/>
      <c r="E12" s="180"/>
      <c r="F12" s="180"/>
      <c r="G12" s="180"/>
      <c r="H12" s="180"/>
      <c r="I12" s="180"/>
      <c r="J12" s="661"/>
      <c r="K12" s="661"/>
      <c r="L12" s="663"/>
      <c r="M12" s="673" t="s">
        <v>171</v>
      </c>
      <c r="N12" s="769" t="str">
        <f>M12&amp;"
("&amp;ROUND(HLOOKUP(M12,$C$8:$G$9,2,0),2)&amp;" USD/MWh)"</f>
        <v>CAJAMARCA 220
(12,39 USD/MWh)</v>
      </c>
      <c r="O12" s="286"/>
      <c r="P12" s="286"/>
      <c r="Q12" s="286"/>
    </row>
    <row r="13" spans="1:17" ht="11.25" customHeight="1">
      <c r="A13" s="184"/>
      <c r="B13" s="180"/>
      <c r="C13" s="180"/>
      <c r="D13" s="180"/>
      <c r="E13" s="180"/>
      <c r="F13" s="180"/>
      <c r="G13" s="180"/>
      <c r="H13" s="180"/>
      <c r="I13" s="180"/>
      <c r="J13" s="661"/>
      <c r="K13" s="661"/>
      <c r="L13" s="662"/>
      <c r="M13" s="673"/>
      <c r="N13" s="769"/>
      <c r="O13" s="673"/>
      <c r="P13" s="286"/>
      <c r="Q13" s="286"/>
    </row>
    <row r="14" spans="1:17" ht="11.25" customHeight="1">
      <c r="A14" s="184"/>
      <c r="B14" s="180"/>
      <c r="C14" s="180"/>
      <c r="D14" s="180"/>
      <c r="E14" s="180"/>
      <c r="F14" s="180"/>
      <c r="G14" s="180"/>
      <c r="H14" s="180"/>
      <c r="I14" s="180"/>
      <c r="J14" s="661"/>
      <c r="K14" s="661"/>
      <c r="L14" s="662"/>
      <c r="M14" s="673" t="s">
        <v>447</v>
      </c>
      <c r="N14" s="769" t="str">
        <f>M14&amp;"
("&amp;ROUND(HLOOKUP(M14,$C$26:$I$27,2,0),2)&amp;" USD/MWh)"</f>
        <v>CHAVARRIA 220
(11,67 USD/MWh)</v>
      </c>
      <c r="O14" s="286"/>
      <c r="P14" s="286"/>
      <c r="Q14" s="286"/>
    </row>
    <row r="15" spans="1:17" ht="11.25" customHeight="1">
      <c r="A15" s="184"/>
      <c r="B15" s="180"/>
      <c r="C15" s="180"/>
      <c r="D15" s="180"/>
      <c r="E15" s="180"/>
      <c r="F15" s="180"/>
      <c r="G15" s="180"/>
      <c r="H15" s="180"/>
      <c r="I15" s="180"/>
      <c r="J15" s="661"/>
      <c r="K15" s="661"/>
      <c r="L15" s="662"/>
      <c r="M15" s="673" t="s">
        <v>175</v>
      </c>
      <c r="N15" s="769" t="str">
        <f t="shared" ref="N15:N20" si="0">M15&amp;"
("&amp;ROUND(HLOOKUP(M15,$C$26:$I$27,2,0),2)&amp;" USD/MWh)"</f>
        <v>INDEPENDENCIA 220
(11,7 USD/MWh)</v>
      </c>
      <c r="O15" s="286"/>
      <c r="P15" s="286"/>
      <c r="Q15" s="286"/>
    </row>
    <row r="16" spans="1:17" ht="11.25" customHeight="1">
      <c r="A16" s="184"/>
      <c r="B16" s="180"/>
      <c r="C16" s="180"/>
      <c r="D16" s="180"/>
      <c r="E16" s="180"/>
      <c r="F16" s="180"/>
      <c r="G16" s="180"/>
      <c r="H16" s="180"/>
      <c r="I16" s="180"/>
      <c r="J16" s="661"/>
      <c r="K16" s="661"/>
      <c r="L16" s="662"/>
      <c r="M16" s="673" t="s">
        <v>176</v>
      </c>
      <c r="N16" s="769" t="str">
        <f t="shared" si="0"/>
        <v>CARABAYLLO 220
(11,67 USD/MWh)</v>
      </c>
      <c r="O16" s="286"/>
      <c r="P16" s="286"/>
      <c r="Q16" s="286"/>
    </row>
    <row r="17" spans="1:17" ht="11.25" customHeight="1">
      <c r="A17" s="184"/>
      <c r="B17" s="180"/>
      <c r="C17" s="180"/>
      <c r="D17" s="180"/>
      <c r="E17" s="180"/>
      <c r="F17" s="180"/>
      <c r="G17" s="180"/>
      <c r="H17" s="180"/>
      <c r="I17" s="180"/>
      <c r="J17" s="661"/>
      <c r="K17" s="661"/>
      <c r="L17" s="662"/>
      <c r="M17" s="673" t="s">
        <v>173</v>
      </c>
      <c r="N17" s="769" t="str">
        <f t="shared" si="0"/>
        <v>SANTA ROSA 220
(11,65 USD/MWh)</v>
      </c>
      <c r="O17" s="286"/>
      <c r="P17" s="286"/>
      <c r="Q17" s="286"/>
    </row>
    <row r="18" spans="1:17" ht="11.25" customHeight="1">
      <c r="A18" s="184"/>
      <c r="B18" s="180"/>
      <c r="C18" s="180"/>
      <c r="D18" s="180"/>
      <c r="E18" s="180"/>
      <c r="F18" s="180"/>
      <c r="G18" s="180"/>
      <c r="H18" s="180"/>
      <c r="I18" s="180"/>
      <c r="J18" s="661"/>
      <c r="K18" s="661"/>
      <c r="L18" s="662"/>
      <c r="M18" s="673" t="s">
        <v>174</v>
      </c>
      <c r="N18" s="769" t="str">
        <f t="shared" si="0"/>
        <v>SAN JUAN 220
(11,55 USD/MWh)</v>
      </c>
      <c r="O18" s="286"/>
      <c r="P18" s="286"/>
      <c r="Q18" s="286"/>
    </row>
    <row r="19" spans="1:17" ht="11.25" customHeight="1">
      <c r="A19" s="184"/>
      <c r="B19" s="180"/>
      <c r="C19" s="180"/>
      <c r="D19" s="180"/>
      <c r="E19" s="180"/>
      <c r="F19" s="180"/>
      <c r="G19" s="180"/>
      <c r="H19" s="180"/>
      <c r="I19" s="180"/>
      <c r="J19" s="661"/>
      <c r="K19" s="661"/>
      <c r="L19" s="664"/>
      <c r="M19" s="673" t="s">
        <v>177</v>
      </c>
      <c r="N19" s="769" t="str">
        <f t="shared" si="0"/>
        <v>POMACOCHA 220
(11,54 USD/MWh)</v>
      </c>
      <c r="O19" s="286"/>
      <c r="P19" s="286"/>
      <c r="Q19" s="286"/>
    </row>
    <row r="20" spans="1:17" ht="11.25" customHeight="1">
      <c r="A20" s="184"/>
      <c r="B20" s="190"/>
      <c r="C20" s="190"/>
      <c r="D20" s="190"/>
      <c r="E20" s="190"/>
      <c r="F20" s="190"/>
      <c r="G20" s="180"/>
      <c r="H20" s="180"/>
      <c r="I20" s="180"/>
      <c r="J20" s="661"/>
      <c r="K20" s="661"/>
      <c r="L20" s="662"/>
      <c r="M20" s="673" t="s">
        <v>178</v>
      </c>
      <c r="N20" s="769" t="str">
        <f t="shared" si="0"/>
        <v>OROYA NUEVA 50
(11,51 USD/MWh)</v>
      </c>
      <c r="O20" s="286"/>
      <c r="P20" s="286"/>
      <c r="Q20" s="286"/>
    </row>
    <row r="21" spans="1:17" ht="11.25" customHeight="1">
      <c r="A21" s="184"/>
      <c r="B21" s="970" t="str">
        <f>"Gráfico N°20: Costos marginales medios registrados en las principales barras del área norte durante el mes de "&amp;'1. Resumen'!Q4</f>
        <v>Gráfico N°20: Costos marginales medios registrados en las principales barras del área norte durante el mes de agosto</v>
      </c>
      <c r="C21" s="970"/>
      <c r="D21" s="970"/>
      <c r="E21" s="970"/>
      <c r="F21" s="970"/>
      <c r="G21" s="970"/>
      <c r="H21" s="970"/>
      <c r="I21" s="970"/>
      <c r="J21" s="661"/>
      <c r="K21" s="661"/>
      <c r="L21" s="662"/>
      <c r="M21" s="673"/>
      <c r="N21" s="769"/>
      <c r="O21" s="286"/>
      <c r="P21" s="286"/>
      <c r="Q21" s="286"/>
    </row>
    <row r="22" spans="1:17" ht="7.5" customHeight="1">
      <c r="A22" s="184"/>
      <c r="B22" s="186"/>
      <c r="C22" s="186"/>
      <c r="D22" s="186"/>
      <c r="E22" s="186"/>
      <c r="F22" s="186"/>
      <c r="G22" s="184"/>
      <c r="H22" s="184"/>
      <c r="I22" s="184"/>
      <c r="J22" s="657"/>
      <c r="K22" s="657"/>
      <c r="L22" s="659"/>
      <c r="M22" s="673"/>
      <c r="N22" s="769"/>
      <c r="O22" s="286"/>
      <c r="P22" s="286"/>
      <c r="Q22" s="286"/>
    </row>
    <row r="23" spans="1:17" ht="11.25" customHeight="1">
      <c r="A23" s="184"/>
      <c r="B23" s="186"/>
      <c r="C23" s="186"/>
      <c r="D23" s="186"/>
      <c r="E23" s="186"/>
      <c r="F23" s="186"/>
      <c r="G23" s="184"/>
      <c r="H23" s="184"/>
      <c r="I23" s="184"/>
      <c r="J23" s="657"/>
      <c r="K23" s="657"/>
      <c r="L23" s="665"/>
      <c r="M23" s="673" t="s">
        <v>179</v>
      </c>
      <c r="N23" s="769" t="str">
        <f t="shared" ref="N23:N29" si="1">M23&amp;"
("&amp;ROUND(HLOOKUP(M23,$C$45:$I$46,2,0),2)&amp;" USD/MWh)"</f>
        <v>TINTAYA NUEVA 220
(12,84 USD/MWh)</v>
      </c>
      <c r="O23" s="286"/>
      <c r="P23" s="286"/>
      <c r="Q23" s="286"/>
    </row>
    <row r="24" spans="1:17" ht="11.25" customHeight="1">
      <c r="A24" s="184"/>
      <c r="B24" s="189" t="s">
        <v>389</v>
      </c>
      <c r="C24" s="186"/>
      <c r="D24" s="186"/>
      <c r="E24" s="186"/>
      <c r="F24" s="186"/>
      <c r="G24" s="184"/>
      <c r="H24" s="184"/>
      <c r="I24" s="184"/>
      <c r="J24" s="657"/>
      <c r="K24" s="657"/>
      <c r="L24" s="659"/>
      <c r="M24" s="673" t="s">
        <v>180</v>
      </c>
      <c r="N24" s="769" t="str">
        <f t="shared" si="1"/>
        <v>PUNO 138
(12,47 USD/MWh)</v>
      </c>
      <c r="O24" s="286"/>
      <c r="P24" s="286"/>
      <c r="Q24" s="286"/>
    </row>
    <row r="25" spans="1:17" ht="6.75" customHeight="1">
      <c r="A25" s="184"/>
      <c r="B25" s="186"/>
      <c r="C25" s="186"/>
      <c r="D25" s="186"/>
      <c r="E25" s="186"/>
      <c r="F25" s="186"/>
      <c r="G25" s="184"/>
      <c r="H25" s="184"/>
      <c r="I25" s="184"/>
      <c r="J25" s="657"/>
      <c r="K25" s="657"/>
      <c r="L25" s="659"/>
      <c r="M25" s="673" t="s">
        <v>181</v>
      </c>
      <c r="N25" s="769" t="str">
        <f t="shared" si="1"/>
        <v>SOCABAYA 220
(12,42 USD/MWh)</v>
      </c>
      <c r="O25" s="286"/>
      <c r="P25" s="286"/>
      <c r="Q25" s="286"/>
    </row>
    <row r="26" spans="1:17" ht="25.5" customHeight="1">
      <c r="A26" s="184"/>
      <c r="B26" s="494" t="s">
        <v>166</v>
      </c>
      <c r="C26" s="491" t="s">
        <v>447</v>
      </c>
      <c r="D26" s="491" t="s">
        <v>173</v>
      </c>
      <c r="E26" s="491" t="s">
        <v>176</v>
      </c>
      <c r="F26" s="491" t="s">
        <v>174</v>
      </c>
      <c r="G26" s="491" t="s">
        <v>175</v>
      </c>
      <c r="H26" s="491" t="s">
        <v>177</v>
      </c>
      <c r="I26" s="492" t="s">
        <v>178</v>
      </c>
      <c r="J26" s="666"/>
      <c r="K26" s="661"/>
      <c r="L26" s="662"/>
      <c r="M26" s="673" t="s">
        <v>182</v>
      </c>
      <c r="N26" s="769" t="str">
        <f t="shared" si="1"/>
        <v>MOQUEGUA 138
(12,38 USD/MWh)</v>
      </c>
      <c r="O26" s="286"/>
      <c r="P26" s="286"/>
      <c r="Q26" s="286"/>
    </row>
    <row r="27" spans="1:17" ht="18" customHeight="1">
      <c r="A27" s="184"/>
      <c r="B27" s="495" t="s">
        <v>172</v>
      </c>
      <c r="C27" s="270">
        <v>11.665016735329905</v>
      </c>
      <c r="D27" s="270">
        <v>11.650346994923776</v>
      </c>
      <c r="E27" s="270">
        <v>11.667455455882759</v>
      </c>
      <c r="F27" s="270">
        <v>11.547972839382657</v>
      </c>
      <c r="G27" s="270">
        <v>11.70240950439716</v>
      </c>
      <c r="H27" s="270">
        <v>11.538215185822652</v>
      </c>
      <c r="I27" s="270">
        <v>11.505198618929803</v>
      </c>
      <c r="J27" s="667"/>
      <c r="K27" s="661"/>
      <c r="L27" s="662"/>
      <c r="M27" s="673" t="s">
        <v>183</v>
      </c>
      <c r="N27" s="769" t="str">
        <f t="shared" si="1"/>
        <v>DOLORESPATA 138
(12,19 USD/MWh)</v>
      </c>
      <c r="O27" s="286"/>
      <c r="P27" s="286"/>
      <c r="Q27" s="286"/>
    </row>
    <row r="28" spans="1:17" ht="19.5" customHeight="1">
      <c r="A28" s="184"/>
      <c r="B28" s="971" t="str">
        <f>"Cuadro N°12: Valor de los costos marginales medios registrados en las principales barras del área centro durante el mes de "&amp;'1. Resumen'!Q4</f>
        <v>Cuadro N°12: Valor de los costos marginales medios registrados en las principales barras del área centro durante el mes de agosto</v>
      </c>
      <c r="C28" s="971"/>
      <c r="D28" s="971"/>
      <c r="E28" s="971"/>
      <c r="F28" s="971"/>
      <c r="G28" s="971"/>
      <c r="H28" s="971"/>
      <c r="I28" s="971"/>
      <c r="J28" s="661"/>
      <c r="K28" s="661"/>
      <c r="L28" s="662"/>
      <c r="M28" s="673" t="s">
        <v>184</v>
      </c>
      <c r="N28" s="769" t="str">
        <f t="shared" si="1"/>
        <v>COTARUSE 220
(12,02 USD/MWh)</v>
      </c>
      <c r="O28" s="286"/>
      <c r="P28" s="286"/>
      <c r="Q28" s="286"/>
    </row>
    <row r="29" spans="1:17" ht="11.25" customHeight="1">
      <c r="A29" s="184"/>
      <c r="B29" s="190"/>
      <c r="C29" s="190"/>
      <c r="D29" s="190"/>
      <c r="E29" s="190"/>
      <c r="F29" s="190"/>
      <c r="G29" s="190"/>
      <c r="H29" s="190"/>
      <c r="I29" s="190"/>
      <c r="J29" s="668"/>
      <c r="K29" s="668"/>
      <c r="L29" s="662"/>
      <c r="M29" s="673" t="s">
        <v>185</v>
      </c>
      <c r="N29" s="769" t="str">
        <f t="shared" si="1"/>
        <v>SAN GABAN 138
(11,54 USD/MWh)</v>
      </c>
      <c r="O29" s="286"/>
      <c r="P29" s="286"/>
      <c r="Q29" s="286"/>
    </row>
    <row r="30" spans="1:17" ht="11.25" customHeight="1">
      <c r="A30" s="184"/>
      <c r="B30" s="190"/>
      <c r="C30" s="190"/>
      <c r="D30" s="190"/>
      <c r="E30" s="190"/>
      <c r="F30" s="190"/>
      <c r="G30" s="190"/>
      <c r="H30" s="190"/>
      <c r="I30" s="190"/>
      <c r="J30" s="668"/>
      <c r="K30" s="668"/>
      <c r="L30" s="662"/>
      <c r="M30" s="673"/>
      <c r="N30" s="770"/>
      <c r="O30" s="286"/>
      <c r="P30" s="286"/>
      <c r="Q30" s="286"/>
    </row>
    <row r="31" spans="1:17" ht="11.25" customHeight="1">
      <c r="A31" s="184"/>
      <c r="B31" s="190"/>
      <c r="C31" s="190"/>
      <c r="D31" s="190"/>
      <c r="E31" s="190"/>
      <c r="F31" s="190"/>
      <c r="G31" s="190"/>
      <c r="H31" s="190"/>
      <c r="I31" s="190"/>
      <c r="J31" s="668"/>
      <c r="K31" s="668"/>
      <c r="L31" s="662"/>
      <c r="M31" s="673"/>
      <c r="N31" s="770"/>
      <c r="O31" s="286"/>
      <c r="P31" s="286"/>
      <c r="Q31" s="286"/>
    </row>
    <row r="32" spans="1:17" ht="11.25" customHeight="1">
      <c r="A32" s="184"/>
      <c r="B32" s="190"/>
      <c r="C32" s="190"/>
      <c r="D32" s="190"/>
      <c r="E32" s="190"/>
      <c r="F32" s="190"/>
      <c r="G32" s="190"/>
      <c r="H32" s="190"/>
      <c r="I32" s="190"/>
      <c r="J32" s="668"/>
      <c r="K32" s="668"/>
      <c r="L32" s="662"/>
      <c r="M32" s="673"/>
      <c r="N32" s="286"/>
      <c r="O32" s="286"/>
      <c r="P32" s="286"/>
      <c r="Q32" s="286"/>
    </row>
    <row r="33" spans="1:17" ht="11.25" customHeight="1">
      <c r="A33" s="184"/>
      <c r="B33" s="190"/>
      <c r="C33" s="190"/>
      <c r="D33" s="190"/>
      <c r="E33" s="190"/>
      <c r="F33" s="190"/>
      <c r="G33" s="190"/>
      <c r="H33" s="190"/>
      <c r="I33" s="190"/>
      <c r="J33" s="668"/>
      <c r="K33" s="668"/>
      <c r="L33" s="662"/>
      <c r="N33" s="286"/>
      <c r="O33" s="286"/>
      <c r="P33" s="286"/>
      <c r="Q33" s="286"/>
    </row>
    <row r="34" spans="1:17" ht="11.25" customHeight="1">
      <c r="A34" s="184"/>
      <c r="B34" s="190"/>
      <c r="C34" s="190"/>
      <c r="D34" s="190"/>
      <c r="E34" s="190"/>
      <c r="F34" s="190"/>
      <c r="G34" s="190"/>
      <c r="H34" s="190"/>
      <c r="I34" s="190"/>
      <c r="J34" s="668"/>
      <c r="K34" s="668"/>
      <c r="L34" s="662"/>
      <c r="N34" s="286"/>
      <c r="O34" s="286"/>
      <c r="P34" s="286"/>
      <c r="Q34" s="286"/>
    </row>
    <row r="35" spans="1:17" ht="11.25" customHeight="1">
      <c r="A35" s="184"/>
      <c r="B35" s="190"/>
      <c r="C35" s="190"/>
      <c r="D35" s="190"/>
      <c r="E35" s="190"/>
      <c r="F35" s="190"/>
      <c r="G35" s="190"/>
      <c r="H35" s="190"/>
      <c r="I35" s="190"/>
      <c r="J35" s="668"/>
      <c r="K35" s="668"/>
      <c r="L35" s="669"/>
      <c r="N35" s="286"/>
      <c r="O35" s="286"/>
      <c r="P35" s="286"/>
      <c r="Q35" s="286"/>
    </row>
    <row r="36" spans="1:17" ht="11.25" customHeight="1">
      <c r="A36" s="184"/>
      <c r="B36" s="190"/>
      <c r="C36" s="190"/>
      <c r="D36" s="190"/>
      <c r="E36" s="190"/>
      <c r="F36" s="190"/>
      <c r="G36" s="190"/>
      <c r="H36" s="190"/>
      <c r="I36" s="190"/>
      <c r="J36" s="668"/>
      <c r="K36" s="668"/>
      <c r="L36" s="662"/>
      <c r="N36" s="286"/>
      <c r="O36" s="286"/>
      <c r="P36" s="286"/>
      <c r="Q36" s="286"/>
    </row>
    <row r="37" spans="1:17" ht="11.25" customHeight="1">
      <c r="A37" s="184"/>
      <c r="B37" s="190"/>
      <c r="C37" s="190"/>
      <c r="D37" s="190"/>
      <c r="E37" s="190"/>
      <c r="F37" s="190"/>
      <c r="G37" s="190"/>
      <c r="H37" s="190"/>
      <c r="I37" s="190"/>
      <c r="J37" s="668"/>
      <c r="K37" s="668"/>
      <c r="L37" s="662"/>
      <c r="N37" s="286"/>
      <c r="O37" s="286"/>
      <c r="P37" s="286"/>
      <c r="Q37" s="286"/>
    </row>
    <row r="38" spans="1:17" ht="11.25" customHeight="1">
      <c r="A38" s="184"/>
      <c r="B38" s="190"/>
      <c r="C38" s="190"/>
      <c r="D38" s="190"/>
      <c r="E38" s="190"/>
      <c r="F38" s="190"/>
      <c r="G38" s="190"/>
      <c r="H38" s="190"/>
      <c r="I38" s="190"/>
      <c r="J38" s="668"/>
      <c r="K38" s="668"/>
      <c r="L38" s="662"/>
      <c r="N38" s="286"/>
      <c r="O38" s="286"/>
      <c r="P38" s="286"/>
      <c r="Q38" s="286"/>
    </row>
    <row r="39" spans="1:17" ht="11.25" customHeight="1">
      <c r="A39" s="184"/>
      <c r="B39" s="190"/>
      <c r="C39" s="190"/>
      <c r="D39" s="190"/>
      <c r="E39" s="190"/>
      <c r="F39" s="190"/>
      <c r="G39" s="190"/>
      <c r="H39" s="190"/>
      <c r="I39" s="190"/>
      <c r="J39" s="668"/>
      <c r="K39" s="668"/>
      <c r="L39" s="662"/>
      <c r="N39" s="286"/>
      <c r="O39" s="286"/>
      <c r="P39" s="286"/>
      <c r="Q39" s="286"/>
    </row>
    <row r="40" spans="1:17" ht="13.5" customHeight="1">
      <c r="A40" s="184"/>
      <c r="B40" s="969" t="str">
        <f>"Gráfico N°21: Costos marginales medios registrados en las principales barras del área centro durante el mes de "&amp;'1. Resumen'!Q4</f>
        <v>Gráfico N°21: Costos marginales medios registrados en las principales barras del área centro durante el mes de agosto</v>
      </c>
      <c r="C40" s="969"/>
      <c r="D40" s="969"/>
      <c r="E40" s="969"/>
      <c r="F40" s="969"/>
      <c r="G40" s="969"/>
      <c r="H40" s="969"/>
      <c r="I40" s="969"/>
      <c r="J40" s="668"/>
      <c r="K40" s="668"/>
      <c r="L40" s="662"/>
      <c r="N40" s="286"/>
      <c r="O40" s="286"/>
      <c r="P40" s="286"/>
      <c r="Q40" s="286"/>
    </row>
    <row r="41" spans="1:17" ht="6.75" customHeight="1">
      <c r="A41" s="184"/>
      <c r="B41" s="190"/>
      <c r="C41" s="190"/>
      <c r="D41" s="190"/>
      <c r="E41" s="190"/>
      <c r="F41" s="190"/>
      <c r="G41" s="190"/>
      <c r="H41" s="190"/>
      <c r="I41" s="190"/>
      <c r="J41" s="668"/>
      <c r="K41" s="668"/>
      <c r="L41" s="662"/>
      <c r="N41" s="286"/>
      <c r="O41" s="286"/>
      <c r="P41" s="286"/>
      <c r="Q41" s="286"/>
    </row>
    <row r="42" spans="1:17" ht="8.25" customHeight="1">
      <c r="A42" s="184"/>
      <c r="B42" s="186"/>
      <c r="C42" s="186"/>
      <c r="D42" s="186"/>
      <c r="E42" s="186"/>
      <c r="F42" s="186"/>
      <c r="G42" s="186"/>
      <c r="H42" s="186"/>
      <c r="I42" s="186"/>
      <c r="J42" s="670"/>
      <c r="K42" s="670"/>
      <c r="L42" s="11"/>
      <c r="N42" s="286"/>
      <c r="O42" s="286"/>
      <c r="P42" s="286"/>
      <c r="Q42" s="286"/>
    </row>
    <row r="43" spans="1:17" ht="11.25" customHeight="1">
      <c r="A43" s="184"/>
      <c r="B43" s="189" t="s">
        <v>390</v>
      </c>
      <c r="C43" s="186"/>
      <c r="D43" s="186"/>
      <c r="E43" s="186"/>
      <c r="F43" s="186"/>
      <c r="G43" s="186"/>
      <c r="H43" s="186"/>
      <c r="I43" s="186"/>
      <c r="J43" s="670"/>
      <c r="K43" s="670"/>
      <c r="L43" s="11"/>
      <c r="N43" s="286"/>
      <c r="O43" s="286"/>
      <c r="P43" s="286"/>
      <c r="Q43" s="286"/>
    </row>
    <row r="44" spans="1:17" ht="6.75" customHeight="1">
      <c r="A44" s="184"/>
      <c r="B44" s="186"/>
      <c r="C44" s="186"/>
      <c r="D44" s="186"/>
      <c r="E44" s="186"/>
      <c r="F44" s="186"/>
      <c r="G44" s="186"/>
      <c r="H44" s="186"/>
      <c r="I44" s="186"/>
      <c r="J44" s="670"/>
      <c r="K44" s="670"/>
      <c r="L44" s="11"/>
      <c r="N44" s="286"/>
      <c r="O44" s="286"/>
      <c r="P44" s="286"/>
      <c r="Q44" s="286"/>
    </row>
    <row r="45" spans="1:17" ht="27" customHeight="1">
      <c r="A45" s="184"/>
      <c r="B45" s="494" t="s">
        <v>166</v>
      </c>
      <c r="C45" s="491" t="s">
        <v>179</v>
      </c>
      <c r="D45" s="491" t="s">
        <v>181</v>
      </c>
      <c r="E45" s="491" t="s">
        <v>182</v>
      </c>
      <c r="F45" s="491" t="s">
        <v>180</v>
      </c>
      <c r="G45" s="491" t="s">
        <v>183</v>
      </c>
      <c r="H45" s="491" t="s">
        <v>184</v>
      </c>
      <c r="I45" s="492" t="s">
        <v>185</v>
      </c>
      <c r="J45" s="666"/>
      <c r="K45" s="668"/>
      <c r="N45" s="286"/>
      <c r="O45" s="286"/>
      <c r="P45" s="286"/>
      <c r="Q45" s="286"/>
    </row>
    <row r="46" spans="1:17" ht="18.75" customHeight="1">
      <c r="A46" s="184"/>
      <c r="B46" s="495" t="s">
        <v>172</v>
      </c>
      <c r="C46" s="270">
        <v>12.842818318751847</v>
      </c>
      <c r="D46" s="270">
        <v>12.416782728892496</v>
      </c>
      <c r="E46" s="270">
        <v>12.378475707170404</v>
      </c>
      <c r="F46" s="270">
        <v>12.466867265347636</v>
      </c>
      <c r="G46" s="270">
        <v>12.18722964962061</v>
      </c>
      <c r="H46" s="270">
        <v>12.015732470609725</v>
      </c>
      <c r="I46" s="270">
        <v>11.542437683783918</v>
      </c>
      <c r="J46" s="667"/>
      <c r="K46" s="668"/>
      <c r="N46" s="286"/>
      <c r="O46" s="286"/>
      <c r="P46" s="286"/>
      <c r="Q46" s="286"/>
    </row>
    <row r="47" spans="1:17" ht="18" customHeight="1">
      <c r="A47" s="184"/>
      <c r="B47" s="971" t="str">
        <f>"Cuadro N°13: Valor de los costos marginales medios registrados en las principales barras del área sur durante el mes de "&amp;'1. Resumen'!Q4</f>
        <v>Cuadro N°13: Valor de los costos marginales medios registrados en las principales barras del área sur durante el mes de agosto</v>
      </c>
      <c r="C47" s="971"/>
      <c r="D47" s="971"/>
      <c r="E47" s="971"/>
      <c r="F47" s="971"/>
      <c r="G47" s="971"/>
      <c r="H47" s="971"/>
      <c r="I47" s="971"/>
      <c r="J47" s="667"/>
      <c r="K47" s="668"/>
    </row>
    <row r="48" spans="1:17" ht="12.75">
      <c r="A48" s="184"/>
      <c r="B48" s="190"/>
      <c r="C48" s="190"/>
      <c r="D48" s="190"/>
      <c r="E48" s="190"/>
      <c r="F48" s="190"/>
      <c r="G48" s="180"/>
      <c r="H48" s="180"/>
      <c r="I48" s="180"/>
      <c r="J48" s="661"/>
      <c r="K48" s="668"/>
    </row>
    <row r="49" spans="1:11" ht="12.75">
      <c r="A49" s="184"/>
      <c r="B49" s="180"/>
      <c r="C49" s="180"/>
      <c r="D49" s="180"/>
      <c r="E49" s="180"/>
      <c r="F49" s="180"/>
      <c r="G49" s="180"/>
      <c r="H49" s="180"/>
      <c r="I49" s="180"/>
      <c r="J49" s="661"/>
      <c r="K49" s="668"/>
    </row>
    <row r="50" spans="1:11" ht="12.75">
      <c r="A50" s="184"/>
      <c r="B50" s="111"/>
      <c r="C50" s="111"/>
      <c r="D50" s="111"/>
      <c r="E50" s="111"/>
      <c r="F50" s="111"/>
      <c r="G50" s="111"/>
      <c r="H50" s="111"/>
      <c r="I50" s="111"/>
      <c r="J50" s="671"/>
      <c r="K50" s="668"/>
    </row>
    <row r="51" spans="1:11" ht="12.75">
      <c r="A51" s="184"/>
      <c r="B51" s="111"/>
      <c r="C51" s="111"/>
      <c r="D51" s="111"/>
      <c r="E51" s="111"/>
      <c r="F51" s="111"/>
      <c r="G51" s="111"/>
      <c r="H51" s="111"/>
      <c r="I51" s="111"/>
      <c r="J51" s="671"/>
      <c r="K51" s="668"/>
    </row>
    <row r="52" spans="1:11" ht="12.75">
      <c r="A52" s="184"/>
      <c r="B52" s="111"/>
      <c r="C52" s="111"/>
      <c r="D52" s="111"/>
      <c r="E52" s="111"/>
      <c r="F52" s="111"/>
      <c r="G52" s="111"/>
      <c r="H52" s="111"/>
      <c r="I52" s="111"/>
      <c r="J52" s="671"/>
      <c r="K52" s="668"/>
    </row>
    <row r="53" spans="1:11" ht="12.75">
      <c r="A53" s="184"/>
      <c r="B53" s="111"/>
      <c r="C53" s="111"/>
      <c r="D53" s="111"/>
      <c r="E53" s="111"/>
      <c r="F53" s="111"/>
      <c r="G53" s="111"/>
      <c r="H53" s="111"/>
      <c r="I53" s="111"/>
      <c r="J53" s="671"/>
      <c r="K53" s="668"/>
    </row>
    <row r="54" spans="1:11" ht="12.75">
      <c r="A54" s="184"/>
      <c r="B54" s="111"/>
      <c r="C54" s="111"/>
      <c r="D54" s="111"/>
      <c r="E54" s="111"/>
      <c r="F54" s="111"/>
      <c r="G54" s="111"/>
      <c r="H54" s="111"/>
      <c r="I54" s="111"/>
      <c r="J54" s="671"/>
      <c r="K54" s="668"/>
    </row>
    <row r="55" spans="1:11" ht="12.75">
      <c r="A55" s="184"/>
      <c r="B55" s="111"/>
      <c r="C55" s="111"/>
      <c r="D55" s="111"/>
      <c r="E55" s="111"/>
      <c r="F55" s="111"/>
      <c r="G55" s="111"/>
      <c r="H55" s="111"/>
      <c r="I55" s="111"/>
      <c r="J55" s="671"/>
      <c r="K55" s="668"/>
    </row>
    <row r="56" spans="1:11" ht="12.75">
      <c r="A56" s="184"/>
      <c r="B56" s="180"/>
      <c r="C56" s="180"/>
      <c r="D56" s="180"/>
      <c r="E56" s="180"/>
      <c r="F56" s="180"/>
      <c r="G56" s="180"/>
      <c r="H56" s="180"/>
      <c r="I56" s="180"/>
      <c r="J56" s="661"/>
      <c r="K56" s="668"/>
    </row>
    <row r="57" spans="1:11" ht="12.75">
      <c r="A57" s="184"/>
      <c r="B57" s="180"/>
      <c r="C57" s="180"/>
      <c r="D57" s="180"/>
      <c r="E57" s="180"/>
      <c r="F57" s="180"/>
      <c r="G57" s="180"/>
      <c r="H57" s="180"/>
      <c r="I57" s="180"/>
      <c r="J57" s="661"/>
      <c r="K57" s="668"/>
    </row>
    <row r="58" spans="1:11" ht="12.75">
      <c r="A58" s="184"/>
      <c r="B58" s="969" t="str">
        <f>"Gráfico N°22: Costos marginales medios registrados en las principales barras del área sur durante el mes de "&amp;'1. Resumen'!Q4</f>
        <v>Gráfico N°22: Costos marginales medios registrados en las principales barras del área sur durante el mes de agosto</v>
      </c>
      <c r="C58" s="969"/>
      <c r="D58" s="969"/>
      <c r="E58" s="969"/>
      <c r="F58" s="969"/>
      <c r="G58" s="969"/>
      <c r="H58" s="969"/>
      <c r="I58" s="969"/>
      <c r="J58" s="661"/>
      <c r="K58" s="668"/>
    </row>
    <row r="59" spans="1:11" ht="12.75">
      <c r="A59" s="74"/>
      <c r="B59" s="136"/>
      <c r="C59" s="136"/>
      <c r="D59" s="136"/>
      <c r="E59" s="136"/>
      <c r="F59" s="136"/>
      <c r="G59" s="136"/>
      <c r="H59" s="180"/>
      <c r="I59" s="180"/>
      <c r="J59" s="661"/>
      <c r="K59" s="668"/>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zoomScaleNormal="100" zoomScaleSheetLayoutView="100" zoomScalePageLayoutView="145" workbookViewId="0">
      <selection activeCell="N25" sqref="N25"/>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29" t="s">
        <v>392</v>
      </c>
      <c r="B2" s="929"/>
      <c r="C2" s="929"/>
      <c r="D2" s="929"/>
      <c r="E2" s="929"/>
      <c r="F2" s="929"/>
      <c r="G2" s="929"/>
      <c r="H2" s="929"/>
      <c r="I2" s="929"/>
      <c r="J2" s="929"/>
      <c r="K2" s="929"/>
      <c r="L2" s="929"/>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58"/>
  <sheetViews>
    <sheetView showGridLines="0" view="pageBreakPreview" zoomScaleNormal="100" zoomScaleSheetLayoutView="100" zoomScalePageLayoutView="115" workbookViewId="0">
      <selection activeCell="N25" sqref="N25"/>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72" t="s">
        <v>391</v>
      </c>
      <c r="B2" s="972"/>
      <c r="C2" s="972"/>
      <c r="D2" s="972"/>
      <c r="E2" s="972"/>
      <c r="F2" s="972"/>
      <c r="G2" s="972"/>
      <c r="H2" s="972"/>
      <c r="I2" s="203"/>
      <c r="J2" s="203"/>
      <c r="K2" s="203"/>
    </row>
    <row r="3" spans="1:12" ht="3" customHeight="1">
      <c r="A3" s="77"/>
      <c r="B3" s="77"/>
      <c r="C3" s="77"/>
      <c r="D3" s="77"/>
      <c r="E3" s="77"/>
      <c r="F3" s="77"/>
      <c r="G3" s="77"/>
      <c r="H3" s="77"/>
      <c r="I3" s="204"/>
      <c r="J3" s="204"/>
      <c r="K3" s="204"/>
      <c r="L3" s="36"/>
    </row>
    <row r="4" spans="1:12" ht="15" customHeight="1">
      <c r="A4" s="963" t="s">
        <v>444</v>
      </c>
      <c r="B4" s="963"/>
      <c r="C4" s="963"/>
      <c r="D4" s="963"/>
      <c r="E4" s="963"/>
      <c r="F4" s="963"/>
      <c r="G4" s="963"/>
      <c r="H4" s="963"/>
      <c r="I4" s="195"/>
      <c r="J4" s="195"/>
      <c r="K4" s="195"/>
      <c r="L4" s="36"/>
    </row>
    <row r="5" spans="1:12" ht="11.25" customHeight="1">
      <c r="A5" s="77"/>
      <c r="B5" s="164"/>
      <c r="C5" s="78"/>
      <c r="D5" s="79"/>
      <c r="E5" s="79"/>
      <c r="F5" s="80"/>
      <c r="G5" s="76"/>
      <c r="H5" s="76"/>
      <c r="I5" s="196"/>
      <c r="J5" s="196"/>
      <c r="K5" s="196"/>
      <c r="L5" s="205"/>
    </row>
    <row r="6" spans="1:12" ht="30.75" customHeight="1">
      <c r="A6" s="518" t="s">
        <v>186</v>
      </c>
      <c r="B6" s="516" t="s">
        <v>187</v>
      </c>
      <c r="C6" s="516" t="s">
        <v>188</v>
      </c>
      <c r="D6" s="515" t="str">
        <f>UPPER('1. Resumen'!Q4)&amp;"
 "&amp;'1. Resumen'!Q5</f>
        <v>AGOSTO
 2020</v>
      </c>
      <c r="E6" s="515" t="str">
        <f>UPPER('1. Resumen'!Q4)&amp;"
 "&amp;'1. Resumen'!Q5-1</f>
        <v>AGOSTO
 2019</v>
      </c>
      <c r="F6" s="515" t="str">
        <f>UPPER('1. Resumen'!Q4)&amp;"
 "&amp;'1. Resumen'!Q5-2</f>
        <v>AGOSTO
 2018</v>
      </c>
      <c r="G6" s="516" t="s">
        <v>481</v>
      </c>
      <c r="H6" s="517" t="s">
        <v>435</v>
      </c>
      <c r="I6" s="196"/>
      <c r="J6" s="196"/>
      <c r="K6" s="196"/>
      <c r="L6" s="166"/>
    </row>
    <row r="7" spans="1:12" ht="19.5" customHeight="1">
      <c r="A7" s="973" t="s">
        <v>189</v>
      </c>
      <c r="B7" s="828" t="s">
        <v>581</v>
      </c>
      <c r="C7" s="829" t="s">
        <v>582</v>
      </c>
      <c r="D7" s="830"/>
      <c r="E7" s="830"/>
      <c r="F7" s="830">
        <v>7.2500000000000009</v>
      </c>
      <c r="G7" s="831"/>
      <c r="H7" s="831"/>
      <c r="I7" s="196"/>
      <c r="J7" s="196"/>
      <c r="K7" s="196"/>
      <c r="L7" s="58"/>
    </row>
    <row r="8" spans="1:12" ht="14.25" customHeight="1">
      <c r="A8" s="973"/>
      <c r="B8" s="828" t="s">
        <v>673</v>
      </c>
      <c r="C8" s="829" t="s">
        <v>674</v>
      </c>
      <c r="D8" s="830"/>
      <c r="E8" s="830"/>
      <c r="F8" s="830">
        <v>10.466666666666661</v>
      </c>
      <c r="G8" s="831"/>
      <c r="H8" s="831"/>
      <c r="I8" s="196"/>
      <c r="J8" s="196"/>
      <c r="K8" s="196"/>
      <c r="L8" s="58"/>
    </row>
    <row r="9" spans="1:12" ht="14.25" customHeight="1">
      <c r="A9" s="973"/>
      <c r="B9" s="828" t="s">
        <v>675</v>
      </c>
      <c r="C9" s="829" t="s">
        <v>482</v>
      </c>
      <c r="D9" s="830">
        <v>66.583333333333329</v>
      </c>
      <c r="E9" s="830"/>
      <c r="F9" s="830">
        <v>8.2833333333333314</v>
      </c>
      <c r="G9" s="831"/>
      <c r="H9" s="831"/>
      <c r="I9" s="196"/>
      <c r="J9" s="196"/>
      <c r="K9" s="196"/>
      <c r="L9" s="58"/>
    </row>
    <row r="10" spans="1:12" ht="18.75" customHeight="1">
      <c r="A10" s="508" t="s">
        <v>190</v>
      </c>
      <c r="B10" s="509"/>
      <c r="C10" s="510"/>
      <c r="D10" s="511">
        <f>SUM(D7:D9)</f>
        <v>66.583333333333329</v>
      </c>
      <c r="E10" s="511">
        <f>SUM(E7:E9)</f>
        <v>0</v>
      </c>
      <c r="F10" s="511">
        <f>SUM(F7:F9)</f>
        <v>25.999999999999993</v>
      </c>
      <c r="G10" s="511">
        <f>SUM(G7:G9)</f>
        <v>0</v>
      </c>
      <c r="H10" s="762">
        <f t="shared" ref="H10" si="0">+E10/F10-1</f>
        <v>-1</v>
      </c>
      <c r="I10" s="196"/>
      <c r="J10" s="196"/>
      <c r="K10" s="197"/>
      <c r="L10" s="206"/>
    </row>
    <row r="11" spans="1:12" ht="11.25" customHeight="1">
      <c r="A11" s="268" t="str">
        <f>"Cuadro N° 14: Horas de operación de los principales equipos de congestión en "&amp;'1. Resumen'!Q4</f>
        <v>Cuadro N° 14: Horas de operación de los principales equipos de congestión en agosto</v>
      </c>
      <c r="B11" s="209"/>
      <c r="C11" s="210"/>
      <c r="D11" s="211"/>
      <c r="E11" s="211"/>
      <c r="F11" s="212"/>
      <c r="G11" s="76"/>
      <c r="H11" s="82"/>
      <c r="I11" s="196"/>
      <c r="J11" s="196"/>
      <c r="K11" s="197"/>
      <c r="L11" s="206"/>
    </row>
    <row r="12" spans="1:12" ht="11.25" customHeight="1">
      <c r="A12" s="137"/>
      <c r="B12" s="209"/>
      <c r="C12" s="210"/>
      <c r="D12" s="211"/>
      <c r="E12" s="211"/>
      <c r="F12" s="212"/>
      <c r="G12" s="76"/>
      <c r="H12" s="76"/>
      <c r="I12" s="196"/>
      <c r="J12" s="196"/>
      <c r="K12" s="197"/>
      <c r="L12" s="206"/>
    </row>
    <row r="13" spans="1:12" ht="11.25" customHeight="1">
      <c r="A13" s="137"/>
      <c r="B13" s="209"/>
      <c r="C13" s="210"/>
      <c r="D13" s="211"/>
      <c r="E13" s="211"/>
      <c r="F13" s="212"/>
      <c r="G13" s="76"/>
      <c r="H13" s="76"/>
      <c r="I13" s="196"/>
      <c r="J13" s="196"/>
      <c r="K13" s="197"/>
      <c r="L13" s="206"/>
    </row>
    <row r="14" spans="1:12" ht="11.25" customHeight="1">
      <c r="A14" s="77"/>
      <c r="B14" s="164"/>
      <c r="C14" s="78"/>
      <c r="D14" s="79"/>
      <c r="E14" s="79"/>
      <c r="F14" s="80"/>
      <c r="G14" s="76"/>
      <c r="H14" s="76"/>
      <c r="I14" s="196"/>
      <c r="J14" s="196"/>
      <c r="K14" s="197"/>
      <c r="L14" s="206"/>
    </row>
    <row r="15" spans="1:12" ht="11.25" customHeight="1">
      <c r="A15" s="77"/>
      <c r="B15" s="164"/>
      <c r="C15" s="78"/>
      <c r="D15" s="79"/>
      <c r="E15" s="79"/>
      <c r="F15" s="80"/>
      <c r="G15" s="76"/>
      <c r="H15" s="76"/>
      <c r="I15" s="196"/>
      <c r="J15" s="196"/>
      <c r="K15" s="197"/>
      <c r="L15" s="206"/>
    </row>
    <row r="16" spans="1:12" ht="11.25" customHeight="1">
      <c r="A16" s="77"/>
      <c r="B16" s="164"/>
      <c r="C16" s="78"/>
      <c r="D16" s="79"/>
      <c r="E16" s="79"/>
      <c r="F16" s="80"/>
      <c r="G16" s="76"/>
      <c r="H16" s="76"/>
      <c r="I16" s="196"/>
      <c r="J16" s="196"/>
      <c r="K16" s="197"/>
      <c r="L16" s="207"/>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6"/>
    </row>
    <row r="19" spans="1:12" ht="11.25" customHeight="1">
      <c r="A19" s="77"/>
      <c r="B19" s="164"/>
      <c r="C19" s="78"/>
      <c r="D19" s="79"/>
      <c r="E19" s="79"/>
      <c r="F19" s="80"/>
      <c r="G19" s="76"/>
      <c r="H19" s="76"/>
      <c r="I19" s="196"/>
      <c r="J19" s="196"/>
      <c r="K19" s="196"/>
      <c r="L19" s="58"/>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8"/>
      <c r="L21" s="206"/>
    </row>
    <row r="22" spans="1:12" ht="11.25" customHeight="1">
      <c r="A22" s="77"/>
      <c r="B22" s="164"/>
      <c r="C22" s="78"/>
      <c r="D22" s="79"/>
      <c r="E22" s="79"/>
      <c r="F22" s="80"/>
      <c r="G22" s="76"/>
      <c r="H22" s="76"/>
      <c r="I22" s="196"/>
      <c r="J22" s="196"/>
      <c r="K22" s="198"/>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77"/>
      <c r="C27" s="77"/>
      <c r="D27" s="77"/>
      <c r="E27" s="77"/>
      <c r="F27" s="77"/>
      <c r="G27" s="77"/>
      <c r="H27" s="77"/>
      <c r="I27" s="196"/>
      <c r="J27" s="196"/>
      <c r="K27" s="198"/>
      <c r="L27" s="206"/>
    </row>
    <row r="28" spans="1:12" ht="11.25" customHeight="1">
      <c r="A28" s="77"/>
      <c r="B28" s="77"/>
      <c r="C28" s="77"/>
      <c r="D28" s="77"/>
      <c r="E28" s="77"/>
      <c r="F28" s="77"/>
      <c r="G28" s="77"/>
      <c r="H28" s="77"/>
      <c r="I28" s="196"/>
      <c r="J28" s="196"/>
      <c r="K28" s="199"/>
      <c r="L28" s="59"/>
    </row>
    <row r="29" spans="1:12" ht="11.25" customHeight="1">
      <c r="A29" s="77"/>
      <c r="B29" s="77"/>
      <c r="C29" s="77"/>
      <c r="D29" s="77"/>
      <c r="E29" s="77"/>
      <c r="F29" s="77"/>
      <c r="G29" s="77"/>
      <c r="H29" s="77"/>
      <c r="I29" s="196"/>
      <c r="J29" s="196"/>
      <c r="K29" s="199"/>
      <c r="L29" s="59"/>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8.25" customHeight="1">
      <c r="A36" s="77"/>
      <c r="B36" s="77"/>
      <c r="C36" s="77"/>
      <c r="D36" s="77"/>
      <c r="E36" s="77"/>
      <c r="F36" s="77"/>
      <c r="G36" s="77"/>
      <c r="H36" s="77"/>
      <c r="I36" s="196"/>
      <c r="J36" s="196"/>
      <c r="K36" s="199"/>
      <c r="L36" s="59"/>
    </row>
    <row r="37" spans="1:12" ht="24.75" customHeight="1">
      <c r="A37" s="77"/>
      <c r="B37" s="77"/>
      <c r="C37" s="77"/>
      <c r="D37" s="77"/>
      <c r="E37" s="77"/>
      <c r="F37" s="77"/>
      <c r="G37" s="77"/>
      <c r="H37" s="77"/>
      <c r="I37" s="196"/>
      <c r="J37" s="196"/>
      <c r="K37" s="199"/>
      <c r="L37" s="59"/>
    </row>
    <row r="38" spans="1:12" ht="11.25" customHeight="1">
      <c r="A38" s="77"/>
      <c r="B38" s="77"/>
      <c r="C38" s="77"/>
      <c r="D38" s="77"/>
      <c r="E38" s="77"/>
      <c r="F38" s="77"/>
      <c r="G38" s="77"/>
      <c r="H38" s="77"/>
      <c r="I38" s="196"/>
      <c r="J38" s="196"/>
      <c r="K38" s="199"/>
      <c r="L38" s="59"/>
    </row>
    <row r="39" spans="1:12" ht="11.2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8"/>
    </row>
    <row r="42" spans="1:12" ht="11.25" customHeight="1">
      <c r="A42" s="77"/>
      <c r="B42" s="77"/>
      <c r="C42" s="77"/>
      <c r="D42" s="77"/>
      <c r="E42" s="77"/>
      <c r="F42" s="77"/>
      <c r="G42" s="77"/>
      <c r="H42" s="77"/>
      <c r="I42" s="196"/>
      <c r="J42" s="196"/>
      <c r="K42" s="198"/>
    </row>
    <row r="43" spans="1:12" ht="12.75">
      <c r="A43" s="54"/>
      <c r="B43" s="77"/>
      <c r="C43" s="77"/>
      <c r="D43" s="77"/>
      <c r="E43" s="77"/>
      <c r="F43" s="77"/>
      <c r="G43" s="77"/>
      <c r="H43" s="77"/>
      <c r="I43" s="196"/>
      <c r="J43" s="196"/>
      <c r="K43" s="198"/>
    </row>
    <row r="44" spans="1:12" ht="12.75">
      <c r="A44" s="77"/>
      <c r="B44" s="77"/>
      <c r="C44" s="77"/>
      <c r="D44" s="77"/>
      <c r="E44" s="77"/>
      <c r="F44" s="77"/>
      <c r="G44" s="77"/>
      <c r="H44" s="77"/>
      <c r="I44" s="196"/>
      <c r="J44" s="196"/>
      <c r="K44" s="198"/>
    </row>
    <row r="45" spans="1:12" ht="12.75">
      <c r="A45" s="77"/>
      <c r="B45" s="77"/>
      <c r="C45" s="77"/>
      <c r="D45" s="77"/>
      <c r="E45" s="77"/>
      <c r="F45" s="77"/>
      <c r="G45" s="77"/>
      <c r="H45" s="77"/>
      <c r="I45" s="196"/>
      <c r="J45" s="196"/>
      <c r="K45" s="198"/>
    </row>
    <row r="46" spans="1:12" ht="12.75">
      <c r="A46" s="77"/>
      <c r="B46" s="77"/>
      <c r="C46" s="77"/>
      <c r="D46" s="77"/>
      <c r="E46" s="77"/>
      <c r="F46" s="77"/>
      <c r="G46" s="77"/>
      <c r="H46" s="77"/>
      <c r="I46" s="196"/>
      <c r="J46" s="196"/>
      <c r="K46" s="198"/>
    </row>
    <row r="47" spans="1:12" ht="12.75">
      <c r="A47" s="77"/>
      <c r="B47" s="77"/>
      <c r="C47" s="77"/>
      <c r="D47" s="77"/>
      <c r="E47" s="77"/>
      <c r="F47" s="77"/>
      <c r="G47" s="77"/>
      <c r="H47" s="77"/>
      <c r="I47" s="196"/>
      <c r="J47" s="196"/>
      <c r="K47" s="198"/>
    </row>
    <row r="48" spans="1:12" ht="12.75">
      <c r="A48" s="77"/>
      <c r="B48" s="77"/>
      <c r="C48" s="77"/>
      <c r="D48" s="77"/>
      <c r="E48" s="77"/>
      <c r="F48" s="77"/>
      <c r="G48" s="77"/>
      <c r="H48" s="77"/>
      <c r="I48" s="111"/>
      <c r="J48" s="111"/>
      <c r="K48" s="198"/>
    </row>
    <row r="49" spans="1:11" ht="12.75">
      <c r="A49" s="77"/>
      <c r="B49" s="77"/>
      <c r="C49" s="77"/>
      <c r="D49" s="77"/>
      <c r="E49" s="77"/>
      <c r="F49" s="77"/>
      <c r="G49" s="77"/>
      <c r="H49" s="77"/>
      <c r="I49" s="111"/>
      <c r="J49" s="111"/>
      <c r="K49" s="198"/>
    </row>
    <row r="50" spans="1:11" ht="12.75">
      <c r="A50" s="77"/>
      <c r="B50" s="77"/>
      <c r="C50" s="77"/>
      <c r="D50" s="77"/>
      <c r="E50" s="77"/>
      <c r="F50" s="77"/>
      <c r="G50" s="77"/>
      <c r="H50" s="77"/>
      <c r="I50" s="111"/>
      <c r="J50" s="111"/>
      <c r="K50" s="198"/>
    </row>
    <row r="51" spans="1:11" ht="12.75">
      <c r="B51" s="77"/>
      <c r="C51" s="77"/>
      <c r="D51" s="77"/>
      <c r="E51" s="77"/>
      <c r="F51" s="77"/>
      <c r="G51" s="77"/>
      <c r="H51" s="77"/>
      <c r="I51" s="111"/>
      <c r="J51" s="111"/>
      <c r="K51" s="198"/>
    </row>
    <row r="52" spans="1:11" ht="12.75">
      <c r="A52" s="268" t="str">
        <f>"Gráfico N° 23: Comparación de las horas de operación de los principales equipos de congestión en "&amp;'1. Resumen'!Q4&amp;"."</f>
        <v>Gráfico N° 23: Comparación de las horas de operación de los principales equipos de congestión en agosto.</v>
      </c>
      <c r="B52" s="77"/>
      <c r="C52" s="77"/>
      <c r="D52" s="77"/>
      <c r="E52" s="77"/>
      <c r="F52" s="77"/>
      <c r="G52" s="77"/>
      <c r="H52" s="77"/>
      <c r="I52" s="111"/>
      <c r="J52" s="111"/>
      <c r="K52" s="198"/>
    </row>
    <row r="53" spans="1:11" ht="12.75">
      <c r="A53" s="77"/>
      <c r="B53" s="77"/>
      <c r="C53" s="77"/>
      <c r="D53" s="77"/>
      <c r="E53" s="77"/>
      <c r="F53" s="77"/>
      <c r="G53" s="77"/>
      <c r="H53" s="77"/>
      <c r="I53" s="197"/>
      <c r="J53" s="197"/>
      <c r="K53" s="198"/>
    </row>
    <row r="54" spans="1:11" ht="12.75">
      <c r="A54" s="196"/>
      <c r="B54" s="197"/>
      <c r="C54" s="197"/>
      <c r="D54" s="197"/>
      <c r="E54" s="197"/>
      <c r="F54" s="197"/>
      <c r="G54" s="197"/>
      <c r="H54" s="197"/>
      <c r="I54" s="197"/>
      <c r="J54" s="197"/>
      <c r="K54" s="198"/>
    </row>
    <row r="55" spans="1:11" ht="12.75">
      <c r="A55" s="196"/>
      <c r="B55" s="208"/>
      <c r="C55" s="198"/>
      <c r="D55" s="198"/>
      <c r="E55" s="198"/>
      <c r="F55" s="198"/>
      <c r="G55" s="197"/>
      <c r="H55" s="197"/>
      <c r="I55" s="197"/>
      <c r="J55" s="197"/>
      <c r="K55" s="198"/>
    </row>
    <row r="56" spans="1:11" ht="12.75">
      <c r="A56" s="1"/>
      <c r="B56" s="31"/>
      <c r="C56" s="31"/>
      <c r="D56" s="31"/>
      <c r="E56" s="31"/>
      <c r="F56" s="31"/>
      <c r="G56" s="31"/>
      <c r="H56" s="197"/>
      <c r="I56" s="197"/>
      <c r="J56" s="197"/>
      <c r="K56" s="198"/>
    </row>
    <row r="57" spans="1:11" ht="12.75">
      <c r="A57" s="1"/>
      <c r="B57" s="31"/>
      <c r="C57" s="31"/>
      <c r="D57" s="31"/>
      <c r="E57" s="31"/>
      <c r="F57" s="31"/>
      <c r="G57" s="31"/>
      <c r="H57" s="197"/>
      <c r="I57" s="197"/>
      <c r="J57" s="197"/>
      <c r="K57" s="197"/>
    </row>
    <row r="58" spans="1:11" ht="12.75">
      <c r="A58" s="1"/>
      <c r="B58" s="31"/>
      <c r="C58" s="31"/>
      <c r="D58" s="31"/>
      <c r="E58" s="31"/>
      <c r="F58" s="31"/>
      <c r="G58" s="31"/>
      <c r="H58" s="197"/>
      <c r="I58" s="197"/>
      <c r="J58" s="197"/>
      <c r="K58" s="197"/>
    </row>
  </sheetData>
  <mergeCells count="3">
    <mergeCell ref="A4:H4"/>
    <mergeCell ref="A2:H2"/>
    <mergeCell ref="A7:A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0"/>
  <sheetViews>
    <sheetView showGridLines="0" view="pageBreakPreview" zoomScale="130" zoomScaleNormal="160" zoomScaleSheetLayoutView="130" zoomScalePageLayoutView="130" workbookViewId="0">
      <selection activeCell="N25" sqref="N25"/>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76" t="s">
        <v>419</v>
      </c>
      <c r="B2" s="976"/>
      <c r="C2" s="976"/>
      <c r="D2" s="976"/>
      <c r="E2" s="976"/>
      <c r="F2" s="976"/>
      <c r="G2" s="976"/>
      <c r="H2" s="976"/>
      <c r="I2" s="976"/>
      <c r="J2" s="976"/>
      <c r="K2" s="163"/>
    </row>
    <row r="3" spans="1:12" ht="6.75" customHeight="1">
      <c r="A3" s="17"/>
      <c r="B3" s="159"/>
      <c r="C3" s="213"/>
      <c r="D3" s="18"/>
      <c r="E3" s="18"/>
      <c r="F3" s="192"/>
      <c r="G3" s="66"/>
      <c r="H3" s="66"/>
      <c r="I3" s="71"/>
      <c r="J3" s="163"/>
      <c r="K3" s="163"/>
      <c r="L3" s="36"/>
    </row>
    <row r="4" spans="1:12" ht="15" customHeight="1">
      <c r="A4" s="977" t="s">
        <v>443</v>
      </c>
      <c r="B4" s="977"/>
      <c r="C4" s="977"/>
      <c r="D4" s="977"/>
      <c r="E4" s="977"/>
      <c r="F4" s="977"/>
      <c r="G4" s="977"/>
      <c r="H4" s="977"/>
      <c r="I4" s="977"/>
      <c r="J4" s="977"/>
      <c r="K4" s="163"/>
      <c r="L4" s="36"/>
    </row>
    <row r="5" spans="1:12" ht="38.25" customHeight="1">
      <c r="A5" s="974" t="s">
        <v>191</v>
      </c>
      <c r="B5" s="519" t="s">
        <v>192</v>
      </c>
      <c r="C5" s="520" t="s">
        <v>193</v>
      </c>
      <c r="D5" s="520" t="s">
        <v>194</v>
      </c>
      <c r="E5" s="520" t="s">
        <v>195</v>
      </c>
      <c r="F5" s="520" t="s">
        <v>196</v>
      </c>
      <c r="G5" s="520" t="s">
        <v>197</v>
      </c>
      <c r="H5" s="520" t="s">
        <v>198</v>
      </c>
      <c r="I5" s="521" t="s">
        <v>199</v>
      </c>
      <c r="J5" s="522" t="s">
        <v>200</v>
      </c>
      <c r="K5" s="131"/>
    </row>
    <row r="6" spans="1:12" ht="11.25" customHeight="1">
      <c r="A6" s="975"/>
      <c r="B6" s="701" t="s">
        <v>201</v>
      </c>
      <c r="C6" s="521" t="s">
        <v>202</v>
      </c>
      <c r="D6" s="521" t="s">
        <v>203</v>
      </c>
      <c r="E6" s="521" t="s">
        <v>204</v>
      </c>
      <c r="F6" s="521" t="s">
        <v>205</v>
      </c>
      <c r="G6" s="521" t="s">
        <v>206</v>
      </c>
      <c r="H6" s="521" t="s">
        <v>207</v>
      </c>
      <c r="I6" s="702"/>
      <c r="J6" s="703" t="s">
        <v>208</v>
      </c>
      <c r="K6" s="19"/>
    </row>
    <row r="7" spans="1:12" s="730" customFormat="1" ht="1.5" customHeight="1">
      <c r="A7" s="852"/>
      <c r="B7" s="853"/>
      <c r="C7" s="854"/>
      <c r="D7" s="854"/>
      <c r="E7" s="854"/>
      <c r="F7" s="854"/>
      <c r="G7" s="854"/>
      <c r="H7" s="854"/>
      <c r="I7" s="854"/>
      <c r="J7" s="854"/>
      <c r="K7" s="19"/>
    </row>
    <row r="8" spans="1:12" ht="20.25" customHeight="1">
      <c r="A8" s="711" t="s">
        <v>632</v>
      </c>
      <c r="B8" s="712">
        <v>1</v>
      </c>
      <c r="C8" s="712">
        <v>6</v>
      </c>
      <c r="D8" s="712">
        <v>4</v>
      </c>
      <c r="E8" s="712"/>
      <c r="F8" s="712">
        <v>5</v>
      </c>
      <c r="G8" s="712"/>
      <c r="H8" s="712">
        <v>1</v>
      </c>
      <c r="I8" s="713">
        <f>+SUM(B8:H8)</f>
        <v>17</v>
      </c>
      <c r="J8" s="714">
        <v>116.26</v>
      </c>
      <c r="K8" s="22"/>
    </row>
    <row r="9" spans="1:12" s="730" customFormat="1" ht="20.25" customHeight="1">
      <c r="A9" s="855" t="s">
        <v>633</v>
      </c>
      <c r="B9" s="856">
        <v>1</v>
      </c>
      <c r="C9" s="856"/>
      <c r="D9" s="856"/>
      <c r="E9" s="856"/>
      <c r="F9" s="856">
        <v>1</v>
      </c>
      <c r="G9" s="856"/>
      <c r="H9" s="856"/>
      <c r="I9" s="713">
        <f>+SUM(B9:H9)</f>
        <v>2</v>
      </c>
      <c r="J9" s="857">
        <v>5.37</v>
      </c>
      <c r="K9" s="22"/>
    </row>
    <row r="10" spans="1:12" s="730" customFormat="1" ht="20.25" customHeight="1">
      <c r="A10" s="855" t="s">
        <v>634</v>
      </c>
      <c r="B10" s="856"/>
      <c r="C10" s="856"/>
      <c r="D10" s="856"/>
      <c r="E10" s="856"/>
      <c r="F10" s="856">
        <v>1</v>
      </c>
      <c r="G10" s="856"/>
      <c r="H10" s="856"/>
      <c r="I10" s="713">
        <f t="shared" ref="I10:I11" si="0">+SUM(B10:H10)</f>
        <v>1</v>
      </c>
      <c r="J10" s="857">
        <v>0.04</v>
      </c>
      <c r="K10" s="22"/>
    </row>
    <row r="11" spans="1:12" s="730" customFormat="1" ht="18.75" customHeight="1">
      <c r="A11" s="855" t="s">
        <v>635</v>
      </c>
      <c r="B11" s="856"/>
      <c r="C11" s="856"/>
      <c r="D11" s="856"/>
      <c r="E11" s="856"/>
      <c r="F11" s="856">
        <v>1</v>
      </c>
      <c r="G11" s="856"/>
      <c r="H11" s="856"/>
      <c r="I11" s="713">
        <f t="shared" si="0"/>
        <v>1</v>
      </c>
      <c r="J11" s="857">
        <v>5.42</v>
      </c>
      <c r="K11" s="22"/>
    </row>
    <row r="12" spans="1:12" ht="14.25" customHeight="1">
      <c r="A12" s="709" t="s">
        <v>199</v>
      </c>
      <c r="B12" s="704">
        <f t="shared" ref="B12:H12" si="1">+SUM(B8:B11)</f>
        <v>2</v>
      </c>
      <c r="C12" s="704">
        <f t="shared" si="1"/>
        <v>6</v>
      </c>
      <c r="D12" s="704">
        <f t="shared" si="1"/>
        <v>4</v>
      </c>
      <c r="E12" s="704">
        <f t="shared" si="1"/>
        <v>0</v>
      </c>
      <c r="F12" s="704">
        <f t="shared" si="1"/>
        <v>8</v>
      </c>
      <c r="G12" s="704">
        <f t="shared" si="1"/>
        <v>0</v>
      </c>
      <c r="H12" s="704">
        <f t="shared" si="1"/>
        <v>1</v>
      </c>
      <c r="I12" s="704">
        <f>SUM(I8:I11)</f>
        <v>21</v>
      </c>
      <c r="J12" s="705">
        <f>SUM(J8:J11)</f>
        <v>127.09000000000002</v>
      </c>
      <c r="K12" s="22"/>
    </row>
    <row r="13" spans="1:12" ht="11.25" customHeight="1">
      <c r="A13" s="978"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agosto 2020</v>
      </c>
      <c r="B13" s="978"/>
      <c r="C13" s="978"/>
      <c r="D13" s="978"/>
      <c r="E13" s="978"/>
      <c r="F13" s="978"/>
      <c r="G13" s="978"/>
      <c r="H13" s="978"/>
      <c r="I13" s="978"/>
      <c r="J13" s="978"/>
      <c r="K13" s="22"/>
    </row>
    <row r="14" spans="1:12" ht="11.25" customHeight="1">
      <c r="K14" s="22"/>
    </row>
    <row r="15" spans="1:12" ht="11.25" customHeight="1">
      <c r="A15" s="17"/>
      <c r="B15" s="215"/>
      <c r="C15" s="214"/>
      <c r="D15" s="214"/>
      <c r="E15" s="214"/>
      <c r="F15" s="214"/>
      <c r="G15" s="178"/>
      <c r="H15" s="178"/>
      <c r="I15" s="138"/>
      <c r="J15" s="25"/>
      <c r="K15" s="25"/>
      <c r="L15" s="22"/>
    </row>
    <row r="16" spans="1:12" ht="11.25" customHeight="1">
      <c r="A16" s="982" t="str">
        <f>"FALLAS  POR TIPO DE CAUSA  -  "&amp;UPPER('1. Resumen'!Q4)&amp;" "&amp;'1. Resumen'!Q5</f>
        <v>FALLAS  POR TIPO DE CAUSA  -  AGOSTO 2020</v>
      </c>
      <c r="B16" s="982"/>
      <c r="C16" s="982"/>
      <c r="D16" s="982"/>
      <c r="E16" s="982" t="str">
        <f>"FALLAS  POR TIPO DE EQUIPO  -  "&amp;UPPER('1. Resumen'!Q4)&amp;" "&amp;'1. Resumen'!Q5</f>
        <v>FALLAS  POR TIPO DE EQUIPO  -  AGOSTO 2020</v>
      </c>
      <c r="F16" s="982"/>
      <c r="G16" s="982"/>
      <c r="H16" s="982"/>
      <c r="I16" s="982"/>
      <c r="J16" s="982"/>
      <c r="K16" s="25"/>
      <c r="L16" s="22"/>
    </row>
    <row r="17" spans="1:12" ht="11.25" customHeight="1">
      <c r="A17" s="17"/>
      <c r="E17" s="214"/>
      <c r="F17" s="214"/>
      <c r="G17" s="178"/>
      <c r="H17" s="178"/>
      <c r="I17" s="138"/>
      <c r="J17" s="111"/>
      <c r="K17" s="111"/>
      <c r="L17" s="22"/>
    </row>
    <row r="18" spans="1:12" ht="11.25" customHeight="1">
      <c r="A18" s="17"/>
      <c r="B18" s="215"/>
      <c r="C18" s="214"/>
      <c r="D18" s="214"/>
      <c r="E18" s="214"/>
      <c r="F18" s="214"/>
      <c r="G18" s="178"/>
      <c r="H18" s="178"/>
      <c r="I18" s="138"/>
      <c r="J18" s="111"/>
      <c r="K18" s="111"/>
      <c r="L18" s="30"/>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30"/>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11.25" customHeight="1">
      <c r="A33" s="17"/>
      <c r="B33" s="215"/>
      <c r="C33" s="214"/>
      <c r="D33" s="214"/>
      <c r="E33" s="214"/>
      <c r="F33" s="214"/>
      <c r="G33" s="178"/>
      <c r="H33" s="178"/>
      <c r="I33" s="138"/>
      <c r="J33" s="111"/>
      <c r="K33" s="111"/>
      <c r="L33" s="22"/>
    </row>
    <row r="34" spans="1:12" ht="23.25" customHeight="1">
      <c r="A34" s="981" t="s">
        <v>407</v>
      </c>
      <c r="B34" s="981"/>
      <c r="C34" s="981"/>
      <c r="D34" s="271"/>
      <c r="E34" s="984" t="s">
        <v>408</v>
      </c>
      <c r="F34" s="984"/>
      <c r="G34" s="984"/>
      <c r="H34" s="984"/>
      <c r="I34" s="984"/>
      <c r="J34" s="984"/>
      <c r="K34" s="25"/>
      <c r="L34" s="22"/>
    </row>
    <row r="35" spans="1:12" ht="11.25" customHeight="1">
      <c r="A35" s="17"/>
      <c r="B35" s="132"/>
      <c r="C35" s="132"/>
      <c r="D35" s="132"/>
      <c r="E35" s="132"/>
      <c r="F35" s="132"/>
      <c r="G35" s="25"/>
      <c r="H35" s="25"/>
      <c r="I35" s="25"/>
      <c r="J35" s="25"/>
      <c r="K35" s="25"/>
      <c r="L35" s="22"/>
    </row>
    <row r="36" spans="1:12" ht="6.75" customHeight="1">
      <c r="A36" s="17"/>
      <c r="B36" s="132"/>
      <c r="C36" s="132"/>
      <c r="D36" s="132"/>
      <c r="E36" s="132"/>
      <c r="F36" s="132"/>
      <c r="G36" s="25"/>
      <c r="H36" s="25"/>
      <c r="I36" s="25"/>
      <c r="J36" s="25"/>
      <c r="K36" s="25"/>
      <c r="L36" s="216"/>
    </row>
    <row r="37" spans="1:12" ht="11.25" customHeight="1">
      <c r="A37" s="983" t="str">
        <f>"ENERGÍA INTERRUMPIDA APROXIMADA POR TIPO DE EQUIPO (MWh)  -  "&amp;UPPER('1. Resumen'!Q4)&amp;" "&amp;'1. Resumen'!Q5</f>
        <v>ENERGÍA INTERRUMPIDA APROXIMADA POR TIPO DE EQUIPO (MWh)  -  AGOSTO 2020</v>
      </c>
      <c r="B37" s="983"/>
      <c r="C37" s="983"/>
      <c r="D37" s="983"/>
      <c r="E37" s="983"/>
      <c r="F37" s="983"/>
      <c r="G37" s="983"/>
      <c r="H37" s="983"/>
      <c r="I37" s="983"/>
      <c r="J37" s="983"/>
      <c r="K37" s="25"/>
      <c r="L37" s="216"/>
    </row>
    <row r="38" spans="1:12" ht="11.25" customHeight="1">
      <c r="A38" s="17"/>
      <c r="B38" s="132"/>
      <c r="C38" s="132"/>
      <c r="D38" s="132"/>
      <c r="E38" s="132"/>
      <c r="F38" s="132"/>
      <c r="G38" s="25"/>
      <c r="H38" s="25"/>
      <c r="I38" s="25"/>
      <c r="J38" s="25"/>
      <c r="K38" s="25"/>
      <c r="L38" s="216"/>
    </row>
    <row r="39" spans="1:12" ht="11.25" customHeight="1">
      <c r="A39" s="17"/>
      <c r="B39" s="132"/>
      <c r="C39" s="25"/>
      <c r="D39" s="25"/>
      <c r="E39" s="25"/>
      <c r="F39" s="25"/>
      <c r="G39" s="25"/>
      <c r="H39" s="25"/>
      <c r="I39" s="25"/>
      <c r="J39" s="25"/>
      <c r="K39" s="25"/>
      <c r="L39" s="216"/>
    </row>
    <row r="40" spans="1:12" ht="11.25" customHeight="1">
      <c r="A40" s="17"/>
      <c r="B40" s="132"/>
      <c r="C40" s="25"/>
      <c r="D40" s="25"/>
      <c r="E40" s="25"/>
      <c r="F40" s="25"/>
      <c r="G40" s="25"/>
      <c r="H40" s="25"/>
    </row>
    <row r="41" spans="1:12" ht="12.75">
      <c r="A41" s="17"/>
      <c r="B41" s="132"/>
      <c r="J41" s="25"/>
      <c r="K41" s="25"/>
      <c r="L41" s="216"/>
    </row>
    <row r="42" spans="1:12" ht="12.75">
      <c r="A42" s="17"/>
      <c r="B42" s="132"/>
      <c r="C42" s="132"/>
      <c r="D42" s="132"/>
      <c r="E42" s="132"/>
      <c r="F42" s="132"/>
      <c r="G42" s="25"/>
      <c r="H42" s="25"/>
      <c r="I42" s="25"/>
      <c r="J42" s="25"/>
      <c r="K42" s="25"/>
      <c r="L42" s="216"/>
    </row>
    <row r="43" spans="1:12" ht="3" customHeight="1">
      <c r="A43" s="17"/>
      <c r="B43" s="132"/>
      <c r="C43" s="132"/>
      <c r="D43" s="132"/>
      <c r="E43" s="132"/>
      <c r="F43" s="132"/>
      <c r="G43" s="25"/>
      <c r="H43" s="25"/>
      <c r="I43" s="25"/>
      <c r="J43" s="25"/>
      <c r="K43" s="25"/>
      <c r="L43" s="216"/>
    </row>
    <row r="44" spans="1:12" ht="12.75">
      <c r="A44" s="17"/>
      <c r="B44" s="132"/>
      <c r="C44" s="132"/>
      <c r="D44" s="132"/>
      <c r="E44" s="132"/>
      <c r="F44" s="132"/>
      <c r="G44" s="25"/>
      <c r="H44" s="25"/>
      <c r="I44" s="25"/>
      <c r="J44" s="25"/>
      <c r="K44" s="25"/>
      <c r="L44" s="216"/>
    </row>
    <row r="45" spans="1:12" ht="12.75">
      <c r="A45" s="17"/>
      <c r="B45" s="132"/>
      <c r="C45" s="132"/>
      <c r="D45" s="132"/>
      <c r="E45" s="132"/>
      <c r="F45" s="132"/>
      <c r="G45" s="25"/>
      <c r="H45" s="25"/>
      <c r="I45" s="25"/>
      <c r="J45" s="25"/>
      <c r="K45" s="25"/>
      <c r="L45" s="216"/>
    </row>
    <row r="46" spans="1:12" ht="12.75">
      <c r="A46" s="17"/>
      <c r="B46" s="132"/>
      <c r="C46" s="132"/>
      <c r="D46" s="132"/>
      <c r="E46" s="132"/>
      <c r="F46" s="132"/>
      <c r="G46" s="25"/>
      <c r="H46" s="25"/>
      <c r="I46" s="25"/>
      <c r="J46" s="25"/>
      <c r="K46" s="25"/>
      <c r="L46" s="216"/>
    </row>
    <row r="47" spans="1:12" ht="12.75">
      <c r="A47" s="163"/>
      <c r="B47" s="25"/>
      <c r="C47" s="25"/>
      <c r="D47" s="25"/>
      <c r="E47" s="25"/>
      <c r="F47" s="25"/>
      <c r="G47" s="25"/>
      <c r="H47" s="25"/>
      <c r="I47" s="25"/>
      <c r="J47" s="25"/>
      <c r="K47" s="25"/>
      <c r="L47" s="216"/>
    </row>
    <row r="48" spans="1:12" ht="12.75">
      <c r="A48" s="163"/>
      <c r="B48" s="25"/>
      <c r="C48" s="25"/>
      <c r="D48" s="25"/>
      <c r="E48" s="25"/>
      <c r="F48" s="25"/>
      <c r="G48" s="25"/>
      <c r="H48" s="25"/>
      <c r="I48" s="25"/>
      <c r="J48" s="25"/>
      <c r="K48" s="25"/>
      <c r="L48" s="216"/>
    </row>
    <row r="49" spans="1:12" ht="12.75">
      <c r="A49" s="163"/>
      <c r="B49" s="25"/>
      <c r="C49" s="25"/>
      <c r="D49" s="25"/>
      <c r="E49" s="25"/>
      <c r="F49" s="25"/>
      <c r="G49" s="25"/>
      <c r="H49" s="25"/>
      <c r="I49" s="25"/>
      <c r="J49" s="25"/>
      <c r="K49" s="25"/>
      <c r="L49" s="216"/>
    </row>
    <row r="50" spans="1:12" ht="12.75">
      <c r="A50" s="163"/>
      <c r="B50" s="25"/>
      <c r="C50" s="25"/>
      <c r="D50" s="25"/>
      <c r="E50" s="25"/>
      <c r="F50" s="25"/>
      <c r="G50" s="25"/>
      <c r="H50" s="25"/>
      <c r="I50" s="25"/>
      <c r="J50" s="25"/>
      <c r="K50" s="25"/>
      <c r="L50" s="216"/>
    </row>
    <row r="51" spans="1:12" ht="12.75">
      <c r="A51" s="163"/>
      <c r="B51" s="25"/>
      <c r="C51" s="25"/>
      <c r="D51" s="25"/>
      <c r="E51" s="25"/>
      <c r="F51" s="25"/>
      <c r="G51" s="25"/>
      <c r="H51" s="25"/>
      <c r="I51" s="25"/>
      <c r="J51" s="25"/>
      <c r="K51" s="25"/>
      <c r="L51" s="216"/>
    </row>
    <row r="52" spans="1:12" ht="9" customHeight="1">
      <c r="A52" s="163"/>
      <c r="B52" s="25"/>
      <c r="C52" s="25"/>
      <c r="D52" s="25"/>
      <c r="E52" s="25"/>
      <c r="F52" s="25"/>
      <c r="G52" s="25"/>
      <c r="H52" s="25"/>
      <c r="I52" s="25"/>
      <c r="J52" s="25"/>
      <c r="K52" s="25"/>
      <c r="L52" s="216"/>
    </row>
    <row r="53" spans="1:12">
      <c r="A53" s="271" t="str">
        <f>"Gráfico N°26: Comparación de la energía interrumpida aproximada por tipo de equipo en "&amp;'1. Resumen'!Q4&amp;" "&amp;'1. Resumen'!Q5</f>
        <v>Gráfico N°26: Comparación de la energía interrumpida aproximada por tipo de equipo en agosto 2020</v>
      </c>
      <c r="B53" s="25"/>
      <c r="C53" s="25"/>
      <c r="D53" s="25"/>
      <c r="E53" s="25"/>
      <c r="F53" s="25"/>
      <c r="G53" s="25"/>
      <c r="H53" s="25"/>
      <c r="I53" s="25"/>
      <c r="J53" s="25"/>
      <c r="K53" s="25"/>
      <c r="L53" s="216"/>
    </row>
    <row r="54" spans="1:12" ht="5.25" customHeight="1">
      <c r="B54" s="25"/>
      <c r="C54" s="25"/>
      <c r="D54" s="25"/>
      <c r="E54" s="25"/>
      <c r="F54" s="25"/>
      <c r="G54" s="25"/>
      <c r="H54" s="25"/>
      <c r="I54" s="25"/>
      <c r="J54" s="25"/>
      <c r="K54" s="25"/>
      <c r="L54" s="216"/>
    </row>
    <row r="55" spans="1:12" ht="24" customHeight="1">
      <c r="A55" s="979" t="s">
        <v>209</v>
      </c>
      <c r="B55" s="979"/>
      <c r="C55" s="979"/>
      <c r="D55" s="979"/>
      <c r="E55" s="979"/>
      <c r="F55" s="979"/>
      <c r="G55" s="979"/>
      <c r="H55" s="979"/>
      <c r="I55" s="979"/>
      <c r="J55" s="979"/>
      <c r="K55" s="25"/>
      <c r="L55" s="216"/>
    </row>
    <row r="56" spans="1:12" ht="11.25" customHeight="1">
      <c r="A56" s="980" t="s">
        <v>210</v>
      </c>
      <c r="B56" s="980"/>
      <c r="C56" s="980"/>
      <c r="D56" s="980"/>
      <c r="E56" s="980"/>
      <c r="F56" s="980"/>
      <c r="G56" s="980"/>
      <c r="H56" s="980"/>
      <c r="I56" s="980"/>
      <c r="J56" s="980"/>
      <c r="K56" s="25"/>
      <c r="L56" s="216"/>
    </row>
    <row r="57" spans="1:12" ht="12.75">
      <c r="A57" s="163"/>
      <c r="B57" s="25"/>
      <c r="C57" s="25"/>
      <c r="D57" s="25"/>
      <c r="E57" s="25"/>
      <c r="F57" s="25"/>
      <c r="G57" s="25"/>
      <c r="H57" s="25"/>
      <c r="I57" s="25"/>
      <c r="J57" s="25"/>
      <c r="K57" s="25"/>
      <c r="L57" s="216"/>
    </row>
    <row r="58" spans="1:12" ht="12.75">
      <c r="A58" s="163"/>
      <c r="B58" s="25"/>
      <c r="C58" s="25"/>
      <c r="D58" s="25"/>
      <c r="E58" s="25"/>
      <c r="F58" s="25"/>
      <c r="G58" s="25"/>
      <c r="H58" s="25"/>
      <c r="I58" s="25"/>
      <c r="J58" s="25"/>
      <c r="K58" s="25"/>
      <c r="L58" s="216"/>
    </row>
    <row r="59" spans="1:12" ht="12.75">
      <c r="A59" s="163"/>
      <c r="B59" s="25"/>
      <c r="C59" s="25"/>
      <c r="D59" s="25"/>
      <c r="E59" s="25"/>
      <c r="F59" s="25"/>
      <c r="G59" s="25"/>
      <c r="H59" s="25"/>
      <c r="I59" s="25"/>
      <c r="J59" s="25"/>
      <c r="K59" s="25"/>
      <c r="L59" s="216"/>
    </row>
    <row r="60" spans="1:12" ht="12.75">
      <c r="A60" s="163"/>
      <c r="B60" s="25"/>
      <c r="C60" s="25"/>
      <c r="D60" s="25"/>
      <c r="E60" s="25"/>
      <c r="F60" s="25"/>
      <c r="G60" s="25"/>
      <c r="H60" s="25"/>
      <c r="I60" s="25"/>
      <c r="J60" s="25"/>
      <c r="K60" s="25"/>
      <c r="L60" s="216"/>
    </row>
    <row r="61" spans="1:12" ht="12.75">
      <c r="A61" s="163"/>
      <c r="B61" s="25"/>
      <c r="C61" s="25"/>
      <c r="D61" s="25"/>
      <c r="E61" s="25"/>
      <c r="F61" s="25"/>
      <c r="G61" s="25"/>
      <c r="H61" s="25"/>
      <c r="I61" s="25"/>
      <c r="J61" s="25"/>
      <c r="K61" s="25"/>
      <c r="L61" s="216"/>
    </row>
    <row r="62" spans="1:12" ht="12.75">
      <c r="A62" s="163"/>
      <c r="B62" s="25"/>
      <c r="C62" s="25"/>
      <c r="D62" s="25"/>
      <c r="E62" s="25"/>
      <c r="F62" s="25"/>
      <c r="G62" s="25"/>
      <c r="H62" s="25"/>
      <c r="I62" s="25"/>
      <c r="J62" s="25"/>
      <c r="K62" s="25"/>
      <c r="L62" s="216"/>
    </row>
    <row r="63" spans="1:12" ht="12.75">
      <c r="A63" s="163"/>
      <c r="B63" s="25"/>
      <c r="C63" s="25"/>
      <c r="D63" s="25"/>
      <c r="E63" s="25"/>
      <c r="F63" s="25"/>
      <c r="G63" s="25"/>
      <c r="H63" s="25"/>
      <c r="I63" s="25"/>
      <c r="J63" s="25"/>
      <c r="K63" s="25"/>
      <c r="L63" s="216"/>
    </row>
    <row r="64" spans="1:12" ht="12.75">
      <c r="A64" s="163"/>
      <c r="B64" s="25"/>
      <c r="C64" s="25"/>
      <c r="D64" s="25"/>
      <c r="E64" s="25"/>
      <c r="F64" s="25"/>
      <c r="G64" s="25"/>
      <c r="H64" s="25"/>
      <c r="I64" s="25"/>
      <c r="J64" s="25"/>
      <c r="K64" s="25"/>
      <c r="L64" s="216"/>
    </row>
    <row r="65" spans="1:12" ht="12.75">
      <c r="A65" s="163"/>
      <c r="B65" s="25"/>
      <c r="C65" s="25"/>
      <c r="D65" s="25"/>
      <c r="E65" s="25"/>
      <c r="F65" s="25"/>
      <c r="G65" s="25"/>
      <c r="H65" s="25"/>
      <c r="I65" s="25"/>
      <c r="J65" s="25"/>
      <c r="K65" s="25"/>
      <c r="L65" s="216"/>
    </row>
    <row r="66" spans="1:12" ht="12.75">
      <c r="A66" s="163"/>
      <c r="B66" s="25"/>
      <c r="C66" s="25"/>
      <c r="D66" s="25"/>
      <c r="E66" s="25"/>
      <c r="F66" s="25"/>
      <c r="G66" s="25"/>
      <c r="H66" s="25"/>
      <c r="I66" s="25"/>
      <c r="J66" s="25"/>
      <c r="K66" s="25"/>
      <c r="L66" s="216"/>
    </row>
    <row r="67" spans="1:12" ht="12.75">
      <c r="A67" s="163"/>
      <c r="B67" s="25"/>
      <c r="J67" s="25"/>
      <c r="K67" s="25"/>
      <c r="L67" s="216"/>
    </row>
    <row r="68" spans="1:12" ht="12.75">
      <c r="A68" s="163"/>
      <c r="B68" s="25"/>
      <c r="J68" s="25"/>
      <c r="K68" s="25"/>
      <c r="L68" s="216"/>
    </row>
    <row r="69" spans="1:12" ht="12.75">
      <c r="A69" s="163"/>
      <c r="B69" s="25"/>
      <c r="J69" s="25"/>
      <c r="K69" s="25"/>
      <c r="L69" s="216"/>
    </row>
    <row r="70" spans="1:12" ht="12.75">
      <c r="A70" s="163"/>
      <c r="B70" s="25"/>
      <c r="J70" s="25"/>
      <c r="K70" s="25"/>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row r="250" spans="2:12">
      <c r="B250" s="216"/>
      <c r="C250" s="216"/>
      <c r="D250" s="216"/>
      <c r="E250" s="216"/>
      <c r="F250" s="216"/>
      <c r="G250" s="216"/>
      <c r="H250" s="216"/>
      <c r="I250" s="216"/>
      <c r="J250" s="216"/>
      <c r="K250" s="216"/>
      <c r="L250" s="216"/>
    </row>
  </sheetData>
  <mergeCells count="11">
    <mergeCell ref="A56:J56"/>
    <mergeCell ref="A34:C34"/>
    <mergeCell ref="A16:D16"/>
    <mergeCell ref="E16:J16"/>
    <mergeCell ref="A37:J37"/>
    <mergeCell ref="E34:J34"/>
    <mergeCell ref="A5:A6"/>
    <mergeCell ref="A2:J2"/>
    <mergeCell ref="A4:J4"/>
    <mergeCell ref="A13:J13"/>
    <mergeCell ref="A55:J55"/>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zoomScalePageLayoutView="130" workbookViewId="0">
      <selection activeCell="N25" sqref="N25"/>
    </sheetView>
  </sheetViews>
  <sheetFormatPr defaultColWidth="9.33203125" defaultRowHeight="11.25"/>
  <cols>
    <col min="8" max="10" width="11.1640625" customWidth="1"/>
    <col min="11" max="11" width="12.5" customWidth="1"/>
    <col min="12" max="12" width="9.33203125" customWidth="1"/>
  </cols>
  <sheetData>
    <row r="3" spans="1:12">
      <c r="A3" s="885" t="s">
        <v>0</v>
      </c>
      <c r="B3" s="885"/>
      <c r="C3" s="885"/>
      <c r="D3" s="885"/>
      <c r="E3" s="885"/>
      <c r="F3" s="885"/>
      <c r="G3" s="885"/>
      <c r="H3" s="885"/>
      <c r="I3" s="885"/>
      <c r="J3" s="885"/>
      <c r="K3" s="885"/>
      <c r="L3" s="885"/>
    </row>
    <row r="4" spans="1:12">
      <c r="A4" s="885"/>
      <c r="B4" s="885"/>
      <c r="C4" s="885"/>
      <c r="D4" s="885"/>
      <c r="E4" s="885"/>
      <c r="F4" s="885"/>
      <c r="G4" s="885"/>
      <c r="H4" s="885"/>
      <c r="I4" s="885"/>
      <c r="J4" s="885"/>
      <c r="K4" s="885"/>
      <c r="L4" s="885"/>
    </row>
    <row r="5" spans="1:12" ht="12">
      <c r="A5" s="3"/>
      <c r="B5" s="217"/>
      <c r="C5" s="2"/>
      <c r="D5" s="2"/>
      <c r="E5" s="37"/>
      <c r="F5" s="2"/>
      <c r="G5" s="2"/>
      <c r="H5" s="2"/>
      <c r="I5" s="2"/>
      <c r="J5" s="2"/>
      <c r="K5" s="2"/>
      <c r="L5" s="8" t="s">
        <v>1</v>
      </c>
    </row>
    <row r="6" spans="1:12" ht="12">
      <c r="A6" s="3"/>
      <c r="B6" s="217"/>
      <c r="C6" s="2"/>
      <c r="D6" s="2"/>
      <c r="E6" s="37"/>
      <c r="F6" s="2"/>
      <c r="G6" s="2"/>
      <c r="H6" s="2"/>
      <c r="I6" s="2"/>
      <c r="J6" s="2"/>
      <c r="K6" s="2"/>
      <c r="L6" s="5"/>
    </row>
    <row r="7" spans="1:12" ht="19.5" customHeight="1">
      <c r="A7" s="20" t="s">
        <v>401</v>
      </c>
      <c r="B7" s="218"/>
      <c r="C7" s="25"/>
      <c r="D7" s="25"/>
      <c r="E7" s="25"/>
      <c r="F7" s="25"/>
      <c r="G7" s="25"/>
      <c r="H7" s="25"/>
      <c r="I7" s="25"/>
      <c r="J7" s="25"/>
      <c r="K7" s="25"/>
      <c r="L7" s="25"/>
    </row>
    <row r="8" spans="1:12" ht="17.25" customHeight="1">
      <c r="A8" s="25"/>
      <c r="B8" s="25" t="s">
        <v>586</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468</v>
      </c>
      <c r="B10" s="218"/>
      <c r="C10" s="25"/>
      <c r="D10" s="25"/>
      <c r="E10" s="25"/>
      <c r="F10" s="25"/>
      <c r="G10" s="25"/>
      <c r="H10" s="25"/>
      <c r="I10" s="25"/>
      <c r="J10" s="25"/>
      <c r="K10" s="25"/>
      <c r="L10" s="22"/>
    </row>
    <row r="11" spans="1:12" ht="19.5" customHeight="1">
      <c r="A11" s="27"/>
      <c r="B11" s="25" t="s">
        <v>449</v>
      </c>
      <c r="C11" s="25"/>
      <c r="D11" s="25"/>
      <c r="E11" s="25"/>
      <c r="F11" s="21"/>
      <c r="G11" s="21"/>
      <c r="H11" s="21"/>
      <c r="I11" s="21"/>
      <c r="J11" s="21"/>
      <c r="K11" s="21"/>
      <c r="L11" s="22" t="s">
        <v>2</v>
      </c>
    </row>
    <row r="12" spans="1:12" ht="19.5" customHeight="1">
      <c r="A12" s="27"/>
      <c r="B12" s="25" t="s">
        <v>381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394</v>
      </c>
      <c r="B14" s="25"/>
      <c r="C14" s="25"/>
      <c r="D14" s="25"/>
      <c r="E14" s="25"/>
      <c r="F14" s="25"/>
      <c r="G14" s="25"/>
      <c r="H14" s="25"/>
      <c r="I14" s="25"/>
      <c r="J14" s="25"/>
      <c r="K14" s="25"/>
      <c r="L14" s="22"/>
    </row>
    <row r="15" spans="1:12" ht="19.5" customHeight="1">
      <c r="A15" s="27"/>
      <c r="B15" s="25" t="s">
        <v>370</v>
      </c>
      <c r="C15" s="25"/>
      <c r="D15" s="25"/>
      <c r="E15" s="25"/>
      <c r="F15" s="21"/>
      <c r="G15" s="21"/>
      <c r="H15" s="21"/>
      <c r="I15" s="21"/>
      <c r="J15" s="21"/>
      <c r="K15" s="21"/>
      <c r="L15" s="22" t="s">
        <v>3</v>
      </c>
    </row>
    <row r="16" spans="1:12" ht="19.5" customHeight="1">
      <c r="A16" s="27"/>
      <c r="B16" s="25" t="s">
        <v>379</v>
      </c>
      <c r="C16" s="25"/>
      <c r="D16" s="25"/>
      <c r="E16" s="25"/>
      <c r="F16" s="25"/>
      <c r="G16" s="21"/>
      <c r="H16" s="21"/>
      <c r="I16" s="21"/>
      <c r="J16" s="21"/>
      <c r="K16" s="21"/>
      <c r="L16" s="22" t="s">
        <v>4</v>
      </c>
    </row>
    <row r="17" spans="1:12" ht="19.5" customHeight="1">
      <c r="A17" s="27"/>
      <c r="B17" s="25" t="s">
        <v>371</v>
      </c>
      <c r="C17" s="25"/>
      <c r="D17" s="25"/>
      <c r="E17" s="25"/>
      <c r="F17" s="25"/>
      <c r="G17" s="21"/>
      <c r="H17" s="21"/>
      <c r="I17" s="21"/>
      <c r="J17" s="21"/>
      <c r="K17" s="21"/>
      <c r="L17" s="22" t="s">
        <v>5</v>
      </c>
    </row>
    <row r="18" spans="1:12" ht="19.5" customHeight="1">
      <c r="A18" s="27"/>
      <c r="B18" s="25" t="s">
        <v>372</v>
      </c>
      <c r="C18" s="25"/>
      <c r="D18" s="25"/>
      <c r="E18" s="25"/>
      <c r="F18" s="21"/>
      <c r="G18" s="21"/>
      <c r="H18" s="21"/>
      <c r="I18" s="21"/>
      <c r="J18" s="21"/>
      <c r="K18" s="21"/>
      <c r="L18" s="22" t="s">
        <v>6</v>
      </c>
    </row>
    <row r="19" spans="1:12" ht="19.5" customHeight="1">
      <c r="A19" s="27"/>
      <c r="B19" s="25" t="s">
        <v>373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393</v>
      </c>
      <c r="B21" s="25"/>
      <c r="C21" s="25"/>
      <c r="D21" s="25"/>
      <c r="E21" s="25"/>
      <c r="F21" s="25"/>
      <c r="G21" s="25"/>
      <c r="H21" s="25"/>
      <c r="I21" s="25"/>
      <c r="J21" s="25"/>
      <c r="K21" s="25"/>
      <c r="L21" s="30"/>
    </row>
    <row r="22" spans="1:12" ht="19.5" customHeight="1">
      <c r="A22" s="25"/>
      <c r="B22" s="25" t="s">
        <v>395</v>
      </c>
      <c r="C22" s="25"/>
      <c r="D22" s="25"/>
      <c r="E22" s="25"/>
      <c r="F22" s="25"/>
      <c r="G22" s="21"/>
      <c r="H22" s="21"/>
      <c r="I22" s="21"/>
      <c r="J22" s="21"/>
      <c r="K22" s="21"/>
      <c r="L22" s="22" t="s">
        <v>9</v>
      </c>
    </row>
    <row r="23" spans="1:12" ht="19.5" customHeight="1">
      <c r="A23" s="31"/>
      <c r="B23" s="25" t="s">
        <v>439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252</v>
      </c>
      <c r="B25" s="25"/>
      <c r="C25" s="25"/>
      <c r="D25" s="25"/>
      <c r="E25" s="25"/>
      <c r="F25" s="25"/>
      <c r="G25" s="25"/>
      <c r="H25" s="25"/>
      <c r="I25" s="25"/>
      <c r="J25" s="25"/>
      <c r="K25" s="25"/>
      <c r="L25" s="30"/>
    </row>
    <row r="26" spans="1:12" ht="19.5" customHeight="1">
      <c r="A26" s="25"/>
      <c r="B26" s="25" t="s">
        <v>397</v>
      </c>
      <c r="C26" s="25"/>
      <c r="D26" s="25"/>
      <c r="E26" s="25"/>
      <c r="F26" s="21"/>
      <c r="G26" s="21"/>
      <c r="H26" s="21"/>
      <c r="I26" s="21"/>
      <c r="J26" s="21"/>
      <c r="K26" s="33"/>
      <c r="L26" s="22" t="s">
        <v>11</v>
      </c>
    </row>
    <row r="27" spans="1:12" ht="19.5" customHeight="1">
      <c r="A27" s="25"/>
      <c r="B27" s="25" t="s">
        <v>374</v>
      </c>
      <c r="C27" s="25"/>
      <c r="D27" s="25"/>
      <c r="E27" s="25"/>
      <c r="F27" s="25"/>
      <c r="G27" s="21"/>
      <c r="H27" s="21"/>
      <c r="I27" s="21"/>
      <c r="J27" s="21"/>
      <c r="K27" s="33"/>
      <c r="L27" s="22" t="s">
        <v>11</v>
      </c>
    </row>
    <row r="28" spans="1:12" ht="19.5" customHeight="1">
      <c r="A28" s="31"/>
      <c r="B28" s="25" t="s">
        <v>396</v>
      </c>
      <c r="C28" s="25"/>
      <c r="D28" s="25"/>
      <c r="E28" s="25"/>
      <c r="F28" s="21"/>
      <c r="G28" s="21"/>
      <c r="H28" s="33"/>
      <c r="I28" s="33"/>
      <c r="J28" s="33"/>
      <c r="K28" s="33"/>
      <c r="L28" s="22" t="s">
        <v>12</v>
      </c>
    </row>
    <row r="29" spans="1:12" ht="19.5" customHeight="1">
      <c r="A29" s="31"/>
      <c r="B29" s="25" t="s">
        <v>380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386</v>
      </c>
      <c r="B31" s="25"/>
      <c r="C31" s="25"/>
      <c r="D31" s="25"/>
      <c r="E31" s="25"/>
      <c r="F31" s="25"/>
      <c r="G31" s="25"/>
      <c r="H31" s="25"/>
      <c r="I31" s="25"/>
      <c r="J31" s="25"/>
      <c r="K31" s="25"/>
      <c r="L31" s="22"/>
    </row>
    <row r="32" spans="1:12" ht="19.5" customHeight="1">
      <c r="A32" s="31"/>
      <c r="B32" s="25" t="s">
        <v>398</v>
      </c>
      <c r="C32" s="25"/>
      <c r="D32" s="25"/>
      <c r="E32" s="25"/>
      <c r="F32" s="25"/>
      <c r="G32" s="21"/>
      <c r="H32" s="21"/>
      <c r="I32" s="21"/>
      <c r="J32" s="21"/>
      <c r="K32" s="21"/>
      <c r="L32" s="22" t="s">
        <v>13</v>
      </c>
    </row>
    <row r="33" spans="1:12" ht="19.5" customHeight="1">
      <c r="A33" s="31"/>
      <c r="B33" s="25" t="s">
        <v>375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376</v>
      </c>
      <c r="B35" s="26"/>
      <c r="C35" s="32"/>
      <c r="D35" s="26"/>
      <c r="E35" s="26"/>
      <c r="F35" s="26"/>
      <c r="G35" s="26"/>
      <c r="H35" s="26"/>
      <c r="I35" s="26"/>
      <c r="J35" s="26"/>
      <c r="K35" s="26"/>
      <c r="L35" s="22"/>
    </row>
    <row r="36" spans="1:12" ht="19.5" customHeight="1">
      <c r="A36" s="27"/>
      <c r="B36" s="25" t="s">
        <v>399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377</v>
      </c>
      <c r="B38" s="35"/>
      <c r="C38" s="25"/>
      <c r="D38" s="25"/>
      <c r="E38" s="25"/>
      <c r="F38" s="25"/>
      <c r="G38" s="25"/>
      <c r="H38" s="25"/>
      <c r="I38" s="25"/>
      <c r="J38" s="25"/>
      <c r="K38" s="25"/>
      <c r="L38" s="38"/>
    </row>
    <row r="39" spans="1:12" ht="19.5" customHeight="1">
      <c r="A39" s="27"/>
      <c r="B39" s="25" t="s">
        <v>378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211</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400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 Agosto 2020
INFSGI-MES-08-2020
14/09/2020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Normal="100" zoomScaleSheetLayoutView="100" zoomScalePageLayoutView="140" workbookViewId="0">
      <selection activeCell="N25" sqref="N25"/>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3" t="s">
        <v>275</v>
      </c>
      <c r="B1" s="272"/>
      <c r="C1" s="272"/>
      <c r="D1" s="272"/>
      <c r="E1" s="272"/>
      <c r="F1" s="272"/>
      <c r="G1" s="272"/>
    </row>
    <row r="2" spans="1:8" ht="14.25" customHeight="1">
      <c r="A2" s="985" t="s">
        <v>250</v>
      </c>
      <c r="B2" s="988" t="s">
        <v>54</v>
      </c>
      <c r="C2" s="991" t="str">
        <f>"ENERGÍA PRODUCIDA "&amp;UPPER('1. Resumen'!Q4)&amp;" "&amp;'1. Resumen'!Q5</f>
        <v>ENERGÍA PRODUCIDA AGOSTO 2020</v>
      </c>
      <c r="D2" s="991"/>
      <c r="E2" s="991"/>
      <c r="F2" s="991"/>
      <c r="G2" s="631" t="s">
        <v>276</v>
      </c>
      <c r="H2" s="203"/>
    </row>
    <row r="3" spans="1:8" ht="11.25" customHeight="1">
      <c r="A3" s="986"/>
      <c r="B3" s="989"/>
      <c r="C3" s="992" t="s">
        <v>277</v>
      </c>
      <c r="D3" s="992"/>
      <c r="E3" s="992"/>
      <c r="F3" s="993" t="str">
        <f>"TOTAL 
"&amp;UPPER('1. Resumen'!Q4)</f>
        <v>TOTAL 
AGOSTO</v>
      </c>
      <c r="G3" s="632" t="s">
        <v>278</v>
      </c>
      <c r="H3" s="194"/>
    </row>
    <row r="4" spans="1:8" ht="12.75" customHeight="1">
      <c r="A4" s="986"/>
      <c r="B4" s="989"/>
      <c r="C4" s="623" t="s">
        <v>215</v>
      </c>
      <c r="D4" s="623" t="s">
        <v>216</v>
      </c>
      <c r="E4" s="623" t="s">
        <v>279</v>
      </c>
      <c r="F4" s="994"/>
      <c r="G4" s="632">
        <v>2020</v>
      </c>
      <c r="H4" s="196"/>
    </row>
    <row r="5" spans="1:8" ht="11.25" customHeight="1">
      <c r="A5" s="987"/>
      <c r="B5" s="990"/>
      <c r="C5" s="624" t="s">
        <v>280</v>
      </c>
      <c r="D5" s="624" t="s">
        <v>280</v>
      </c>
      <c r="E5" s="624" t="s">
        <v>280</v>
      </c>
      <c r="F5" s="624" t="s">
        <v>280</v>
      </c>
      <c r="G5" s="633" t="s">
        <v>208</v>
      </c>
      <c r="H5" s="196"/>
    </row>
    <row r="6" spans="1:8" ht="9.75" customHeight="1">
      <c r="A6" s="694" t="s">
        <v>121</v>
      </c>
      <c r="B6" s="436" t="s">
        <v>86</v>
      </c>
      <c r="C6" s="437"/>
      <c r="D6" s="437"/>
      <c r="E6" s="437">
        <v>2855.8608800000002</v>
      </c>
      <c r="F6" s="437">
        <v>2855.8608800000002</v>
      </c>
      <c r="G6" s="690">
        <v>2855.8608800000002</v>
      </c>
      <c r="H6" s="196"/>
    </row>
    <row r="7" spans="1:8" ht="9.75" customHeight="1">
      <c r="A7" s="676" t="s">
        <v>487</v>
      </c>
      <c r="B7" s="512"/>
      <c r="C7" s="513"/>
      <c r="D7" s="513"/>
      <c r="E7" s="513">
        <v>2855.8608800000002</v>
      </c>
      <c r="F7" s="513">
        <v>2855.8608800000002</v>
      </c>
      <c r="G7" s="680">
        <v>2855.8608800000002</v>
      </c>
      <c r="H7" s="196"/>
    </row>
    <row r="8" spans="1:8" ht="9.75" customHeight="1">
      <c r="A8" s="694" t="s">
        <v>120</v>
      </c>
      <c r="B8" s="436" t="s">
        <v>63</v>
      </c>
      <c r="C8" s="437"/>
      <c r="D8" s="437"/>
      <c r="E8" s="437">
        <v>894.03482750000001</v>
      </c>
      <c r="F8" s="437">
        <v>894.03482750000001</v>
      </c>
      <c r="G8" s="690">
        <v>70037.212470000013</v>
      </c>
      <c r="H8" s="196"/>
    </row>
    <row r="9" spans="1:8" ht="9.75" customHeight="1">
      <c r="A9" s="676" t="s">
        <v>488</v>
      </c>
      <c r="B9" s="512"/>
      <c r="C9" s="513"/>
      <c r="D9" s="513"/>
      <c r="E9" s="513">
        <v>894.03482750000001</v>
      </c>
      <c r="F9" s="513">
        <v>894.03482750000001</v>
      </c>
      <c r="G9" s="680">
        <v>70037.212470000013</v>
      </c>
      <c r="H9" s="196"/>
    </row>
    <row r="10" spans="1:8" ht="9.75" customHeight="1">
      <c r="A10" s="674" t="s">
        <v>106</v>
      </c>
      <c r="B10" s="626" t="s">
        <v>83</v>
      </c>
      <c r="C10" s="627"/>
      <c r="D10" s="627"/>
      <c r="E10" s="627">
        <v>7914.1951799999997</v>
      </c>
      <c r="F10" s="627">
        <v>7914.1951799999997</v>
      </c>
      <c r="G10" s="679">
        <v>53886.823604999998</v>
      </c>
      <c r="H10" s="196"/>
    </row>
    <row r="11" spans="1:8" ht="9.75" customHeight="1">
      <c r="A11" s="676" t="s">
        <v>489</v>
      </c>
      <c r="B11" s="512"/>
      <c r="C11" s="513"/>
      <c r="D11" s="513"/>
      <c r="E11" s="513">
        <v>7914.1951799999997</v>
      </c>
      <c r="F11" s="513">
        <v>7914.1951799999997</v>
      </c>
      <c r="G11" s="680">
        <v>53886.823604999998</v>
      </c>
      <c r="H11" s="196"/>
    </row>
    <row r="12" spans="1:8" ht="9.75" customHeight="1">
      <c r="A12" s="674" t="s">
        <v>418</v>
      </c>
      <c r="B12" s="626" t="s">
        <v>420</v>
      </c>
      <c r="C12" s="627"/>
      <c r="D12" s="627"/>
      <c r="E12" s="627">
        <v>8427.7296674999998</v>
      </c>
      <c r="F12" s="627">
        <v>8427.7296674999998</v>
      </c>
      <c r="G12" s="679">
        <v>78102.776502499997</v>
      </c>
      <c r="H12" s="196"/>
    </row>
    <row r="13" spans="1:8" ht="9.75" customHeight="1">
      <c r="A13" s="676" t="s">
        <v>490</v>
      </c>
      <c r="B13" s="512"/>
      <c r="C13" s="513"/>
      <c r="D13" s="513"/>
      <c r="E13" s="513">
        <v>8427.7296674999998</v>
      </c>
      <c r="F13" s="513">
        <v>8427.7296674999998</v>
      </c>
      <c r="G13" s="680">
        <v>78102.776502499997</v>
      </c>
      <c r="H13" s="196"/>
    </row>
    <row r="14" spans="1:8" s="730" customFormat="1" ht="9.75" customHeight="1">
      <c r="A14" s="674" t="s">
        <v>457</v>
      </c>
      <c r="B14" s="626" t="s">
        <v>464</v>
      </c>
      <c r="C14" s="627"/>
      <c r="D14" s="627"/>
      <c r="E14" s="627">
        <v>5301.4140625</v>
      </c>
      <c r="F14" s="627">
        <v>5301.4140625</v>
      </c>
      <c r="G14" s="679">
        <v>42871.975562499996</v>
      </c>
      <c r="H14" s="196"/>
    </row>
    <row r="15" spans="1:8" s="730" customFormat="1" ht="13.5" customHeight="1">
      <c r="A15" s="744" t="s">
        <v>491</v>
      </c>
      <c r="B15" s="512"/>
      <c r="C15" s="513"/>
      <c r="D15" s="513"/>
      <c r="E15" s="513">
        <v>5301.4140625</v>
      </c>
      <c r="F15" s="513">
        <v>5301.4140625</v>
      </c>
      <c r="G15" s="680">
        <v>42871.975562499996</v>
      </c>
      <c r="H15" s="196"/>
    </row>
    <row r="16" spans="1:8" ht="9.75" customHeight="1">
      <c r="A16" s="674" t="s">
        <v>94</v>
      </c>
      <c r="B16" s="626" t="s">
        <v>281</v>
      </c>
      <c r="C16" s="627">
        <v>53314.4240575</v>
      </c>
      <c r="D16" s="627"/>
      <c r="E16" s="627"/>
      <c r="F16" s="627">
        <v>53314.4240575</v>
      </c>
      <c r="G16" s="679">
        <v>821656.56257250009</v>
      </c>
      <c r="H16" s="196"/>
    </row>
    <row r="17" spans="1:8" ht="9.75" customHeight="1">
      <c r="A17" s="676" t="s">
        <v>492</v>
      </c>
      <c r="B17" s="512"/>
      <c r="C17" s="513">
        <v>53314.4240575</v>
      </c>
      <c r="D17" s="513"/>
      <c r="E17" s="513"/>
      <c r="F17" s="513">
        <v>53314.4240575</v>
      </c>
      <c r="G17" s="680">
        <v>821656.56257250009</v>
      </c>
      <c r="H17" s="196"/>
    </row>
    <row r="18" spans="1:8" ht="10.5" customHeight="1">
      <c r="A18" s="674" t="s">
        <v>236</v>
      </c>
      <c r="B18" s="626" t="s">
        <v>282</v>
      </c>
      <c r="C18" s="627"/>
      <c r="D18" s="627">
        <v>0</v>
      </c>
      <c r="E18" s="627"/>
      <c r="F18" s="627">
        <v>0</v>
      </c>
      <c r="G18" s="679">
        <v>378.28250250000002</v>
      </c>
      <c r="H18" s="196"/>
    </row>
    <row r="19" spans="1:8" ht="10.5" customHeight="1">
      <c r="A19" s="676" t="s">
        <v>493</v>
      </c>
      <c r="B19" s="512"/>
      <c r="C19" s="513"/>
      <c r="D19" s="513">
        <v>0</v>
      </c>
      <c r="E19" s="513"/>
      <c r="F19" s="513">
        <v>0</v>
      </c>
      <c r="G19" s="680">
        <v>378.28250250000002</v>
      </c>
      <c r="H19" s="196"/>
    </row>
    <row r="20" spans="1:8" ht="9.75" customHeight="1">
      <c r="A20" s="674" t="s">
        <v>93</v>
      </c>
      <c r="B20" s="626" t="s">
        <v>283</v>
      </c>
      <c r="C20" s="627">
        <v>27060.299900000002</v>
      </c>
      <c r="D20" s="627"/>
      <c r="E20" s="627"/>
      <c r="F20" s="627">
        <v>27060.299900000002</v>
      </c>
      <c r="G20" s="679">
        <v>556394.05196750001</v>
      </c>
      <c r="H20" s="196"/>
    </row>
    <row r="21" spans="1:8" ht="9.75" customHeight="1">
      <c r="A21" s="674"/>
      <c r="B21" s="626" t="s">
        <v>284</v>
      </c>
      <c r="C21" s="627">
        <v>9510.6414700000005</v>
      </c>
      <c r="D21" s="627"/>
      <c r="E21" s="627"/>
      <c r="F21" s="627">
        <v>9510.6414700000005</v>
      </c>
      <c r="G21" s="679">
        <v>178889.119565</v>
      </c>
      <c r="H21" s="196"/>
    </row>
    <row r="22" spans="1:8" ht="9.75" customHeight="1">
      <c r="A22" s="676" t="s">
        <v>494</v>
      </c>
      <c r="B22" s="512"/>
      <c r="C22" s="513">
        <v>36570.94137</v>
      </c>
      <c r="D22" s="513"/>
      <c r="E22" s="513"/>
      <c r="F22" s="513">
        <v>36570.94137</v>
      </c>
      <c r="G22" s="680">
        <v>735283.17153250007</v>
      </c>
      <c r="H22" s="196"/>
    </row>
    <row r="23" spans="1:8" ht="9.75" customHeight="1">
      <c r="A23" s="674" t="s">
        <v>91</v>
      </c>
      <c r="B23" s="626" t="s">
        <v>285</v>
      </c>
      <c r="C23" s="627">
        <v>1206.8928275000001</v>
      </c>
      <c r="D23" s="627"/>
      <c r="E23" s="627"/>
      <c r="F23" s="627">
        <v>1206.8928275000001</v>
      </c>
      <c r="G23" s="679">
        <v>8687.0722999999998</v>
      </c>
      <c r="H23" s="196"/>
    </row>
    <row r="24" spans="1:8" ht="9.75" customHeight="1">
      <c r="A24" s="674"/>
      <c r="B24" s="626" t="s">
        <v>286</v>
      </c>
      <c r="C24" s="627">
        <v>420.12015250000002</v>
      </c>
      <c r="D24" s="627"/>
      <c r="E24" s="627"/>
      <c r="F24" s="627">
        <v>420.12015250000002</v>
      </c>
      <c r="G24" s="679">
        <v>2953.5371075000003</v>
      </c>
      <c r="H24" s="196"/>
    </row>
    <row r="25" spans="1:8" ht="9.75" customHeight="1">
      <c r="A25" s="674"/>
      <c r="B25" s="626" t="s">
        <v>287</v>
      </c>
      <c r="C25" s="627">
        <v>3394.3048975000002</v>
      </c>
      <c r="D25" s="627"/>
      <c r="E25" s="627"/>
      <c r="F25" s="627">
        <v>3394.3048975000002</v>
      </c>
      <c r="G25" s="679">
        <v>26978.044529999999</v>
      </c>
      <c r="H25" s="196"/>
    </row>
    <row r="26" spans="1:8" ht="9.75" customHeight="1">
      <c r="A26" s="674"/>
      <c r="B26" s="626" t="s">
        <v>288</v>
      </c>
      <c r="C26" s="627">
        <v>8748.5141524999999</v>
      </c>
      <c r="D26" s="627"/>
      <c r="E26" s="627"/>
      <c r="F26" s="627">
        <v>8748.5141524999999</v>
      </c>
      <c r="G26" s="679">
        <v>75301.247405000002</v>
      </c>
      <c r="H26" s="196"/>
    </row>
    <row r="27" spans="1:8" ht="9.75" customHeight="1">
      <c r="A27" s="674"/>
      <c r="B27" s="626" t="s">
        <v>289</v>
      </c>
      <c r="C27" s="627">
        <v>53418.250617500002</v>
      </c>
      <c r="D27" s="627"/>
      <c r="E27" s="627"/>
      <c r="F27" s="627">
        <v>53418.250617500002</v>
      </c>
      <c r="G27" s="679">
        <v>557393.7718325</v>
      </c>
      <c r="H27" s="196"/>
    </row>
    <row r="28" spans="1:8" ht="9.75" customHeight="1">
      <c r="A28" s="674"/>
      <c r="B28" s="626" t="s">
        <v>290</v>
      </c>
      <c r="C28" s="627">
        <v>4907.6445649999996</v>
      </c>
      <c r="D28" s="627"/>
      <c r="E28" s="627"/>
      <c r="F28" s="627">
        <v>4907.6445649999996</v>
      </c>
      <c r="G28" s="679">
        <v>43346.583030000009</v>
      </c>
      <c r="H28" s="196"/>
    </row>
    <row r="29" spans="1:8" ht="9.75" customHeight="1">
      <c r="A29" s="674"/>
      <c r="B29" s="626" t="s">
        <v>291</v>
      </c>
      <c r="C29" s="627"/>
      <c r="D29" s="627">
        <v>1.7456700000000001</v>
      </c>
      <c r="E29" s="627"/>
      <c r="F29" s="627">
        <v>1.7456700000000001</v>
      </c>
      <c r="G29" s="679">
        <v>40.575827500000003</v>
      </c>
      <c r="H29" s="196"/>
    </row>
    <row r="30" spans="1:8" ht="9.75" customHeight="1">
      <c r="A30" s="674"/>
      <c r="B30" s="626" t="s">
        <v>292</v>
      </c>
      <c r="C30" s="627"/>
      <c r="D30" s="627">
        <v>0</v>
      </c>
      <c r="E30" s="627"/>
      <c r="F30" s="627">
        <v>0</v>
      </c>
      <c r="G30" s="679">
        <v>35.592874999999992</v>
      </c>
      <c r="H30" s="196"/>
    </row>
    <row r="31" spans="1:8" ht="9.75" customHeight="1">
      <c r="A31" s="674"/>
      <c r="B31" s="626" t="s">
        <v>293</v>
      </c>
      <c r="C31" s="627"/>
      <c r="D31" s="627">
        <v>0</v>
      </c>
      <c r="E31" s="627"/>
      <c r="F31" s="627">
        <v>0</v>
      </c>
      <c r="G31" s="679">
        <v>0</v>
      </c>
      <c r="H31" s="196"/>
    </row>
    <row r="32" spans="1:8" ht="9.75" customHeight="1">
      <c r="A32" s="676" t="s">
        <v>495</v>
      </c>
      <c r="B32" s="512"/>
      <c r="C32" s="513">
        <v>72095.727212500002</v>
      </c>
      <c r="D32" s="513">
        <v>1.7456700000000001</v>
      </c>
      <c r="E32" s="513"/>
      <c r="F32" s="513">
        <v>72097.472882500006</v>
      </c>
      <c r="G32" s="680">
        <v>714736.42490749992</v>
      </c>
      <c r="H32" s="196"/>
    </row>
    <row r="33" spans="1:8" ht="9.75" customHeight="1">
      <c r="A33" s="674" t="s">
        <v>114</v>
      </c>
      <c r="B33" s="626" t="s">
        <v>70</v>
      </c>
      <c r="C33" s="627"/>
      <c r="D33" s="627"/>
      <c r="E33" s="627">
        <v>3578.6686325000001</v>
      </c>
      <c r="F33" s="627">
        <v>3578.6686325000001</v>
      </c>
      <c r="G33" s="679">
        <v>22919.388552500004</v>
      </c>
      <c r="H33" s="196"/>
    </row>
    <row r="34" spans="1:8" ht="9.75" customHeight="1">
      <c r="A34" s="676" t="s">
        <v>496</v>
      </c>
      <c r="B34" s="512"/>
      <c r="C34" s="513"/>
      <c r="D34" s="513"/>
      <c r="E34" s="513">
        <v>3578.6686325000001</v>
      </c>
      <c r="F34" s="513">
        <v>3578.6686325000001</v>
      </c>
      <c r="G34" s="680">
        <v>22919.388552500004</v>
      </c>
      <c r="H34" s="196"/>
    </row>
    <row r="35" spans="1:8" ht="9.75" customHeight="1">
      <c r="A35" s="674" t="s">
        <v>92</v>
      </c>
      <c r="B35" s="626" t="s">
        <v>294</v>
      </c>
      <c r="C35" s="627">
        <v>81919.972682499996</v>
      </c>
      <c r="D35" s="627"/>
      <c r="E35" s="627"/>
      <c r="F35" s="627">
        <v>81919.972682499996</v>
      </c>
      <c r="G35" s="679">
        <v>771324.78832000005</v>
      </c>
      <c r="H35" s="196"/>
    </row>
    <row r="36" spans="1:8" ht="9.75" customHeight="1">
      <c r="A36" s="676" t="s">
        <v>497</v>
      </c>
      <c r="B36" s="512"/>
      <c r="C36" s="513">
        <v>81919.972682499996</v>
      </c>
      <c r="D36" s="513"/>
      <c r="E36" s="513"/>
      <c r="F36" s="513">
        <v>81919.972682499996</v>
      </c>
      <c r="G36" s="680">
        <v>771324.78832000005</v>
      </c>
      <c r="H36" s="196"/>
    </row>
    <row r="37" spans="1:8" ht="9.75" customHeight="1">
      <c r="A37" s="674" t="s">
        <v>101</v>
      </c>
      <c r="B37" s="626" t="s">
        <v>295</v>
      </c>
      <c r="C37" s="627">
        <v>5271.2250000000004</v>
      </c>
      <c r="D37" s="627"/>
      <c r="E37" s="627"/>
      <c r="F37" s="627">
        <v>5271.2250000000004</v>
      </c>
      <c r="G37" s="679">
        <v>42340.676999999996</v>
      </c>
      <c r="H37" s="196"/>
    </row>
    <row r="38" spans="1:8" ht="9.75" customHeight="1">
      <c r="A38" s="674"/>
      <c r="B38" s="626" t="s">
        <v>296</v>
      </c>
      <c r="C38" s="627">
        <v>4269.3270000000002</v>
      </c>
      <c r="D38" s="627"/>
      <c r="E38" s="627"/>
      <c r="F38" s="627">
        <v>4269.3270000000002</v>
      </c>
      <c r="G38" s="679">
        <v>31267.364999999998</v>
      </c>
      <c r="H38" s="196"/>
    </row>
    <row r="39" spans="1:8" ht="9.75" customHeight="1">
      <c r="A39" s="674"/>
      <c r="B39" s="626" t="s">
        <v>297</v>
      </c>
      <c r="C39" s="627"/>
      <c r="D39" s="627">
        <v>0</v>
      </c>
      <c r="E39" s="627"/>
      <c r="F39" s="627">
        <v>0</v>
      </c>
      <c r="G39" s="679">
        <v>8794.8599324999996</v>
      </c>
      <c r="H39" s="196"/>
    </row>
    <row r="40" spans="1:8" ht="9.75" customHeight="1">
      <c r="A40" s="676" t="s">
        <v>498</v>
      </c>
      <c r="B40" s="512"/>
      <c r="C40" s="513">
        <v>9540.5519999999997</v>
      </c>
      <c r="D40" s="513">
        <v>0</v>
      </c>
      <c r="E40" s="513"/>
      <c r="F40" s="513">
        <v>9540.5519999999997</v>
      </c>
      <c r="G40" s="680">
        <v>82402.901932499983</v>
      </c>
      <c r="H40" s="196"/>
    </row>
    <row r="41" spans="1:8" ht="19.5" customHeight="1">
      <c r="A41" s="688" t="s">
        <v>453</v>
      </c>
      <c r="B41" s="626" t="s">
        <v>75</v>
      </c>
      <c r="C41" s="627"/>
      <c r="D41" s="627"/>
      <c r="E41" s="627">
        <v>218.67149000000001</v>
      </c>
      <c r="F41" s="627">
        <v>218.67149000000001</v>
      </c>
      <c r="G41" s="679">
        <v>3230.8084425000002</v>
      </c>
      <c r="H41" s="196"/>
    </row>
    <row r="42" spans="1:8" ht="20.25" customHeight="1">
      <c r="A42" s="744" t="s">
        <v>499</v>
      </c>
      <c r="B42" s="512"/>
      <c r="C42" s="513"/>
      <c r="D42" s="513"/>
      <c r="E42" s="513">
        <v>218.67149000000001</v>
      </c>
      <c r="F42" s="513">
        <v>218.67149000000001</v>
      </c>
      <c r="G42" s="680">
        <v>3230.8084425000002</v>
      </c>
      <c r="H42" s="196"/>
    </row>
    <row r="43" spans="1:8" ht="9.75" customHeight="1">
      <c r="A43" s="674" t="s">
        <v>115</v>
      </c>
      <c r="B43" s="626" t="s">
        <v>73</v>
      </c>
      <c r="C43" s="627"/>
      <c r="D43" s="627"/>
      <c r="E43" s="627">
        <v>1069.7090149999999</v>
      </c>
      <c r="F43" s="627">
        <v>1069.7090149999999</v>
      </c>
      <c r="G43" s="679">
        <v>17292.070407499999</v>
      </c>
      <c r="H43" s="196"/>
    </row>
    <row r="44" spans="1:8" ht="9.75" customHeight="1">
      <c r="A44" s="676" t="s">
        <v>500</v>
      </c>
      <c r="B44" s="512"/>
      <c r="C44" s="513"/>
      <c r="D44" s="513"/>
      <c r="E44" s="513">
        <v>1069.7090149999999</v>
      </c>
      <c r="F44" s="513">
        <v>1069.7090149999999</v>
      </c>
      <c r="G44" s="680">
        <v>17292.070407499999</v>
      </c>
      <c r="H44" s="196"/>
    </row>
    <row r="45" spans="1:8" ht="9.75" customHeight="1">
      <c r="A45" s="674" t="s">
        <v>421</v>
      </c>
      <c r="B45" s="626" t="s">
        <v>424</v>
      </c>
      <c r="C45" s="627"/>
      <c r="D45" s="627"/>
      <c r="E45" s="627">
        <v>3436.7368575</v>
      </c>
      <c r="F45" s="627">
        <v>3436.7368575</v>
      </c>
      <c r="G45" s="679">
        <v>56002.262110000003</v>
      </c>
      <c r="H45" s="196"/>
    </row>
    <row r="46" spans="1:8" ht="9.75" customHeight="1">
      <c r="A46" s="676" t="s">
        <v>501</v>
      </c>
      <c r="B46" s="512"/>
      <c r="C46" s="513"/>
      <c r="D46" s="513"/>
      <c r="E46" s="513">
        <v>3436.7368575</v>
      </c>
      <c r="F46" s="513">
        <v>3436.7368575</v>
      </c>
      <c r="G46" s="680">
        <v>56002.262110000003</v>
      </c>
      <c r="H46" s="196"/>
    </row>
    <row r="47" spans="1:8" ht="9.75" customHeight="1">
      <c r="A47" s="674" t="s">
        <v>89</v>
      </c>
      <c r="B47" s="626" t="s">
        <v>298</v>
      </c>
      <c r="C47" s="627">
        <v>442219.48199999996</v>
      </c>
      <c r="D47" s="627"/>
      <c r="E47" s="627"/>
      <c r="F47" s="627">
        <v>442219.48199999996</v>
      </c>
      <c r="G47" s="679">
        <v>3576616.3248000001</v>
      </c>
      <c r="H47" s="196"/>
    </row>
    <row r="48" spans="1:8" ht="9.75" customHeight="1">
      <c r="A48" s="674"/>
      <c r="B48" s="626" t="s">
        <v>299</v>
      </c>
      <c r="C48" s="627">
        <v>146546.30687999999</v>
      </c>
      <c r="D48" s="627"/>
      <c r="E48" s="627"/>
      <c r="F48" s="627">
        <v>146546.30687999999</v>
      </c>
      <c r="G48" s="679">
        <v>1161105.8462400001</v>
      </c>
      <c r="H48" s="196"/>
    </row>
    <row r="49" spans="1:8" ht="9.75" customHeight="1">
      <c r="A49" s="674"/>
      <c r="B49" s="626" t="s">
        <v>300</v>
      </c>
      <c r="C49" s="627"/>
      <c r="D49" s="627">
        <v>0</v>
      </c>
      <c r="E49" s="627"/>
      <c r="F49" s="627">
        <v>0</v>
      </c>
      <c r="G49" s="679">
        <v>0</v>
      </c>
      <c r="H49" s="196"/>
    </row>
    <row r="50" spans="1:8" ht="9.75" customHeight="1">
      <c r="A50" s="676" t="s">
        <v>502</v>
      </c>
      <c r="B50" s="512"/>
      <c r="C50" s="513">
        <v>588765.78887999989</v>
      </c>
      <c r="D50" s="513">
        <v>0</v>
      </c>
      <c r="E50" s="513"/>
      <c r="F50" s="513">
        <v>588765.78887999989</v>
      </c>
      <c r="G50" s="680">
        <v>4737722.1710400004</v>
      </c>
      <c r="H50" s="196"/>
    </row>
    <row r="51" spans="1:8" ht="9.75" customHeight="1">
      <c r="A51" s="674" t="s">
        <v>237</v>
      </c>
      <c r="B51" s="626" t="s">
        <v>301</v>
      </c>
      <c r="C51" s="627">
        <v>44817.699722500001</v>
      </c>
      <c r="D51" s="627"/>
      <c r="E51" s="627"/>
      <c r="F51" s="627">
        <v>44817.699722500001</v>
      </c>
      <c r="G51" s="679">
        <v>1481621.0685299998</v>
      </c>
      <c r="H51" s="196"/>
    </row>
    <row r="52" spans="1:8" ht="9.75" customHeight="1">
      <c r="A52" s="674"/>
      <c r="B52" s="626" t="s">
        <v>302</v>
      </c>
      <c r="C52" s="627">
        <v>2853.0244225000001</v>
      </c>
      <c r="D52" s="627"/>
      <c r="E52" s="627"/>
      <c r="F52" s="627">
        <v>2853.0244225000001</v>
      </c>
      <c r="G52" s="679">
        <v>35064.8234925</v>
      </c>
      <c r="H52" s="196"/>
    </row>
    <row r="53" spans="1:8" ht="9.75" customHeight="1">
      <c r="A53" s="676" t="s">
        <v>503</v>
      </c>
      <c r="B53" s="512"/>
      <c r="C53" s="513">
        <v>47670.724145</v>
      </c>
      <c r="D53" s="513"/>
      <c r="E53" s="513"/>
      <c r="F53" s="513">
        <v>47670.724145</v>
      </c>
      <c r="G53" s="680">
        <v>1516685.8920224998</v>
      </c>
      <c r="H53" s="196"/>
    </row>
    <row r="54" spans="1:8" ht="9.75" customHeight="1">
      <c r="A54" s="674" t="s">
        <v>238</v>
      </c>
      <c r="B54" s="626" t="s">
        <v>303</v>
      </c>
      <c r="C54" s="627">
        <v>34007.734370000006</v>
      </c>
      <c r="D54" s="627"/>
      <c r="E54" s="627"/>
      <c r="F54" s="627">
        <v>34007.734370000006</v>
      </c>
      <c r="G54" s="679">
        <v>273100.137025</v>
      </c>
      <c r="H54" s="196"/>
    </row>
    <row r="55" spans="1:8" ht="9.75" customHeight="1">
      <c r="A55" s="676" t="s">
        <v>504</v>
      </c>
      <c r="B55" s="512"/>
      <c r="C55" s="513">
        <v>34007.734370000006</v>
      </c>
      <c r="D55" s="513"/>
      <c r="E55" s="513"/>
      <c r="F55" s="513">
        <v>34007.734370000006</v>
      </c>
      <c r="G55" s="680">
        <v>273100.137025</v>
      </c>
      <c r="H55" s="111"/>
    </row>
    <row r="56" spans="1:8" ht="16.5">
      <c r="A56" s="678" t="s">
        <v>455</v>
      </c>
      <c r="B56" s="626" t="s">
        <v>65</v>
      </c>
      <c r="C56" s="627"/>
      <c r="D56" s="627"/>
      <c r="E56" s="627">
        <v>896.65524500000004</v>
      </c>
      <c r="F56" s="627">
        <v>896.65524500000004</v>
      </c>
      <c r="G56" s="679">
        <v>37302.808372500003</v>
      </c>
      <c r="H56" s="111"/>
    </row>
    <row r="57" spans="1:8" ht="9.75" customHeight="1">
      <c r="A57" s="674"/>
      <c r="B57" s="626" t="s">
        <v>64</v>
      </c>
      <c r="C57" s="627"/>
      <c r="D57" s="627"/>
      <c r="E57" s="627">
        <v>1065.2804825000001</v>
      </c>
      <c r="F57" s="627">
        <v>1065.2804825000001</v>
      </c>
      <c r="G57" s="679">
        <v>38301.875387499997</v>
      </c>
      <c r="H57" s="111"/>
    </row>
    <row r="58" spans="1:8" s="730" customFormat="1" ht="9.75" customHeight="1">
      <c r="A58" s="674"/>
      <c r="B58" s="626" t="s">
        <v>60</v>
      </c>
      <c r="C58" s="627"/>
      <c r="D58" s="627"/>
      <c r="E58" s="627">
        <v>1863.7109399999999</v>
      </c>
      <c r="F58" s="627">
        <v>1863.7109399999999</v>
      </c>
      <c r="G58" s="679">
        <v>65420.392294999998</v>
      </c>
      <c r="H58" s="111"/>
    </row>
    <row r="59" spans="1:8" s="730" customFormat="1" ht="9.75" customHeight="1">
      <c r="A59" s="674"/>
      <c r="B59" s="626" t="s">
        <v>57</v>
      </c>
      <c r="C59" s="627"/>
      <c r="D59" s="627"/>
      <c r="E59" s="627">
        <v>2528.4726850000002</v>
      </c>
      <c r="F59" s="627">
        <v>2528.4726850000002</v>
      </c>
      <c r="G59" s="679">
        <v>79186.309939999992</v>
      </c>
      <c r="H59" s="111"/>
    </row>
    <row r="60" spans="1:8" s="730" customFormat="1" ht="9.75" customHeight="1">
      <c r="A60" s="674"/>
      <c r="B60" s="626" t="s">
        <v>68</v>
      </c>
      <c r="C60" s="627"/>
      <c r="D60" s="627"/>
      <c r="E60" s="627">
        <v>1279.7837474999999</v>
      </c>
      <c r="F60" s="627">
        <v>1279.7837474999999</v>
      </c>
      <c r="G60" s="679">
        <v>21110.965295000002</v>
      </c>
      <c r="H60" s="111"/>
    </row>
    <row r="61" spans="1:8" s="730" customFormat="1" ht="9.75" customHeight="1">
      <c r="A61" s="674"/>
      <c r="B61" s="626" t="s">
        <v>67</v>
      </c>
      <c r="C61" s="627"/>
      <c r="D61" s="627"/>
      <c r="E61" s="627">
        <v>1513.0107849999999</v>
      </c>
      <c r="F61" s="627">
        <v>1513.0107849999999</v>
      </c>
      <c r="G61" s="679">
        <v>23749.128865000002</v>
      </c>
      <c r="H61" s="111"/>
    </row>
    <row r="62" spans="1:8">
      <c r="A62" s="785" t="s">
        <v>505</v>
      </c>
      <c r="B62" s="512"/>
      <c r="C62" s="513"/>
      <c r="D62" s="513"/>
      <c r="E62" s="513">
        <v>9146.9138849999999</v>
      </c>
      <c r="F62" s="513">
        <v>9146.9138849999999</v>
      </c>
      <c r="G62" s="513">
        <v>265071.480155</v>
      </c>
      <c r="H62" s="111"/>
    </row>
    <row r="63" spans="1:8" ht="9.75" customHeight="1">
      <c r="A63" s="674" t="s">
        <v>88</v>
      </c>
      <c r="B63" s="626" t="s">
        <v>465</v>
      </c>
      <c r="C63" s="627">
        <v>51137.693177499998</v>
      </c>
      <c r="D63" s="627"/>
      <c r="E63" s="627"/>
      <c r="F63" s="627">
        <v>51137.693177499998</v>
      </c>
      <c r="G63" s="679">
        <v>428644.53567499993</v>
      </c>
      <c r="H63" s="111"/>
    </row>
    <row r="64" spans="1:8" ht="9.75" customHeight="1">
      <c r="A64" s="674"/>
      <c r="B64" s="626" t="s">
        <v>304</v>
      </c>
      <c r="C64" s="627">
        <v>19570.278577500001</v>
      </c>
      <c r="D64" s="627"/>
      <c r="E64" s="627"/>
      <c r="F64" s="627">
        <v>19570.278577500001</v>
      </c>
      <c r="G64" s="679">
        <v>137684.26092249999</v>
      </c>
      <c r="H64" s="197"/>
    </row>
    <row r="65" spans="1:8" ht="9.75" customHeight="1">
      <c r="A65" s="674"/>
      <c r="B65" s="626" t="s">
        <v>305</v>
      </c>
      <c r="C65" s="627">
        <v>87486.226465000014</v>
      </c>
      <c r="D65" s="627"/>
      <c r="E65" s="627"/>
      <c r="F65" s="627">
        <v>87486.226465000014</v>
      </c>
      <c r="G65" s="679">
        <v>789359.23066750006</v>
      </c>
      <c r="H65" s="197"/>
    </row>
    <row r="66" spans="1:8" ht="9.75" customHeight="1">
      <c r="A66" s="674"/>
      <c r="B66" s="626" t="s">
        <v>306</v>
      </c>
      <c r="C66" s="627">
        <v>63394.375665</v>
      </c>
      <c r="D66" s="627"/>
      <c r="E66" s="627"/>
      <c r="F66" s="627">
        <v>63394.375665</v>
      </c>
      <c r="G66" s="679">
        <v>631429.57547500008</v>
      </c>
      <c r="H66" s="197"/>
    </row>
    <row r="67" spans="1:8" ht="9.75" customHeight="1">
      <c r="A67" s="674"/>
      <c r="B67" s="626" t="s">
        <v>307</v>
      </c>
      <c r="C67" s="627">
        <v>44266.007825000001</v>
      </c>
      <c r="D67" s="627"/>
      <c r="E67" s="627"/>
      <c r="F67" s="627">
        <v>44266.007825000001</v>
      </c>
      <c r="G67" s="679">
        <v>348339.7278625</v>
      </c>
      <c r="H67" s="197"/>
    </row>
    <row r="68" spans="1:8" ht="9.75" customHeight="1">
      <c r="A68" s="674"/>
      <c r="B68" s="626" t="s">
        <v>308</v>
      </c>
      <c r="C68" s="627"/>
      <c r="D68" s="627">
        <v>0</v>
      </c>
      <c r="E68" s="627"/>
      <c r="F68" s="627">
        <v>0</v>
      </c>
      <c r="G68" s="679">
        <v>6138.8860274999997</v>
      </c>
      <c r="H68" s="197"/>
    </row>
    <row r="69" spans="1:8" ht="9.75" customHeight="1">
      <c r="A69" s="674"/>
      <c r="B69" s="626" t="s">
        <v>309</v>
      </c>
      <c r="C69" s="627"/>
      <c r="D69" s="627">
        <v>0</v>
      </c>
      <c r="E69" s="627"/>
      <c r="F69" s="627">
        <v>0</v>
      </c>
      <c r="G69" s="679">
        <v>24797.560432500002</v>
      </c>
      <c r="H69" s="197"/>
    </row>
    <row r="70" spans="1:8" ht="9.75" customHeight="1">
      <c r="A70" s="674"/>
      <c r="B70" s="626" t="s">
        <v>310</v>
      </c>
      <c r="C70" s="627"/>
      <c r="D70" s="627">
        <v>339430.51423249999</v>
      </c>
      <c r="E70" s="627"/>
      <c r="F70" s="627">
        <v>339430.51423249999</v>
      </c>
      <c r="G70" s="679">
        <v>1375715.0052475</v>
      </c>
    </row>
    <row r="71" spans="1:8" ht="9.75" customHeight="1">
      <c r="A71" s="674"/>
      <c r="B71" s="626" t="s">
        <v>416</v>
      </c>
      <c r="C71" s="627"/>
      <c r="D71" s="627"/>
      <c r="E71" s="627">
        <v>437.60837500000002</v>
      </c>
      <c r="F71" s="627">
        <v>437.60837500000002</v>
      </c>
      <c r="G71" s="679">
        <v>3047.3359475000007</v>
      </c>
    </row>
    <row r="72" spans="1:8" ht="9.75" customHeight="1">
      <c r="A72" s="676" t="s">
        <v>506</v>
      </c>
      <c r="B72" s="512"/>
      <c r="C72" s="513">
        <v>265854.58171</v>
      </c>
      <c r="D72" s="513">
        <v>339430.51423249999</v>
      </c>
      <c r="E72" s="513">
        <v>437.60837500000002</v>
      </c>
      <c r="F72" s="513">
        <v>605722.7043175</v>
      </c>
      <c r="G72" s="680">
        <v>3745156.1182575007</v>
      </c>
    </row>
    <row r="73" spans="1:8" ht="9.75" customHeight="1">
      <c r="A73" s="674" t="s">
        <v>96</v>
      </c>
      <c r="B73" s="626" t="s">
        <v>311</v>
      </c>
      <c r="C73" s="627"/>
      <c r="D73" s="627">
        <v>141.1351875</v>
      </c>
      <c r="E73" s="627"/>
      <c r="F73" s="627">
        <v>141.1351875</v>
      </c>
      <c r="G73" s="679">
        <v>15477.220775</v>
      </c>
    </row>
    <row r="74" spans="1:8" ht="9.75" customHeight="1">
      <c r="A74" s="674"/>
      <c r="B74" s="626" t="s">
        <v>312</v>
      </c>
      <c r="C74" s="627"/>
      <c r="D74" s="627">
        <v>65363.841572500001</v>
      </c>
      <c r="E74" s="627"/>
      <c r="F74" s="627">
        <v>65363.841572500001</v>
      </c>
      <c r="G74" s="679">
        <v>327397.2339925</v>
      </c>
    </row>
    <row r="75" spans="1:8" ht="9.75" customHeight="1">
      <c r="A75" s="674"/>
      <c r="B75" s="626" t="s">
        <v>313</v>
      </c>
      <c r="C75" s="627"/>
      <c r="D75" s="627">
        <v>479.31511</v>
      </c>
      <c r="E75" s="627"/>
      <c r="F75" s="627">
        <v>479.31511</v>
      </c>
      <c r="G75" s="679">
        <v>16753.52882</v>
      </c>
    </row>
    <row r="76" spans="1:8">
      <c r="A76" s="785" t="s">
        <v>507</v>
      </c>
      <c r="B76" s="512"/>
      <c r="C76" s="513"/>
      <c r="D76" s="513">
        <v>65984.291870000001</v>
      </c>
      <c r="E76" s="513"/>
      <c r="F76" s="513">
        <v>65984.291870000001</v>
      </c>
      <c r="G76" s="680">
        <v>359627.9835875</v>
      </c>
    </row>
    <row r="77" spans="1:8" ht="9.75" customHeight="1">
      <c r="A77" s="674" t="s">
        <v>98</v>
      </c>
      <c r="B77" s="626" t="s">
        <v>427</v>
      </c>
      <c r="C77" s="627"/>
      <c r="D77" s="627"/>
      <c r="E77" s="627">
        <v>35710.036557500003</v>
      </c>
      <c r="F77" s="627">
        <v>35710.036557500003</v>
      </c>
      <c r="G77" s="679">
        <v>265005.730515</v>
      </c>
    </row>
    <row r="78" spans="1:8" ht="9.75" customHeight="1">
      <c r="A78" s="674"/>
      <c r="B78" s="626" t="s">
        <v>426</v>
      </c>
      <c r="C78" s="627"/>
      <c r="D78" s="627"/>
      <c r="E78" s="627">
        <v>68407.2364925</v>
      </c>
      <c r="F78" s="627">
        <v>68407.2364925</v>
      </c>
      <c r="G78" s="679">
        <v>395906.62590500002</v>
      </c>
    </row>
    <row r="79" spans="1:8">
      <c r="A79" s="785" t="s">
        <v>508</v>
      </c>
      <c r="B79" s="512"/>
      <c r="C79" s="513"/>
      <c r="D79" s="513"/>
      <c r="E79" s="513">
        <v>104117.27305</v>
      </c>
      <c r="F79" s="513">
        <v>104117.27305</v>
      </c>
      <c r="G79" s="680">
        <v>660912.35642000008</v>
      </c>
    </row>
    <row r="80" spans="1:8" ht="9.75" customHeight="1">
      <c r="A80" s="674" t="s">
        <v>97</v>
      </c>
      <c r="B80" s="626" t="s">
        <v>77</v>
      </c>
      <c r="C80" s="627"/>
      <c r="D80" s="627"/>
      <c r="E80" s="627">
        <v>31626.736864999999</v>
      </c>
      <c r="F80" s="627">
        <v>31626.736864999999</v>
      </c>
      <c r="G80" s="679">
        <v>235948.195435</v>
      </c>
    </row>
    <row r="81" spans="1:7" ht="9.75" customHeight="1">
      <c r="A81" s="674"/>
      <c r="B81" s="626" t="s">
        <v>79</v>
      </c>
      <c r="C81" s="627"/>
      <c r="D81" s="627"/>
      <c r="E81" s="627">
        <v>15264.094042500001</v>
      </c>
      <c r="F81" s="627">
        <v>15264.094042500001</v>
      </c>
      <c r="G81" s="679">
        <v>87102.263135000001</v>
      </c>
    </row>
    <row r="82" spans="1:7" ht="9.75" customHeight="1">
      <c r="A82" s="692" t="s">
        <v>509</v>
      </c>
      <c r="B82" s="634"/>
      <c r="C82" s="635"/>
      <c r="D82" s="635"/>
      <c r="E82" s="635">
        <v>46890.8309075</v>
      </c>
      <c r="F82" s="635">
        <v>46890.8309075</v>
      </c>
      <c r="G82" s="693">
        <v>323050.45857000002</v>
      </c>
    </row>
    <row r="83" spans="1:7" ht="9.75" customHeight="1">
      <c r="A83" s="331"/>
      <c r="B83" s="331"/>
      <c r="C83" s="438"/>
      <c r="D83" s="438"/>
      <c r="E83" s="438"/>
      <c r="F83" s="331"/>
      <c r="G83" s="331"/>
    </row>
    <row r="84" spans="1:7" ht="9.75" customHeight="1">
      <c r="A84" s="331"/>
      <c r="B84" s="331"/>
      <c r="C84" s="438"/>
      <c r="D84" s="438"/>
      <c r="E84" s="438"/>
      <c r="F84" s="331"/>
      <c r="G84" s="331"/>
    </row>
    <row r="85" spans="1:7" ht="9.75" customHeight="1">
      <c r="A85" s="331"/>
      <c r="B85" s="331"/>
      <c r="C85" s="438"/>
      <c r="D85" s="438"/>
      <c r="E85" s="438"/>
      <c r="F85" s="331"/>
      <c r="G85" s="331"/>
    </row>
    <row r="86" spans="1:7" ht="9.75" customHeight="1">
      <c r="A86" s="331"/>
      <c r="B86" s="331"/>
      <c r="C86" s="438"/>
      <c r="D86" s="438"/>
      <c r="E86" s="438"/>
      <c r="F86" s="331"/>
      <c r="G86" s="331"/>
    </row>
    <row r="87" spans="1:7" ht="9.75" customHeight="1">
      <c r="A87" s="331"/>
      <c r="B87" s="331"/>
      <c r="C87" s="438"/>
      <c r="D87" s="438"/>
      <c r="E87" s="438"/>
      <c r="F87" s="331"/>
      <c r="G87" s="331"/>
    </row>
    <row r="88" spans="1:7" ht="9.75" customHeight="1">
      <c r="A88" s="331"/>
      <c r="B88" s="331"/>
      <c r="C88" s="438"/>
      <c r="D88" s="438"/>
      <c r="E88" s="438"/>
      <c r="F88" s="331"/>
      <c r="G88" s="331"/>
    </row>
    <row r="89" spans="1:7" ht="9.75" customHeight="1">
      <c r="A89" s="331"/>
      <c r="B89" s="331"/>
      <c r="C89" s="438"/>
      <c r="D89" s="438"/>
      <c r="E89" s="438"/>
      <c r="F89" s="331"/>
      <c r="G89" s="331"/>
    </row>
    <row r="90" spans="1:7" ht="9.75" customHeight="1">
      <c r="A90" s="331"/>
      <c r="B90" s="331"/>
      <c r="C90" s="438"/>
      <c r="D90" s="438"/>
      <c r="E90" s="438"/>
      <c r="F90" s="331"/>
      <c r="G90" s="331"/>
    </row>
    <row r="91" spans="1:7" ht="9.75" customHeight="1">
      <c r="A91" s="331"/>
      <c r="B91" s="331"/>
      <c r="C91" s="438"/>
      <c r="D91" s="438"/>
      <c r="E91" s="438"/>
      <c r="F91" s="331"/>
      <c r="G91" s="331"/>
    </row>
    <row r="92" spans="1:7" ht="9.75" customHeight="1">
      <c r="A92" s="331"/>
      <c r="B92" s="331"/>
      <c r="C92" s="438"/>
      <c r="D92" s="438"/>
      <c r="E92" s="438"/>
      <c r="F92" s="331"/>
      <c r="G92" s="331"/>
    </row>
    <row r="93" spans="1:7" ht="9.75" customHeight="1">
      <c r="A93" s="331"/>
      <c r="B93" s="331"/>
      <c r="C93" s="438"/>
      <c r="D93" s="438"/>
      <c r="E93" s="438"/>
      <c r="F93" s="331"/>
      <c r="G93" s="331"/>
    </row>
    <row r="94" spans="1:7" ht="9.75" customHeight="1">
      <c r="A94" s="331"/>
      <c r="B94" s="331"/>
      <c r="C94" s="438"/>
      <c r="D94" s="438"/>
      <c r="E94" s="438"/>
      <c r="F94" s="331"/>
      <c r="G94" s="331"/>
    </row>
    <row r="95" spans="1:7" ht="9.75" customHeight="1">
      <c r="A95" s="331"/>
      <c r="B95" s="331"/>
      <c r="C95" s="438"/>
      <c r="D95" s="438"/>
      <c r="E95" s="438"/>
      <c r="F95" s="331"/>
      <c r="G95" s="331"/>
    </row>
    <row r="96" spans="1:7" ht="9.75" customHeight="1">
      <c r="A96" s="331"/>
      <c r="B96" s="331"/>
      <c r="C96" s="438"/>
      <c r="D96" s="438"/>
      <c r="E96" s="438"/>
      <c r="F96" s="331"/>
      <c r="G96" s="331"/>
    </row>
    <row r="97" spans="1:7" ht="9.75" customHeight="1">
      <c r="A97" s="331"/>
      <c r="B97" s="331"/>
      <c r="C97" s="438"/>
      <c r="D97" s="438"/>
      <c r="E97" s="438"/>
      <c r="F97" s="331"/>
      <c r="G97" s="331"/>
    </row>
    <row r="98" spans="1:7" ht="9.75" customHeight="1">
      <c r="A98" s="331"/>
      <c r="B98" s="331"/>
      <c r="C98" s="438"/>
      <c r="D98" s="438"/>
      <c r="E98" s="438"/>
      <c r="F98" s="331"/>
      <c r="G98" s="331"/>
    </row>
    <row r="99" spans="1:7" ht="9.75" customHeight="1">
      <c r="A99" s="331"/>
      <c r="B99" s="331"/>
      <c r="C99" s="438"/>
      <c r="D99" s="438"/>
      <c r="E99" s="438"/>
      <c r="F99" s="331"/>
      <c r="G99" s="331"/>
    </row>
    <row r="100" spans="1:7" ht="9.75" customHeight="1">
      <c r="A100" s="331"/>
      <c r="B100" s="331"/>
      <c r="C100" s="438"/>
      <c r="D100" s="438"/>
      <c r="E100" s="438"/>
      <c r="F100" s="331"/>
      <c r="G100" s="331"/>
    </row>
    <row r="101" spans="1:7" ht="9.75" customHeight="1">
      <c r="A101" s="331"/>
      <c r="B101" s="331"/>
      <c r="C101" s="438"/>
      <c r="D101" s="438"/>
      <c r="E101" s="438"/>
      <c r="F101" s="331"/>
      <c r="G101" s="331"/>
    </row>
    <row r="102" spans="1:7" ht="9.75" customHeight="1">
      <c r="A102" s="331"/>
      <c r="B102" s="331"/>
      <c r="C102" s="438"/>
      <c r="D102" s="438"/>
      <c r="E102" s="438"/>
      <c r="F102" s="331"/>
      <c r="G102" s="331"/>
    </row>
    <row r="103" spans="1:7" ht="9.75" customHeight="1">
      <c r="A103" s="331"/>
      <c r="B103" s="331"/>
      <c r="C103" s="438"/>
      <c r="D103" s="438"/>
      <c r="E103" s="438"/>
      <c r="F103" s="331"/>
      <c r="G103" s="331"/>
    </row>
    <row r="104" spans="1:7" ht="9.75" customHeight="1">
      <c r="A104" s="331"/>
      <c r="B104" s="331"/>
      <c r="C104" s="438"/>
      <c r="D104" s="438"/>
      <c r="E104" s="438"/>
      <c r="F104" s="331"/>
      <c r="G104" s="331"/>
    </row>
    <row r="105" spans="1:7" ht="9.75" customHeight="1">
      <c r="A105" s="331"/>
      <c r="B105" s="331"/>
      <c r="C105" s="438"/>
      <c r="D105" s="438"/>
      <c r="E105" s="438"/>
      <c r="F105" s="331"/>
      <c r="G105" s="331"/>
    </row>
    <row r="106" spans="1:7" ht="9.75" customHeight="1">
      <c r="A106" s="331"/>
      <c r="B106" s="331"/>
      <c r="C106" s="438"/>
      <c r="D106" s="438"/>
      <c r="E106" s="438"/>
      <c r="F106" s="331"/>
      <c r="G106" s="331"/>
    </row>
    <row r="107" spans="1:7" ht="9.75" customHeight="1">
      <c r="A107" s="331"/>
      <c r="B107" s="331"/>
      <c r="C107" s="438"/>
      <c r="D107" s="438"/>
      <c r="E107" s="438"/>
      <c r="F107" s="331"/>
      <c r="G107" s="331"/>
    </row>
    <row r="108" spans="1:7" ht="9.75" customHeight="1">
      <c r="A108" s="331"/>
      <c r="B108" s="331"/>
      <c r="C108" s="438"/>
      <c r="D108" s="438"/>
      <c r="E108" s="438"/>
      <c r="F108" s="331"/>
      <c r="G108" s="331"/>
    </row>
    <row r="109" spans="1:7" ht="9.75" customHeight="1">
      <c r="A109" s="331"/>
      <c r="B109" s="331"/>
      <c r="C109" s="438"/>
      <c r="D109" s="438"/>
      <c r="E109" s="438"/>
      <c r="F109" s="331"/>
      <c r="G109" s="331"/>
    </row>
    <row r="110" spans="1:7" ht="9.75" customHeight="1">
      <c r="A110" s="331"/>
      <c r="B110" s="331"/>
      <c r="C110" s="438"/>
      <c r="D110" s="438"/>
      <c r="E110" s="438"/>
      <c r="F110" s="331"/>
      <c r="G110" s="331"/>
    </row>
    <row r="111" spans="1:7" ht="9.75" customHeight="1">
      <c r="A111" s="331"/>
      <c r="B111" s="331"/>
      <c r="C111" s="438"/>
      <c r="D111" s="438"/>
      <c r="E111" s="438"/>
      <c r="F111" s="331"/>
      <c r="G111" s="331"/>
    </row>
    <row r="112" spans="1:7" ht="9.75" customHeight="1">
      <c r="A112" s="331"/>
      <c r="B112" s="331"/>
      <c r="C112" s="438"/>
      <c r="D112" s="438"/>
      <c r="E112" s="438"/>
      <c r="F112" s="331"/>
      <c r="G112" s="331"/>
    </row>
    <row r="113" spans="1:7" ht="9.75" customHeight="1">
      <c r="A113" s="331"/>
      <c r="B113" s="331"/>
      <c r="C113" s="438"/>
      <c r="D113" s="438"/>
      <c r="E113" s="438"/>
      <c r="F113" s="331"/>
      <c r="G113" s="331"/>
    </row>
    <row r="114" spans="1:7" ht="9.75" customHeight="1">
      <c r="A114" s="331"/>
      <c r="B114" s="331"/>
      <c r="C114" s="438"/>
      <c r="D114" s="438"/>
      <c r="E114" s="438"/>
      <c r="F114" s="331"/>
      <c r="G114" s="331"/>
    </row>
    <row r="115" spans="1:7" ht="9.75" customHeight="1">
      <c r="A115" s="331"/>
      <c r="B115" s="331"/>
      <c r="C115" s="438"/>
      <c r="D115" s="438"/>
      <c r="E115" s="438"/>
      <c r="F115" s="331"/>
      <c r="G115" s="331"/>
    </row>
    <row r="116" spans="1:7" ht="9.75" customHeight="1">
      <c r="A116" s="331"/>
      <c r="B116" s="331"/>
      <c r="C116" s="438"/>
      <c r="D116" s="438"/>
      <c r="E116" s="438"/>
      <c r="F116" s="331"/>
      <c r="G116" s="331"/>
    </row>
    <row r="117" spans="1:7" ht="9.75" customHeight="1">
      <c r="A117" s="331"/>
      <c r="B117" s="331"/>
      <c r="C117" s="438"/>
      <c r="D117" s="438"/>
      <c r="E117" s="438"/>
      <c r="F117" s="331"/>
      <c r="G117" s="331"/>
    </row>
    <row r="118" spans="1:7" ht="9.75" customHeight="1">
      <c r="A118" s="331"/>
      <c r="B118" s="331"/>
      <c r="C118" s="438"/>
      <c r="D118" s="438"/>
      <c r="E118" s="438"/>
      <c r="F118" s="331"/>
      <c r="G118" s="331"/>
    </row>
    <row r="119" spans="1:7" ht="9.75" customHeight="1">
      <c r="A119" s="331"/>
      <c r="B119" s="331"/>
      <c r="C119" s="438"/>
      <c r="D119" s="438"/>
      <c r="E119" s="438"/>
      <c r="F119" s="331"/>
      <c r="G119" s="331"/>
    </row>
    <row r="120" spans="1:7" ht="9.75" customHeight="1">
      <c r="A120" s="331"/>
      <c r="B120" s="331"/>
      <c r="C120" s="438"/>
      <c r="D120" s="438"/>
      <c r="E120" s="438"/>
      <c r="F120" s="331"/>
      <c r="G120" s="331"/>
    </row>
    <row r="121" spans="1:7" ht="9.75" customHeight="1">
      <c r="A121" s="331"/>
      <c r="B121" s="331"/>
      <c r="C121" s="438"/>
      <c r="D121" s="438"/>
      <c r="E121" s="438"/>
      <c r="F121" s="331"/>
      <c r="G121" s="331"/>
    </row>
    <row r="122" spans="1:7" ht="9.75" customHeight="1">
      <c r="A122" s="331"/>
      <c r="B122" s="331"/>
      <c r="C122" s="438"/>
      <c r="D122" s="438"/>
      <c r="E122" s="438"/>
      <c r="F122" s="331"/>
      <c r="G122" s="331"/>
    </row>
    <row r="123" spans="1:7" ht="9.75" customHeight="1">
      <c r="A123" s="331"/>
      <c r="B123" s="331"/>
      <c r="C123" s="438"/>
      <c r="D123" s="438"/>
      <c r="E123" s="438"/>
      <c r="F123" s="331"/>
      <c r="G123" s="331"/>
    </row>
    <row r="124" spans="1:7" ht="9.75" customHeight="1">
      <c r="A124" s="331"/>
      <c r="B124" s="331"/>
      <c r="C124" s="438"/>
      <c r="D124" s="438"/>
      <c r="E124" s="438"/>
      <c r="F124" s="331"/>
      <c r="G124" s="331"/>
    </row>
    <row r="125" spans="1:7" ht="9.75" customHeight="1">
      <c r="A125" s="331"/>
      <c r="B125" s="331"/>
      <c r="C125" s="438"/>
      <c r="D125" s="438"/>
      <c r="E125" s="438"/>
      <c r="F125" s="331"/>
      <c r="G125" s="331"/>
    </row>
    <row r="126" spans="1:7" ht="9.75" customHeight="1">
      <c r="A126" s="331"/>
      <c r="B126" s="331"/>
      <c r="C126" s="438"/>
      <c r="D126" s="438"/>
      <c r="E126" s="438"/>
      <c r="F126" s="331"/>
      <c r="G126" s="331"/>
    </row>
    <row r="127" spans="1:7" ht="9.75" customHeight="1">
      <c r="A127" s="331"/>
      <c r="B127" s="331"/>
      <c r="C127" s="438"/>
      <c r="D127" s="438"/>
      <c r="E127" s="438"/>
      <c r="F127" s="331"/>
      <c r="G127" s="331"/>
    </row>
    <row r="128" spans="1:7" ht="9.75" customHeight="1">
      <c r="A128" s="331"/>
      <c r="B128" s="331"/>
      <c r="C128" s="438"/>
      <c r="D128" s="438"/>
      <c r="E128" s="438"/>
      <c r="F128" s="331"/>
      <c r="G128" s="331"/>
    </row>
    <row r="129" spans="1:7" ht="9.75" customHeight="1">
      <c r="A129" s="331"/>
      <c r="B129" s="331"/>
      <c r="C129" s="438"/>
      <c r="D129" s="438"/>
      <c r="E129" s="438"/>
      <c r="F129" s="331"/>
      <c r="G129" s="331"/>
    </row>
    <row r="130" spans="1:7" ht="9.75" customHeight="1">
      <c r="A130" s="331"/>
      <c r="B130" s="331"/>
      <c r="C130" s="438"/>
      <c r="D130" s="438"/>
      <c r="E130" s="438"/>
      <c r="F130" s="331"/>
      <c r="G130" s="331"/>
    </row>
    <row r="131" spans="1:7" ht="9.75" customHeight="1">
      <c r="A131" s="331"/>
      <c r="B131" s="331"/>
      <c r="C131" s="438"/>
      <c r="D131" s="438"/>
      <c r="E131" s="438"/>
      <c r="F131" s="331"/>
      <c r="G131" s="331"/>
    </row>
    <row r="132" spans="1:7" ht="9.75" customHeight="1">
      <c r="A132" s="331"/>
      <c r="B132" s="331"/>
      <c r="C132" s="438"/>
      <c r="D132" s="438"/>
      <c r="E132" s="438"/>
      <c r="F132" s="331"/>
      <c r="G132" s="331"/>
    </row>
    <row r="133" spans="1:7" ht="9.75" customHeight="1">
      <c r="A133" s="331"/>
      <c r="B133" s="331"/>
      <c r="C133" s="438"/>
      <c r="D133" s="438"/>
      <c r="E133" s="438"/>
      <c r="F133" s="331"/>
      <c r="G133" s="331"/>
    </row>
    <row r="134" spans="1:7" ht="9.75" customHeight="1">
      <c r="A134" s="331"/>
      <c r="B134" s="331"/>
      <c r="C134" s="438"/>
      <c r="D134" s="438"/>
      <c r="E134" s="438"/>
      <c r="F134" s="331"/>
      <c r="G134" s="331"/>
    </row>
    <row r="135" spans="1:7" ht="9.75" customHeight="1">
      <c r="A135" s="331"/>
      <c r="B135" s="331"/>
      <c r="C135" s="438"/>
      <c r="D135" s="438"/>
      <c r="E135" s="438"/>
      <c r="F135" s="331"/>
      <c r="G135" s="331"/>
    </row>
    <row r="136" spans="1:7" ht="9.75" customHeight="1">
      <c r="A136" s="331"/>
      <c r="B136" s="331"/>
      <c r="C136" s="438"/>
      <c r="D136" s="438"/>
      <c r="E136" s="438"/>
      <c r="F136" s="331"/>
      <c r="G136" s="331"/>
    </row>
    <row r="137" spans="1:7" ht="9.75" customHeight="1">
      <c r="A137" s="331"/>
      <c r="B137" s="331"/>
      <c r="C137" s="438"/>
      <c r="D137" s="438"/>
      <c r="E137" s="438"/>
      <c r="F137" s="331"/>
      <c r="G137" s="331"/>
    </row>
    <row r="138" spans="1:7" ht="9.75" customHeight="1">
      <c r="A138" s="331"/>
      <c r="B138" s="331"/>
      <c r="C138" s="438"/>
      <c r="D138" s="438"/>
      <c r="E138" s="438"/>
      <c r="F138" s="331"/>
      <c r="G138" s="331"/>
    </row>
    <row r="139" spans="1:7" ht="9.75" customHeight="1">
      <c r="A139" s="331"/>
      <c r="B139" s="331"/>
      <c r="C139" s="438"/>
      <c r="D139" s="438"/>
      <c r="E139" s="438"/>
      <c r="F139" s="331"/>
      <c r="G139" s="331"/>
    </row>
    <row r="140" spans="1:7" ht="9.75" customHeight="1">
      <c r="A140" s="331"/>
      <c r="B140" s="331"/>
      <c r="C140" s="438"/>
      <c r="D140" s="438"/>
      <c r="E140" s="438"/>
      <c r="F140" s="331"/>
      <c r="G140" s="331"/>
    </row>
    <row r="141" spans="1:7" ht="9.75" customHeight="1">
      <c r="A141" s="331"/>
      <c r="B141" s="331"/>
      <c r="C141" s="438"/>
      <c r="D141" s="438"/>
      <c r="E141" s="438"/>
      <c r="F141" s="331"/>
      <c r="G141" s="331"/>
    </row>
    <row r="142" spans="1:7" ht="9.75" customHeight="1">
      <c r="A142" s="331"/>
      <c r="B142" s="331"/>
      <c r="C142" s="438"/>
      <c r="D142" s="438"/>
      <c r="E142" s="438"/>
      <c r="F142" s="331"/>
      <c r="G142" s="331"/>
    </row>
    <row r="143" spans="1:7" ht="9.75" customHeight="1">
      <c r="A143" s="331"/>
      <c r="B143" s="331"/>
      <c r="C143" s="438"/>
      <c r="D143" s="438"/>
      <c r="E143" s="438"/>
      <c r="F143" s="331"/>
      <c r="G143" s="331"/>
    </row>
    <row r="144" spans="1:7" ht="9.75" customHeight="1">
      <c r="A144" s="331"/>
      <c r="B144" s="331"/>
      <c r="C144" s="438"/>
      <c r="D144" s="438"/>
      <c r="E144" s="438"/>
      <c r="F144" s="331"/>
      <c r="G144" s="331"/>
    </row>
    <row r="145" spans="1:7" ht="9.75" customHeight="1">
      <c r="A145" s="331"/>
      <c r="B145" s="331"/>
      <c r="C145" s="438"/>
      <c r="D145" s="438"/>
      <c r="E145" s="438"/>
      <c r="F145" s="331"/>
      <c r="G145" s="331"/>
    </row>
    <row r="146" spans="1:7" ht="9.75" customHeight="1">
      <c r="A146" s="331"/>
      <c r="B146" s="331"/>
      <c r="C146" s="438"/>
      <c r="D146" s="438"/>
      <c r="E146" s="438"/>
      <c r="F146" s="331"/>
      <c r="G146" s="331"/>
    </row>
    <row r="147" spans="1:7" ht="9.75" customHeight="1">
      <c r="A147" s="331"/>
      <c r="B147" s="331"/>
      <c r="C147" s="438"/>
      <c r="D147" s="438"/>
      <c r="E147" s="438"/>
      <c r="F147" s="331"/>
      <c r="G147" s="331"/>
    </row>
    <row r="148" spans="1:7" ht="9.75" customHeight="1">
      <c r="A148" s="331"/>
      <c r="B148" s="331"/>
      <c r="C148" s="438"/>
      <c r="D148" s="438"/>
      <c r="E148" s="438"/>
      <c r="F148" s="331"/>
      <c r="G148" s="331"/>
    </row>
    <row r="149" spans="1:7" ht="9.75" customHeight="1">
      <c r="A149" s="331"/>
      <c r="B149" s="331"/>
      <c r="C149" s="438"/>
      <c r="D149" s="438"/>
      <c r="E149" s="438"/>
      <c r="F149" s="331"/>
      <c r="G149" s="331"/>
    </row>
    <row r="150" spans="1:7" ht="9.75" customHeight="1">
      <c r="A150" s="331"/>
      <c r="B150" s="331"/>
      <c r="C150" s="438"/>
      <c r="D150" s="438"/>
      <c r="E150" s="438"/>
      <c r="F150" s="331"/>
      <c r="G150" s="331"/>
    </row>
    <row r="151" spans="1:7" ht="9.75" customHeight="1">
      <c r="A151" s="331"/>
      <c r="B151" s="331"/>
      <c r="C151" s="438"/>
      <c r="D151" s="438"/>
      <c r="E151" s="438"/>
      <c r="F151" s="331"/>
      <c r="G151" s="331"/>
    </row>
    <row r="152" spans="1:7" ht="9.75" customHeight="1">
      <c r="A152" s="331"/>
      <c r="B152" s="331"/>
      <c r="C152" s="438"/>
      <c r="D152" s="438"/>
      <c r="E152" s="438"/>
      <c r="F152" s="331"/>
      <c r="G152" s="331"/>
    </row>
    <row r="153" spans="1:7" ht="9.75" customHeight="1">
      <c r="A153" s="331"/>
      <c r="B153" s="331"/>
      <c r="C153" s="438"/>
      <c r="D153" s="438"/>
      <c r="E153" s="438"/>
      <c r="F153" s="331"/>
      <c r="G153" s="331"/>
    </row>
    <row r="154" spans="1:7" ht="9.75" customHeight="1">
      <c r="A154" s="331"/>
      <c r="B154" s="331"/>
      <c r="C154" s="438"/>
      <c r="D154" s="438"/>
      <c r="E154" s="438"/>
      <c r="F154" s="331"/>
      <c r="G154" s="331"/>
    </row>
    <row r="155" spans="1:7" ht="9.75" customHeight="1">
      <c r="A155" s="331"/>
      <c r="B155" s="331"/>
      <c r="C155" s="438"/>
      <c r="D155" s="438"/>
      <c r="E155" s="438"/>
      <c r="F155" s="331"/>
      <c r="G155" s="331"/>
    </row>
    <row r="156" spans="1:7" ht="9.75" customHeight="1">
      <c r="A156" s="331"/>
      <c r="B156" s="331"/>
      <c r="C156" s="438"/>
      <c r="D156" s="438"/>
      <c r="E156" s="438"/>
      <c r="F156" s="331"/>
      <c r="G156" s="331"/>
    </row>
    <row r="157" spans="1:7" ht="9.75" customHeight="1">
      <c r="A157" s="331"/>
      <c r="B157" s="331"/>
      <c r="C157" s="438"/>
      <c r="D157" s="438"/>
      <c r="E157" s="438"/>
      <c r="F157" s="331"/>
      <c r="G157" s="331"/>
    </row>
    <row r="158" spans="1:7" ht="9.75" customHeight="1">
      <c r="A158" s="331"/>
      <c r="B158" s="331"/>
      <c r="C158" s="438"/>
      <c r="D158" s="438"/>
      <c r="E158" s="438"/>
      <c r="F158" s="331"/>
      <c r="G158" s="331"/>
    </row>
    <row r="159" spans="1:7" ht="9.75" customHeight="1">
      <c r="A159" s="331"/>
      <c r="B159" s="331"/>
      <c r="C159" s="438"/>
      <c r="D159" s="438"/>
      <c r="E159" s="438"/>
      <c r="F159" s="331"/>
      <c r="G159" s="331"/>
    </row>
    <row r="160" spans="1:7" ht="9.75" customHeight="1">
      <c r="A160" s="331"/>
      <c r="B160" s="331"/>
      <c r="C160" s="438"/>
      <c r="D160" s="438"/>
      <c r="E160" s="438"/>
      <c r="F160" s="331"/>
      <c r="G160" s="331"/>
    </row>
    <row r="161" spans="1:7" ht="9.75" customHeight="1">
      <c r="A161" s="331"/>
      <c r="B161" s="331"/>
      <c r="C161" s="438"/>
      <c r="D161" s="438"/>
      <c r="E161" s="438"/>
      <c r="F161" s="331"/>
      <c r="G161" s="331"/>
    </row>
    <row r="162" spans="1:7" ht="9.75" customHeight="1">
      <c r="A162" s="331"/>
      <c r="B162" s="331"/>
      <c r="C162" s="438"/>
      <c r="D162" s="438"/>
      <c r="E162" s="438"/>
      <c r="F162" s="331"/>
      <c r="G162" s="331"/>
    </row>
    <row r="163" spans="1:7" ht="9.75" customHeight="1">
      <c r="A163" s="331"/>
      <c r="B163" s="331"/>
      <c r="C163" s="438"/>
      <c r="D163" s="438"/>
      <c r="E163" s="438"/>
      <c r="F163" s="331"/>
      <c r="G163" s="331"/>
    </row>
    <row r="164" spans="1:7" ht="9.75" customHeight="1">
      <c r="A164" s="331"/>
      <c r="B164" s="331"/>
      <c r="C164" s="438"/>
      <c r="D164" s="438"/>
      <c r="E164" s="438"/>
      <c r="F164" s="331"/>
      <c r="G164" s="331"/>
    </row>
    <row r="165" spans="1:7" ht="9.75" customHeight="1">
      <c r="A165" s="331"/>
      <c r="B165" s="331"/>
      <c r="C165" s="438"/>
      <c r="D165" s="438"/>
      <c r="E165" s="438"/>
      <c r="F165" s="331"/>
      <c r="G165" s="331"/>
    </row>
    <row r="166" spans="1:7" ht="9.75" customHeight="1">
      <c r="A166" s="331"/>
      <c r="B166" s="331"/>
      <c r="C166" s="438"/>
      <c r="D166" s="438"/>
      <c r="E166" s="438"/>
      <c r="F166" s="331"/>
      <c r="G166" s="331"/>
    </row>
    <row r="167" spans="1:7" ht="9.75" customHeight="1">
      <c r="A167" s="331"/>
      <c r="B167" s="331"/>
      <c r="C167" s="438"/>
      <c r="D167" s="438"/>
      <c r="E167" s="438"/>
      <c r="F167" s="331"/>
      <c r="G167" s="331"/>
    </row>
    <row r="168" spans="1:7" ht="9.75" customHeight="1">
      <c r="A168" s="331"/>
      <c r="B168" s="331"/>
      <c r="C168" s="438"/>
      <c r="D168" s="438"/>
      <c r="E168" s="438"/>
      <c r="F168" s="331"/>
      <c r="G168" s="331"/>
    </row>
    <row r="169" spans="1:7" ht="9.75" customHeight="1">
      <c r="A169" s="331"/>
      <c r="B169" s="331"/>
      <c r="C169" s="438"/>
      <c r="D169" s="438"/>
      <c r="E169" s="438"/>
      <c r="F169" s="331"/>
      <c r="G169" s="331"/>
    </row>
    <row r="170" spans="1:7" ht="9.75" customHeight="1">
      <c r="A170" s="331"/>
      <c r="B170" s="331"/>
      <c r="C170" s="438"/>
      <c r="D170" s="438"/>
      <c r="E170" s="438"/>
      <c r="F170" s="331"/>
      <c r="G170" s="331"/>
    </row>
    <row r="171" spans="1:7" ht="9.75" customHeight="1">
      <c r="A171" s="331"/>
      <c r="B171" s="331"/>
      <c r="C171" s="438"/>
      <c r="D171" s="438"/>
      <c r="E171" s="438"/>
      <c r="F171" s="331"/>
      <c r="G171" s="331"/>
    </row>
    <row r="172" spans="1:7" ht="9.75" customHeight="1">
      <c r="A172" s="331"/>
      <c r="B172" s="331"/>
      <c r="C172" s="331"/>
      <c r="D172" s="331"/>
      <c r="E172" s="331"/>
      <c r="F172" s="331"/>
      <c r="G172" s="331"/>
    </row>
    <row r="173" spans="1:7" ht="9.75" customHeight="1">
      <c r="A173" s="331"/>
      <c r="B173" s="331"/>
      <c r="C173" s="331"/>
      <c r="D173" s="331"/>
      <c r="E173" s="331"/>
      <c r="F173" s="331"/>
      <c r="G173" s="331"/>
    </row>
    <row r="174" spans="1:7" ht="9.75" customHeight="1">
      <c r="A174" s="331"/>
      <c r="B174" s="331"/>
      <c r="C174" s="331"/>
      <c r="D174" s="331"/>
      <c r="E174" s="331"/>
      <c r="F174" s="331"/>
      <c r="G174" s="331"/>
    </row>
    <row r="175" spans="1:7" ht="9.75" customHeight="1">
      <c r="A175" s="331"/>
      <c r="B175" s="331"/>
      <c r="C175" s="331"/>
      <c r="D175" s="331"/>
      <c r="E175" s="331"/>
      <c r="F175" s="331"/>
      <c r="G175" s="331"/>
    </row>
    <row r="176" spans="1:7" ht="9.75" customHeight="1">
      <c r="A176" s="331"/>
      <c r="B176" s="331"/>
      <c r="C176" s="331"/>
      <c r="D176" s="331"/>
      <c r="E176" s="331"/>
      <c r="F176" s="331"/>
      <c r="G176" s="331"/>
    </row>
    <row r="177" spans="1:7" ht="9.75" customHeight="1">
      <c r="A177" s="331"/>
      <c r="B177" s="331"/>
      <c r="C177" s="331"/>
      <c r="D177" s="331"/>
      <c r="E177" s="331"/>
      <c r="F177" s="331"/>
      <c r="G177" s="331"/>
    </row>
    <row r="178" spans="1:7" ht="9.75" customHeight="1">
      <c r="A178" s="331"/>
      <c r="B178" s="331"/>
      <c r="C178" s="331"/>
      <c r="D178" s="331"/>
      <c r="E178" s="331"/>
      <c r="F178" s="331"/>
      <c r="G178" s="331"/>
    </row>
    <row r="179" spans="1:7" ht="9.75" customHeight="1">
      <c r="A179" s="331"/>
      <c r="B179" s="331"/>
      <c r="C179" s="331"/>
      <c r="D179" s="331"/>
      <c r="E179" s="331"/>
      <c r="F179" s="331"/>
      <c r="G179" s="331"/>
    </row>
    <row r="180" spans="1:7" ht="9.75" customHeight="1">
      <c r="A180" s="331"/>
      <c r="B180" s="331"/>
      <c r="C180" s="331"/>
      <c r="D180" s="331"/>
      <c r="E180" s="331"/>
      <c r="F180" s="331"/>
      <c r="G180" s="331"/>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 Agosto 2020
INFSGI-MES-08-2020
14/09/2020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90"/>
  <sheetViews>
    <sheetView showGridLines="0" view="pageBreakPreview" zoomScaleNormal="100" zoomScaleSheetLayoutView="100" zoomScalePageLayoutView="130" workbookViewId="0">
      <selection activeCell="N25" sqref="N25"/>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85" t="s">
        <v>250</v>
      </c>
      <c r="B1" s="988" t="s">
        <v>54</v>
      </c>
      <c r="C1" s="991" t="str">
        <f>+'18. ANEXOI-1'!C2:F2</f>
        <v>ENERGÍA PRODUCIDA AGOSTO 2020</v>
      </c>
      <c r="D1" s="991"/>
      <c r="E1" s="991"/>
      <c r="F1" s="991"/>
      <c r="G1" s="631" t="s">
        <v>276</v>
      </c>
      <c r="H1" s="203"/>
    </row>
    <row r="2" spans="1:8" ht="11.25" customHeight="1">
      <c r="A2" s="986"/>
      <c r="B2" s="989"/>
      <c r="C2" s="992" t="s">
        <v>277</v>
      </c>
      <c r="D2" s="992"/>
      <c r="E2" s="992"/>
      <c r="F2" s="993" t="str">
        <f>"TOTAL 
"&amp;UPPER('1. Resumen'!Q4)</f>
        <v>TOTAL 
AGOSTO</v>
      </c>
      <c r="G2" s="632" t="s">
        <v>278</v>
      </c>
      <c r="H2" s="194"/>
    </row>
    <row r="3" spans="1:8" ht="11.25" customHeight="1">
      <c r="A3" s="986"/>
      <c r="B3" s="989"/>
      <c r="C3" s="623" t="s">
        <v>215</v>
      </c>
      <c r="D3" s="623" t="s">
        <v>216</v>
      </c>
      <c r="E3" s="623" t="s">
        <v>279</v>
      </c>
      <c r="F3" s="994"/>
      <c r="G3" s="632">
        <v>2020</v>
      </c>
      <c r="H3" s="196"/>
    </row>
    <row r="4" spans="1:8" ht="11.25" customHeight="1">
      <c r="A4" s="995"/>
      <c r="B4" s="996"/>
      <c r="C4" s="624" t="s">
        <v>280</v>
      </c>
      <c r="D4" s="624" t="s">
        <v>280</v>
      </c>
      <c r="E4" s="624" t="s">
        <v>280</v>
      </c>
      <c r="F4" s="624" t="s">
        <v>280</v>
      </c>
      <c r="G4" s="633" t="s">
        <v>208</v>
      </c>
      <c r="H4" s="196"/>
    </row>
    <row r="5" spans="1:8" ht="10.5" customHeight="1">
      <c r="A5" s="674" t="s">
        <v>87</v>
      </c>
      <c r="B5" s="626" t="s">
        <v>314</v>
      </c>
      <c r="C5" s="627">
        <v>19729.3413</v>
      </c>
      <c r="D5" s="627"/>
      <c r="E5" s="627"/>
      <c r="F5" s="627">
        <v>19729.3413</v>
      </c>
      <c r="G5" s="679">
        <v>328413.51121999999</v>
      </c>
    </row>
    <row r="6" spans="1:8" ht="10.5" customHeight="1">
      <c r="A6" s="674"/>
      <c r="B6" s="626" t="s">
        <v>315</v>
      </c>
      <c r="C6" s="627">
        <v>51572.790112499992</v>
      </c>
      <c r="D6" s="627"/>
      <c r="E6" s="627"/>
      <c r="F6" s="627">
        <v>51572.790112499992</v>
      </c>
      <c r="G6" s="679">
        <v>607841.03966000001</v>
      </c>
    </row>
    <row r="7" spans="1:8" ht="10.5" customHeight="1">
      <c r="A7" s="674"/>
      <c r="B7" s="626" t="s">
        <v>316</v>
      </c>
      <c r="C7" s="627"/>
      <c r="D7" s="627">
        <v>464272.83124500001</v>
      </c>
      <c r="E7" s="627"/>
      <c r="F7" s="627">
        <v>464272.83124500001</v>
      </c>
      <c r="G7" s="679">
        <v>2728600.4264374999</v>
      </c>
    </row>
    <row r="8" spans="1:8" ht="10.5" customHeight="1">
      <c r="A8" s="674"/>
      <c r="B8" s="626" t="s">
        <v>317</v>
      </c>
      <c r="C8" s="627"/>
      <c r="D8" s="627">
        <v>76385.500612500007</v>
      </c>
      <c r="E8" s="627"/>
      <c r="F8" s="627">
        <v>76385.500612500007</v>
      </c>
      <c r="G8" s="679">
        <v>166919.21739000001</v>
      </c>
    </row>
    <row r="9" spans="1:8" ht="10.5" customHeight="1">
      <c r="A9" s="674"/>
      <c r="B9" s="626" t="s">
        <v>318</v>
      </c>
      <c r="C9" s="627"/>
      <c r="D9" s="627">
        <v>0</v>
      </c>
      <c r="E9" s="627"/>
      <c r="F9" s="627">
        <v>0</v>
      </c>
      <c r="G9" s="679">
        <v>0</v>
      </c>
    </row>
    <row r="10" spans="1:8" ht="10.5" customHeight="1">
      <c r="A10" s="674"/>
      <c r="B10" s="626" t="s">
        <v>319</v>
      </c>
      <c r="C10" s="627"/>
      <c r="D10" s="627">
        <v>0</v>
      </c>
      <c r="E10" s="627"/>
      <c r="F10" s="627">
        <v>0</v>
      </c>
      <c r="G10" s="679">
        <v>466.30155250000001</v>
      </c>
    </row>
    <row r="11" spans="1:8" ht="10.5" customHeight="1">
      <c r="A11" s="674"/>
      <c r="B11" s="626" t="s">
        <v>320</v>
      </c>
      <c r="C11" s="627"/>
      <c r="D11" s="627">
        <v>0</v>
      </c>
      <c r="E11" s="627"/>
      <c r="F11" s="627">
        <v>0</v>
      </c>
      <c r="G11" s="679">
        <v>359.81827500000003</v>
      </c>
    </row>
    <row r="12" spans="1:8" ht="10.5" customHeight="1">
      <c r="A12" s="674"/>
      <c r="B12" s="626" t="s">
        <v>428</v>
      </c>
      <c r="C12" s="627"/>
      <c r="D12" s="627"/>
      <c r="E12" s="627">
        <v>8936.0788049999992</v>
      </c>
      <c r="F12" s="627">
        <v>8936.0788049999992</v>
      </c>
      <c r="G12" s="679">
        <v>63314.178102499995</v>
      </c>
    </row>
    <row r="13" spans="1:8" ht="10.5" customHeight="1">
      <c r="A13" s="676" t="s">
        <v>510</v>
      </c>
      <c r="B13" s="512"/>
      <c r="C13" s="513">
        <v>71302.131412499992</v>
      </c>
      <c r="D13" s="513">
        <v>540658.33185750002</v>
      </c>
      <c r="E13" s="513">
        <v>8936.0788049999992</v>
      </c>
      <c r="F13" s="513">
        <v>620896.54207500012</v>
      </c>
      <c r="G13" s="680">
        <v>3895914.4926374997</v>
      </c>
    </row>
    <row r="14" spans="1:8" ht="10.5" customHeight="1">
      <c r="A14" s="674" t="s">
        <v>239</v>
      </c>
      <c r="B14" s="626" t="s">
        <v>321</v>
      </c>
      <c r="C14" s="627"/>
      <c r="D14" s="627">
        <v>333044.59592750005</v>
      </c>
      <c r="E14" s="627"/>
      <c r="F14" s="627">
        <v>333044.59592750005</v>
      </c>
      <c r="G14" s="679">
        <v>1486513.0144400001</v>
      </c>
    </row>
    <row r="15" spans="1:8" ht="10.5" customHeight="1">
      <c r="A15" s="676" t="s">
        <v>511</v>
      </c>
      <c r="B15" s="512"/>
      <c r="C15" s="513"/>
      <c r="D15" s="513">
        <v>333044.59592750005</v>
      </c>
      <c r="E15" s="513"/>
      <c r="F15" s="513">
        <v>333044.59592750005</v>
      </c>
      <c r="G15" s="680">
        <v>1486513.0144400001</v>
      </c>
    </row>
    <row r="16" spans="1:8" s="730" customFormat="1" ht="10.5" customHeight="1">
      <c r="A16" s="694" t="s">
        <v>458</v>
      </c>
      <c r="B16" s="436" t="s">
        <v>463</v>
      </c>
      <c r="C16" s="437"/>
      <c r="D16" s="437"/>
      <c r="E16" s="437">
        <v>2418.4343250000002</v>
      </c>
      <c r="F16" s="437">
        <v>2418.4343250000002</v>
      </c>
      <c r="G16" s="690">
        <v>63232.939284999986</v>
      </c>
    </row>
    <row r="17" spans="1:7" s="730" customFormat="1" ht="10.5" customHeight="1">
      <c r="A17" s="691"/>
      <c r="B17" s="626" t="s">
        <v>459</v>
      </c>
      <c r="C17" s="627"/>
      <c r="D17" s="627"/>
      <c r="E17" s="627">
        <v>1301.7541150000002</v>
      </c>
      <c r="F17" s="627">
        <v>1301.7541150000002</v>
      </c>
      <c r="G17" s="679">
        <v>10665.81041</v>
      </c>
    </row>
    <row r="18" spans="1:7" s="730" customFormat="1" ht="10.5" customHeight="1">
      <c r="A18" s="676" t="s">
        <v>512</v>
      </c>
      <c r="B18" s="512"/>
      <c r="C18" s="513"/>
      <c r="D18" s="513"/>
      <c r="E18" s="513">
        <v>3720.1884400000004</v>
      </c>
      <c r="F18" s="513">
        <v>3720.1884400000004</v>
      </c>
      <c r="G18" s="680">
        <v>73898.749694999991</v>
      </c>
    </row>
    <row r="19" spans="1:7" ht="10.5" customHeight="1">
      <c r="A19" s="674" t="s">
        <v>108</v>
      </c>
      <c r="B19" s="626" t="s">
        <v>66</v>
      </c>
      <c r="C19" s="627"/>
      <c r="D19" s="627"/>
      <c r="E19" s="627">
        <v>5386.3144749999992</v>
      </c>
      <c r="F19" s="627">
        <v>5386.3144749999992</v>
      </c>
      <c r="G19" s="679">
        <v>40045.527252499996</v>
      </c>
    </row>
    <row r="20" spans="1:7" ht="10.5" customHeight="1">
      <c r="A20" s="674"/>
      <c r="B20" s="626" t="s">
        <v>415</v>
      </c>
      <c r="C20" s="627"/>
      <c r="D20" s="627"/>
      <c r="E20" s="627">
        <v>2140.1338999999998</v>
      </c>
      <c r="F20" s="627">
        <v>2140.1338999999998</v>
      </c>
      <c r="G20" s="679">
        <v>74654.288947499997</v>
      </c>
    </row>
    <row r="21" spans="1:7" ht="10.5" customHeight="1">
      <c r="A21" s="674"/>
      <c r="B21" s="626" t="s">
        <v>413</v>
      </c>
      <c r="C21" s="627"/>
      <c r="D21" s="627"/>
      <c r="E21" s="627">
        <v>3149.7955525000002</v>
      </c>
      <c r="F21" s="627">
        <v>3149.7955525000002</v>
      </c>
      <c r="G21" s="679">
        <v>80097.057450000008</v>
      </c>
    </row>
    <row r="22" spans="1:7" ht="10.5" customHeight="1">
      <c r="A22" s="674"/>
      <c r="B22" s="626" t="s">
        <v>414</v>
      </c>
      <c r="C22" s="627"/>
      <c r="D22" s="627"/>
      <c r="E22" s="627">
        <v>3238.8608275000001</v>
      </c>
      <c r="F22" s="627">
        <v>3238.8608275000001</v>
      </c>
      <c r="G22" s="679">
        <v>72201.225047500004</v>
      </c>
    </row>
    <row r="23" spans="1:7" ht="10.5" customHeight="1">
      <c r="A23" s="676" t="s">
        <v>513</v>
      </c>
      <c r="B23" s="512"/>
      <c r="C23" s="513"/>
      <c r="D23" s="513"/>
      <c r="E23" s="513">
        <v>13915.104755</v>
      </c>
      <c r="F23" s="513">
        <v>13915.104755</v>
      </c>
      <c r="G23" s="680">
        <v>266998.09869750001</v>
      </c>
    </row>
    <row r="24" spans="1:7" ht="10.5" customHeight="1">
      <c r="A24" s="674" t="s">
        <v>111</v>
      </c>
      <c r="B24" s="626" t="s">
        <v>233</v>
      </c>
      <c r="C24" s="627"/>
      <c r="D24" s="627"/>
      <c r="E24" s="627">
        <v>3628.7671999999998</v>
      </c>
      <c r="F24" s="627">
        <v>3628.7671999999998</v>
      </c>
      <c r="G24" s="679">
        <v>27774.304999999997</v>
      </c>
    </row>
    <row r="25" spans="1:7" ht="10.5" customHeight="1">
      <c r="A25" s="676" t="s">
        <v>514</v>
      </c>
      <c r="B25" s="512"/>
      <c r="C25" s="513"/>
      <c r="D25" s="513"/>
      <c r="E25" s="513">
        <v>3628.7671999999998</v>
      </c>
      <c r="F25" s="513">
        <v>3628.7671999999998</v>
      </c>
      <c r="G25" s="680">
        <v>27774.304999999997</v>
      </c>
    </row>
    <row r="26" spans="1:7" ht="10.5" customHeight="1">
      <c r="A26" s="674" t="s">
        <v>112</v>
      </c>
      <c r="B26" s="626" t="s">
        <v>82</v>
      </c>
      <c r="C26" s="627"/>
      <c r="D26" s="627"/>
      <c r="E26" s="627">
        <v>3591.5539450000001</v>
      </c>
      <c r="F26" s="627">
        <v>3591.5539450000001</v>
      </c>
      <c r="G26" s="679">
        <v>27147.036949999994</v>
      </c>
    </row>
    <row r="27" spans="1:7" ht="10.5" customHeight="1">
      <c r="A27" s="676" t="s">
        <v>515</v>
      </c>
      <c r="B27" s="512"/>
      <c r="C27" s="513"/>
      <c r="D27" s="513"/>
      <c r="E27" s="513">
        <v>3591.5539450000001</v>
      </c>
      <c r="F27" s="513">
        <v>3591.5539450000001</v>
      </c>
      <c r="G27" s="680">
        <v>27147.036949999994</v>
      </c>
    </row>
    <row r="28" spans="1:7" ht="10.5" customHeight="1">
      <c r="A28" s="674" t="s">
        <v>116</v>
      </c>
      <c r="B28" s="626" t="s">
        <v>74</v>
      </c>
      <c r="C28" s="627"/>
      <c r="D28" s="627"/>
      <c r="E28" s="627">
        <v>2203.8000000000002</v>
      </c>
      <c r="F28" s="627">
        <v>2203.8000000000002</v>
      </c>
      <c r="G28" s="679">
        <v>18609.400000000001</v>
      </c>
    </row>
    <row r="29" spans="1:7" ht="10.5" customHeight="1">
      <c r="A29" s="676" t="s">
        <v>516</v>
      </c>
      <c r="B29" s="512"/>
      <c r="C29" s="513"/>
      <c r="D29" s="513"/>
      <c r="E29" s="513">
        <v>2203.8000000000002</v>
      </c>
      <c r="F29" s="513">
        <v>2203.8000000000002</v>
      </c>
      <c r="G29" s="680">
        <v>18609.400000000001</v>
      </c>
    </row>
    <row r="30" spans="1:7" ht="20.25" customHeight="1">
      <c r="A30" s="678" t="s">
        <v>103</v>
      </c>
      <c r="B30" s="636" t="s">
        <v>322</v>
      </c>
      <c r="C30" s="637">
        <v>11957.1460075</v>
      </c>
      <c r="D30" s="637"/>
      <c r="E30" s="637"/>
      <c r="F30" s="637">
        <v>11957.1460075</v>
      </c>
      <c r="G30" s="689">
        <v>100051.5677325</v>
      </c>
    </row>
    <row r="31" spans="1:7" ht="10.5" customHeight="1">
      <c r="A31" s="676" t="s">
        <v>517</v>
      </c>
      <c r="B31" s="512"/>
      <c r="C31" s="513">
        <v>11957.1460075</v>
      </c>
      <c r="D31" s="513"/>
      <c r="E31" s="513"/>
      <c r="F31" s="513">
        <v>11957.1460075</v>
      </c>
      <c r="G31" s="680">
        <v>100051.5677325</v>
      </c>
    </row>
    <row r="32" spans="1:7" ht="17.25">
      <c r="A32" s="688" t="s">
        <v>425</v>
      </c>
      <c r="B32" s="636" t="s">
        <v>323</v>
      </c>
      <c r="C32" s="637">
        <v>7837.1111075000008</v>
      </c>
      <c r="D32" s="637"/>
      <c r="E32" s="637"/>
      <c r="F32" s="637">
        <v>7837.1111075000008</v>
      </c>
      <c r="G32" s="689">
        <v>99126.198847500025</v>
      </c>
    </row>
    <row r="33" spans="1:7" ht="10.5" customHeight="1">
      <c r="A33" s="676" t="s">
        <v>518</v>
      </c>
      <c r="B33" s="512"/>
      <c r="C33" s="513">
        <v>7837.1111075000008</v>
      </c>
      <c r="D33" s="513"/>
      <c r="E33" s="513"/>
      <c r="F33" s="513">
        <v>7837.1111075000008</v>
      </c>
      <c r="G33" s="680">
        <v>99126.198847500025</v>
      </c>
    </row>
    <row r="34" spans="1:7" ht="10.5" customHeight="1">
      <c r="A34" s="674" t="s">
        <v>240</v>
      </c>
      <c r="B34" s="626" t="s">
        <v>59</v>
      </c>
      <c r="C34" s="627"/>
      <c r="D34" s="627"/>
      <c r="E34" s="627">
        <v>9660.734844999999</v>
      </c>
      <c r="F34" s="627">
        <v>9660.734844999999</v>
      </c>
      <c r="G34" s="679">
        <v>92252.7324525</v>
      </c>
    </row>
    <row r="35" spans="1:7" ht="10.5" customHeight="1">
      <c r="A35" s="676" t="s">
        <v>519</v>
      </c>
      <c r="B35" s="512"/>
      <c r="C35" s="513"/>
      <c r="D35" s="513"/>
      <c r="E35" s="513">
        <v>9660.734844999999</v>
      </c>
      <c r="F35" s="513">
        <v>9660.734844999999</v>
      </c>
      <c r="G35" s="680">
        <v>92252.7324525</v>
      </c>
    </row>
    <row r="36" spans="1:7" ht="10.5" customHeight="1">
      <c r="A36" s="674" t="s">
        <v>412</v>
      </c>
      <c r="B36" s="626" t="s">
        <v>466</v>
      </c>
      <c r="C36" s="627">
        <v>171.69524999999999</v>
      </c>
      <c r="D36" s="627"/>
      <c r="E36" s="627"/>
      <c r="F36" s="627">
        <v>171.69524999999999</v>
      </c>
      <c r="G36" s="679">
        <v>1493.11025</v>
      </c>
    </row>
    <row r="37" spans="1:7" ht="10.5" customHeight="1">
      <c r="A37" s="676" t="s">
        <v>520</v>
      </c>
      <c r="B37" s="512"/>
      <c r="C37" s="513">
        <v>171.69524999999999</v>
      </c>
      <c r="D37" s="513"/>
      <c r="E37" s="513"/>
      <c r="F37" s="513">
        <v>171.69524999999999</v>
      </c>
      <c r="G37" s="680">
        <v>1493.11025</v>
      </c>
    </row>
    <row r="38" spans="1:7" ht="10.5" customHeight="1">
      <c r="A38" s="674" t="s">
        <v>430</v>
      </c>
      <c r="B38" s="626" t="s">
        <v>434</v>
      </c>
      <c r="C38" s="627">
        <v>42381.535490000002</v>
      </c>
      <c r="D38" s="627"/>
      <c r="E38" s="627"/>
      <c r="F38" s="627">
        <v>42381.535490000002</v>
      </c>
      <c r="G38" s="679">
        <v>418011.40606749995</v>
      </c>
    </row>
    <row r="39" spans="1:7" ht="10.5" customHeight="1">
      <c r="A39" s="676" t="s">
        <v>521</v>
      </c>
      <c r="B39" s="512"/>
      <c r="C39" s="513">
        <v>42381.535490000002</v>
      </c>
      <c r="D39" s="513"/>
      <c r="E39" s="513"/>
      <c r="F39" s="513">
        <v>42381.535490000002</v>
      </c>
      <c r="G39" s="680">
        <v>418011.40606749995</v>
      </c>
    </row>
    <row r="40" spans="1:7" s="46" customFormat="1" ht="20.25" customHeight="1">
      <c r="A40" s="678" t="s">
        <v>486</v>
      </c>
      <c r="B40" s="636" t="s">
        <v>580</v>
      </c>
      <c r="C40" s="637"/>
      <c r="D40" s="637"/>
      <c r="E40" s="637">
        <v>2576.9893900000002</v>
      </c>
      <c r="F40" s="637">
        <v>2576.9893900000002</v>
      </c>
      <c r="G40" s="689">
        <v>15099.9208125</v>
      </c>
    </row>
    <row r="41" spans="1:7" ht="12" customHeight="1">
      <c r="A41" s="676" t="s">
        <v>522</v>
      </c>
      <c r="B41" s="512"/>
      <c r="C41" s="513"/>
      <c r="D41" s="513"/>
      <c r="E41" s="513">
        <v>2576.9893900000002</v>
      </c>
      <c r="F41" s="513">
        <v>2576.9893900000002</v>
      </c>
      <c r="G41" s="680">
        <v>15099.9208125</v>
      </c>
    </row>
    <row r="42" spans="1:7" ht="10.5" customHeight="1">
      <c r="A42" s="678" t="s">
        <v>118</v>
      </c>
      <c r="B42" s="636" t="s">
        <v>324</v>
      </c>
      <c r="C42" s="637"/>
      <c r="D42" s="637">
        <v>0</v>
      </c>
      <c r="E42" s="637"/>
      <c r="F42" s="637">
        <v>0</v>
      </c>
      <c r="G42" s="689">
        <v>4071.1428274999998</v>
      </c>
    </row>
    <row r="43" spans="1:7" ht="10.5" customHeight="1">
      <c r="A43" s="678"/>
      <c r="B43" s="636" t="s">
        <v>325</v>
      </c>
      <c r="C43" s="637"/>
      <c r="D43" s="637">
        <v>3.9228700000000001</v>
      </c>
      <c r="E43" s="637"/>
      <c r="F43" s="637">
        <v>3.9228700000000001</v>
      </c>
      <c r="G43" s="689">
        <v>436.17824499999995</v>
      </c>
    </row>
    <row r="44" spans="1:7" ht="10.5" customHeight="1">
      <c r="A44" s="676" t="s">
        <v>523</v>
      </c>
      <c r="B44" s="512"/>
      <c r="C44" s="513"/>
      <c r="D44" s="513">
        <v>3.9228700000000001</v>
      </c>
      <c r="E44" s="513"/>
      <c r="F44" s="513">
        <v>3.9228700000000001</v>
      </c>
      <c r="G44" s="680">
        <v>4507.3210724999999</v>
      </c>
    </row>
    <row r="45" spans="1:7" ht="10.5" customHeight="1">
      <c r="A45" s="678" t="s">
        <v>410</v>
      </c>
      <c r="B45" s="636" t="s">
        <v>326</v>
      </c>
      <c r="C45" s="637"/>
      <c r="D45" s="637">
        <v>594007.22173500003</v>
      </c>
      <c r="E45" s="637"/>
      <c r="F45" s="637">
        <v>594007.22173500003</v>
      </c>
      <c r="G45" s="689">
        <v>1672209.2969149998</v>
      </c>
    </row>
    <row r="46" spans="1:7" ht="10.5" customHeight="1">
      <c r="A46" s="678"/>
      <c r="B46" s="636" t="s">
        <v>327</v>
      </c>
      <c r="C46" s="637"/>
      <c r="D46" s="637">
        <v>108499.83975</v>
      </c>
      <c r="E46" s="637"/>
      <c r="F46" s="637">
        <v>108499.83975</v>
      </c>
      <c r="G46" s="689">
        <v>312216.44924250001</v>
      </c>
    </row>
    <row r="47" spans="1:7" ht="10.5" customHeight="1">
      <c r="A47" s="678"/>
      <c r="B47" s="636" t="s">
        <v>432</v>
      </c>
      <c r="C47" s="637">
        <v>181245.59361499999</v>
      </c>
      <c r="D47" s="637"/>
      <c r="E47" s="637"/>
      <c r="F47" s="637">
        <v>181245.59361499999</v>
      </c>
      <c r="G47" s="689">
        <v>2282433.0087250001</v>
      </c>
    </row>
    <row r="48" spans="1:7" ht="10.5" customHeight="1">
      <c r="A48" s="678"/>
      <c r="B48" s="636" t="s">
        <v>328</v>
      </c>
      <c r="C48" s="637">
        <v>2088.0805274999998</v>
      </c>
      <c r="D48" s="637"/>
      <c r="E48" s="637"/>
      <c r="F48" s="637">
        <v>2088.0805274999998</v>
      </c>
      <c r="G48" s="689">
        <v>42231.724680000007</v>
      </c>
    </row>
    <row r="49" spans="1:8" ht="10.5" customHeight="1">
      <c r="A49" s="676" t="s">
        <v>524</v>
      </c>
      <c r="B49" s="512"/>
      <c r="C49" s="513">
        <v>183333.67414249998</v>
      </c>
      <c r="D49" s="513">
        <v>702507.06148500007</v>
      </c>
      <c r="E49" s="513"/>
      <c r="F49" s="513">
        <v>885840.73562750011</v>
      </c>
      <c r="G49" s="680">
        <v>4309090.4795624996</v>
      </c>
    </row>
    <row r="50" spans="1:8" ht="10.5" customHeight="1">
      <c r="A50" s="678" t="s">
        <v>117</v>
      </c>
      <c r="B50" s="636" t="s">
        <v>72</v>
      </c>
      <c r="C50" s="637"/>
      <c r="D50" s="637"/>
      <c r="E50" s="637">
        <v>458.87865249999999</v>
      </c>
      <c r="F50" s="637">
        <v>458.87865249999999</v>
      </c>
      <c r="G50" s="689">
        <v>11592.287779999999</v>
      </c>
    </row>
    <row r="51" spans="1:8" ht="10.5" customHeight="1">
      <c r="A51" s="676" t="s">
        <v>525</v>
      </c>
      <c r="B51" s="512"/>
      <c r="C51" s="513"/>
      <c r="D51" s="513"/>
      <c r="E51" s="513">
        <v>458.87865249999999</v>
      </c>
      <c r="F51" s="513">
        <v>458.87865249999999</v>
      </c>
      <c r="G51" s="680">
        <v>11592.287779999999</v>
      </c>
      <c r="H51" s="361"/>
    </row>
    <row r="52" spans="1:8" ht="10.5" customHeight="1">
      <c r="A52" s="678" t="s">
        <v>110</v>
      </c>
      <c r="B52" s="636" t="s">
        <v>81</v>
      </c>
      <c r="C52" s="637"/>
      <c r="D52" s="637"/>
      <c r="E52" s="637">
        <v>4006.7429625</v>
      </c>
      <c r="F52" s="637">
        <v>4006.7429625</v>
      </c>
      <c r="G52" s="689">
        <v>29157.647640000003</v>
      </c>
    </row>
    <row r="53" spans="1:8" ht="10.5" customHeight="1">
      <c r="A53" s="676" t="s">
        <v>526</v>
      </c>
      <c r="B53" s="512"/>
      <c r="C53" s="513"/>
      <c r="D53" s="513"/>
      <c r="E53" s="513">
        <v>4006.7429625</v>
      </c>
      <c r="F53" s="513">
        <v>4006.7429625</v>
      </c>
      <c r="G53" s="680">
        <v>29157.647640000003</v>
      </c>
    </row>
    <row r="54" spans="1:8" ht="10.5" customHeight="1">
      <c r="A54" s="678" t="s">
        <v>241</v>
      </c>
      <c r="B54" s="636" t="s">
        <v>71</v>
      </c>
      <c r="C54" s="637"/>
      <c r="D54" s="637"/>
      <c r="E54" s="637">
        <v>1452.1613649999999</v>
      </c>
      <c r="F54" s="637">
        <v>1452.1613649999999</v>
      </c>
      <c r="G54" s="689">
        <v>25037.247429999999</v>
      </c>
    </row>
    <row r="55" spans="1:8" ht="10.5" customHeight="1">
      <c r="A55" s="678"/>
      <c r="B55" s="636" t="s">
        <v>329</v>
      </c>
      <c r="C55" s="637">
        <v>67236.47593249999</v>
      </c>
      <c r="D55" s="637"/>
      <c r="E55" s="637"/>
      <c r="F55" s="637">
        <v>67236.47593249999</v>
      </c>
      <c r="G55" s="689">
        <v>1020924.5235175</v>
      </c>
    </row>
    <row r="56" spans="1:8" ht="10.5" customHeight="1">
      <c r="A56" s="678"/>
      <c r="B56" s="636" t="s">
        <v>330</v>
      </c>
      <c r="C56" s="637">
        <v>18953.629872500002</v>
      </c>
      <c r="D56" s="637"/>
      <c r="E56" s="637"/>
      <c r="F56" s="637">
        <v>18953.629872500002</v>
      </c>
      <c r="G56" s="689">
        <v>386452.41699000006</v>
      </c>
    </row>
    <row r="57" spans="1:8" ht="10.5" customHeight="1">
      <c r="A57" s="678"/>
      <c r="B57" s="636" t="s">
        <v>62</v>
      </c>
      <c r="C57" s="637"/>
      <c r="D57" s="637"/>
      <c r="E57" s="637">
        <v>5660.1797475000003</v>
      </c>
      <c r="F57" s="637">
        <v>5660.1797475000003</v>
      </c>
      <c r="G57" s="689">
        <v>55356.262372500001</v>
      </c>
    </row>
    <row r="58" spans="1:8" ht="10.5" customHeight="1">
      <c r="A58" s="676" t="s">
        <v>527</v>
      </c>
      <c r="B58" s="512"/>
      <c r="C58" s="513">
        <v>86190.105804999999</v>
      </c>
      <c r="D58" s="513"/>
      <c r="E58" s="513">
        <v>7112.3411125000002</v>
      </c>
      <c r="F58" s="513">
        <v>93302.446917499983</v>
      </c>
      <c r="G58" s="680">
        <v>1487770.45031</v>
      </c>
    </row>
    <row r="59" spans="1:8" ht="10.5" customHeight="1">
      <c r="A59" s="678" t="s">
        <v>242</v>
      </c>
      <c r="B59" s="636" t="s">
        <v>78</v>
      </c>
      <c r="C59" s="637"/>
      <c r="D59" s="637"/>
      <c r="E59" s="637">
        <v>16305.897107500001</v>
      </c>
      <c r="F59" s="637">
        <v>16305.897107500001</v>
      </c>
      <c r="G59" s="689">
        <v>109433.24233750001</v>
      </c>
    </row>
    <row r="60" spans="1:8" ht="10.5" customHeight="1">
      <c r="A60" s="676" t="s">
        <v>528</v>
      </c>
      <c r="B60" s="512"/>
      <c r="C60" s="513"/>
      <c r="D60" s="513"/>
      <c r="E60" s="513">
        <v>16305.897107500001</v>
      </c>
      <c r="F60" s="513">
        <v>16305.897107500001</v>
      </c>
      <c r="G60" s="680">
        <v>109433.24233750001</v>
      </c>
    </row>
    <row r="61" spans="1:8" ht="10.5" customHeight="1">
      <c r="A61" s="678" t="s">
        <v>99</v>
      </c>
      <c r="B61" s="636" t="s">
        <v>76</v>
      </c>
      <c r="C61" s="637"/>
      <c r="D61" s="637"/>
      <c r="E61" s="637">
        <v>51661.423617499997</v>
      </c>
      <c r="F61" s="637">
        <v>51661.423617499997</v>
      </c>
      <c r="G61" s="689">
        <v>325335.61363500002</v>
      </c>
    </row>
    <row r="62" spans="1:8" ht="10.5" customHeight="1">
      <c r="A62" s="676" t="s">
        <v>529</v>
      </c>
      <c r="B62" s="512"/>
      <c r="C62" s="513"/>
      <c r="D62" s="513"/>
      <c r="E62" s="513">
        <v>51661.423617499997</v>
      </c>
      <c r="F62" s="513">
        <v>51661.423617499997</v>
      </c>
      <c r="G62" s="680">
        <v>325335.61363500002</v>
      </c>
    </row>
    <row r="63" spans="1:8" ht="10.5" customHeight="1">
      <c r="A63" s="678" t="s">
        <v>107</v>
      </c>
      <c r="B63" s="636" t="s">
        <v>232</v>
      </c>
      <c r="C63" s="637"/>
      <c r="D63" s="637"/>
      <c r="E63" s="637">
        <v>4803.4851374999998</v>
      </c>
      <c r="F63" s="637">
        <v>4803.4851374999998</v>
      </c>
      <c r="G63" s="689">
        <v>33573.549407499995</v>
      </c>
    </row>
    <row r="64" spans="1:8" ht="10.5" customHeight="1">
      <c r="A64" s="676" t="s">
        <v>530</v>
      </c>
      <c r="B64" s="512"/>
      <c r="C64" s="513"/>
      <c r="D64" s="513"/>
      <c r="E64" s="513">
        <v>4803.4851374999998</v>
      </c>
      <c r="F64" s="513">
        <v>4803.4851374999998</v>
      </c>
      <c r="G64" s="680">
        <v>33573.549407499995</v>
      </c>
    </row>
    <row r="65" spans="1:7" ht="10.5" customHeight="1">
      <c r="A65" s="678" t="s">
        <v>411</v>
      </c>
      <c r="B65" s="636" t="s">
        <v>85</v>
      </c>
      <c r="C65" s="637"/>
      <c r="D65" s="637"/>
      <c r="E65" s="637">
        <v>429.67996249999999</v>
      </c>
      <c r="F65" s="637">
        <v>429.67996249999999</v>
      </c>
      <c r="G65" s="689">
        <v>8367.3728325000011</v>
      </c>
    </row>
    <row r="66" spans="1:7" ht="10.5" customHeight="1">
      <c r="A66" s="678"/>
      <c r="B66" s="636" t="s">
        <v>84</v>
      </c>
      <c r="C66" s="637"/>
      <c r="D66" s="637"/>
      <c r="E66" s="637">
        <v>2652.6947150000001</v>
      </c>
      <c r="F66" s="637">
        <v>2652.6947150000001</v>
      </c>
      <c r="G66" s="689">
        <v>13936.917082499998</v>
      </c>
    </row>
    <row r="67" spans="1:7" ht="10.5" customHeight="1">
      <c r="A67" s="678"/>
      <c r="B67" s="636" t="s">
        <v>429</v>
      </c>
      <c r="C67" s="637"/>
      <c r="D67" s="637"/>
      <c r="E67" s="637">
        <v>1680.83779</v>
      </c>
      <c r="F67" s="637">
        <v>1680.83779</v>
      </c>
      <c r="G67" s="689">
        <v>6996.2417399999995</v>
      </c>
    </row>
    <row r="68" spans="1:7" ht="10.5" customHeight="1">
      <c r="A68" s="678"/>
      <c r="B68" s="636" t="s">
        <v>579</v>
      </c>
      <c r="C68" s="637"/>
      <c r="D68" s="637"/>
      <c r="E68" s="637">
        <v>1602.0863199999999</v>
      </c>
      <c r="F68" s="637">
        <v>1602.0863199999999</v>
      </c>
      <c r="G68" s="689">
        <v>2690.4384424999998</v>
      </c>
    </row>
    <row r="69" spans="1:7" ht="10.5" customHeight="1">
      <c r="A69" s="676" t="s">
        <v>531</v>
      </c>
      <c r="B69" s="512"/>
      <c r="C69" s="513"/>
      <c r="D69" s="513"/>
      <c r="E69" s="513">
        <v>6365.2987874999999</v>
      </c>
      <c r="F69" s="513">
        <v>6365.2987874999999</v>
      </c>
      <c r="G69" s="680">
        <v>31990.970097499998</v>
      </c>
    </row>
    <row r="70" spans="1:7" ht="10.5" customHeight="1">
      <c r="A70" s="678" t="s">
        <v>243</v>
      </c>
      <c r="B70" s="636" t="s">
        <v>331</v>
      </c>
      <c r="C70" s="637"/>
      <c r="D70" s="637">
        <v>25.748629999999999</v>
      </c>
      <c r="E70" s="637"/>
      <c r="F70" s="637">
        <v>25.748629999999999</v>
      </c>
      <c r="G70" s="689">
        <v>661.15187000000003</v>
      </c>
    </row>
    <row r="71" spans="1:7" ht="10.5" customHeight="1">
      <c r="A71" s="676" t="s">
        <v>532</v>
      </c>
      <c r="B71" s="512"/>
      <c r="C71" s="513"/>
      <c r="D71" s="513">
        <v>25.748629999999999</v>
      </c>
      <c r="E71" s="513"/>
      <c r="F71" s="513">
        <v>25.748629999999999</v>
      </c>
      <c r="G71" s="680">
        <v>661.15187000000003</v>
      </c>
    </row>
    <row r="72" spans="1:7" ht="10.5" customHeight="1">
      <c r="A72" s="678" t="s">
        <v>446</v>
      </c>
      <c r="B72" s="636" t="s">
        <v>460</v>
      </c>
      <c r="C72" s="637"/>
      <c r="D72" s="637"/>
      <c r="E72" s="637">
        <v>7500.2694649999994</v>
      </c>
      <c r="F72" s="637">
        <v>7500.2694649999994</v>
      </c>
      <c r="G72" s="689">
        <v>94371.666299999997</v>
      </c>
    </row>
    <row r="73" spans="1:7" ht="10.5" customHeight="1">
      <c r="A73" s="676" t="s">
        <v>533</v>
      </c>
      <c r="B73" s="512"/>
      <c r="C73" s="513"/>
      <c r="D73" s="513"/>
      <c r="E73" s="513">
        <v>7500.2694649999994</v>
      </c>
      <c r="F73" s="513">
        <v>7500.2694649999994</v>
      </c>
      <c r="G73" s="680">
        <v>94371.666299999997</v>
      </c>
    </row>
    <row r="74" spans="1:7" ht="10.5" customHeight="1">
      <c r="A74" s="331"/>
      <c r="B74" s="331"/>
      <c r="C74" s="331"/>
      <c r="D74" s="331"/>
      <c r="E74" s="331"/>
      <c r="F74" s="331"/>
      <c r="G74" s="331"/>
    </row>
    <row r="75" spans="1:7" ht="10.5" customHeight="1">
      <c r="A75" s="331"/>
      <c r="B75" s="331"/>
      <c r="C75" s="331"/>
      <c r="D75" s="331"/>
      <c r="E75" s="331"/>
      <c r="F75" s="331"/>
      <c r="G75" s="331"/>
    </row>
    <row r="76" spans="1:7" ht="10.5" customHeight="1">
      <c r="A76" s="331"/>
      <c r="B76" s="331"/>
      <c r="C76" s="331"/>
      <c r="D76" s="331"/>
      <c r="E76" s="331"/>
      <c r="F76" s="331"/>
      <c r="G76" s="331"/>
    </row>
    <row r="77" spans="1:7" ht="10.5" customHeight="1">
      <c r="A77" s="331"/>
      <c r="B77" s="331"/>
      <c r="C77" s="331"/>
      <c r="D77" s="331"/>
      <c r="E77" s="331"/>
      <c r="F77" s="331"/>
      <c r="G77" s="331"/>
    </row>
    <row r="78" spans="1:7" ht="10.5" customHeight="1">
      <c r="A78" s="331"/>
      <c r="B78" s="331"/>
      <c r="C78" s="331"/>
      <c r="D78" s="331"/>
      <c r="E78" s="331"/>
      <c r="F78" s="331"/>
      <c r="G78" s="331"/>
    </row>
    <row r="79" spans="1:7" ht="10.5" customHeight="1">
      <c r="A79" s="331"/>
      <c r="B79" s="331"/>
      <c r="C79" s="331"/>
      <c r="D79" s="331"/>
      <c r="E79" s="331"/>
      <c r="F79" s="331"/>
      <c r="G79" s="331"/>
    </row>
    <row r="80" spans="1:7" ht="10.5" customHeight="1">
      <c r="A80" s="331"/>
      <c r="B80" s="331"/>
      <c r="C80" s="331"/>
      <c r="D80" s="331"/>
      <c r="E80" s="331"/>
      <c r="F80" s="331"/>
      <c r="G80" s="331"/>
    </row>
    <row r="81" spans="1:7" ht="10.5" customHeight="1">
      <c r="A81" s="331"/>
      <c r="B81" s="331"/>
      <c r="C81" s="331"/>
      <c r="D81" s="331"/>
      <c r="E81" s="331"/>
      <c r="F81" s="331"/>
      <c r="G81" s="331"/>
    </row>
    <row r="82" spans="1:7" ht="10.5" customHeight="1">
      <c r="A82" s="331"/>
      <c r="B82" s="331"/>
      <c r="C82" s="331"/>
      <c r="D82" s="331"/>
      <c r="E82" s="331"/>
      <c r="F82" s="331"/>
      <c r="G82" s="331"/>
    </row>
    <row r="83" spans="1:7" ht="10.5" customHeight="1">
      <c r="A83" s="331"/>
      <c r="B83" s="331"/>
      <c r="C83" s="331"/>
      <c r="D83" s="331"/>
      <c r="E83" s="331"/>
      <c r="F83" s="331"/>
      <c r="G83" s="331"/>
    </row>
    <row r="84" spans="1:7" ht="10.5" customHeight="1">
      <c r="A84" s="331"/>
      <c r="B84" s="331"/>
      <c r="C84" s="331"/>
      <c r="D84" s="331"/>
      <c r="E84" s="331"/>
      <c r="F84" s="331"/>
      <c r="G84" s="331"/>
    </row>
    <row r="85" spans="1:7" ht="10.5" customHeight="1">
      <c r="A85" s="331"/>
      <c r="B85" s="331"/>
      <c r="C85" s="331"/>
      <c r="D85" s="331"/>
      <c r="E85" s="331"/>
      <c r="F85" s="331"/>
      <c r="G85" s="331"/>
    </row>
    <row r="86" spans="1:7" ht="10.5" customHeight="1">
      <c r="A86" s="331"/>
      <c r="B86" s="331"/>
      <c r="C86" s="331"/>
      <c r="D86" s="331"/>
      <c r="E86" s="331"/>
      <c r="F86" s="331"/>
      <c r="G86" s="331"/>
    </row>
    <row r="87" spans="1:7" ht="10.5" customHeight="1">
      <c r="A87" s="331"/>
      <c r="B87" s="331"/>
      <c r="C87" s="331"/>
      <c r="D87" s="331"/>
      <c r="E87" s="331"/>
      <c r="F87" s="331"/>
      <c r="G87" s="331"/>
    </row>
    <row r="88" spans="1:7" ht="10.5" customHeight="1">
      <c r="A88" s="331"/>
      <c r="B88" s="331"/>
      <c r="C88" s="331"/>
      <c r="D88" s="331"/>
      <c r="E88" s="331"/>
      <c r="F88" s="331"/>
      <c r="G88" s="331"/>
    </row>
    <row r="89" spans="1:7" ht="10.5" customHeight="1">
      <c r="A89" s="331"/>
      <c r="B89" s="331"/>
      <c r="C89" s="331"/>
      <c r="D89" s="331"/>
      <c r="E89" s="331"/>
      <c r="F89" s="331"/>
      <c r="G89" s="331"/>
    </row>
    <row r="90" spans="1:7" ht="10.5" customHeight="1">
      <c r="A90" s="331"/>
      <c r="B90" s="331"/>
      <c r="C90" s="331"/>
      <c r="D90" s="331"/>
      <c r="E90" s="331"/>
      <c r="F90" s="331"/>
      <c r="G90" s="331"/>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3"/>
  <sheetViews>
    <sheetView showGridLines="0" view="pageBreakPreview" zoomScaleNormal="100" zoomScaleSheetLayoutView="100" zoomScalePageLayoutView="160" workbookViewId="0">
      <selection activeCell="N25" sqref="N25"/>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85" t="s">
        <v>250</v>
      </c>
      <c r="B1" s="988" t="s">
        <v>54</v>
      </c>
      <c r="C1" s="991" t="str">
        <f>+'19. ANEXOI-2'!C1:F1</f>
        <v>ENERGÍA PRODUCIDA AGOSTO 2020</v>
      </c>
      <c r="D1" s="991"/>
      <c r="E1" s="991"/>
      <c r="F1" s="991"/>
      <c r="G1" s="631" t="s">
        <v>276</v>
      </c>
      <c r="H1" s="203"/>
    </row>
    <row r="2" spans="1:8" ht="11.25" customHeight="1">
      <c r="A2" s="986"/>
      <c r="B2" s="989"/>
      <c r="C2" s="992" t="s">
        <v>277</v>
      </c>
      <c r="D2" s="992"/>
      <c r="E2" s="992"/>
      <c r="F2" s="993" t="str">
        <f>"TOTAL 
"&amp;UPPER('1. Resumen'!Q4)</f>
        <v>TOTAL 
AGOSTO</v>
      </c>
      <c r="G2" s="632" t="s">
        <v>278</v>
      </c>
      <c r="H2" s="194"/>
    </row>
    <row r="3" spans="1:8" ht="11.25" customHeight="1">
      <c r="A3" s="986"/>
      <c r="B3" s="989"/>
      <c r="C3" s="623" t="s">
        <v>215</v>
      </c>
      <c r="D3" s="623" t="s">
        <v>216</v>
      </c>
      <c r="E3" s="623" t="s">
        <v>279</v>
      </c>
      <c r="F3" s="994"/>
      <c r="G3" s="632">
        <v>2020</v>
      </c>
      <c r="H3" s="196"/>
    </row>
    <row r="4" spans="1:8" ht="11.25" customHeight="1">
      <c r="A4" s="995"/>
      <c r="B4" s="996"/>
      <c r="C4" s="624" t="s">
        <v>280</v>
      </c>
      <c r="D4" s="624" t="s">
        <v>280</v>
      </c>
      <c r="E4" s="624" t="s">
        <v>280</v>
      </c>
      <c r="F4" s="624" t="s">
        <v>280</v>
      </c>
      <c r="G4" s="633" t="s">
        <v>208</v>
      </c>
      <c r="H4" s="196"/>
    </row>
    <row r="5" spans="1:8" s="331" customFormat="1" ht="9" customHeight="1">
      <c r="A5" s="674" t="s">
        <v>104</v>
      </c>
      <c r="B5" s="626" t="s">
        <v>61</v>
      </c>
      <c r="C5" s="627"/>
      <c r="D5" s="627"/>
      <c r="E5" s="627">
        <v>3062.0111400000001</v>
      </c>
      <c r="F5" s="627">
        <v>3062.0111400000001</v>
      </c>
      <c r="G5" s="679">
        <v>72074.545707500001</v>
      </c>
    </row>
    <row r="6" spans="1:8" s="331" customFormat="1" ht="9" customHeight="1">
      <c r="A6" s="676" t="s">
        <v>534</v>
      </c>
      <c r="B6" s="512"/>
      <c r="C6" s="513"/>
      <c r="D6" s="513"/>
      <c r="E6" s="513">
        <v>3062.0111400000001</v>
      </c>
      <c r="F6" s="513">
        <v>3062.0111400000001</v>
      </c>
      <c r="G6" s="680">
        <v>72074.545707500001</v>
      </c>
    </row>
    <row r="7" spans="1:8" s="331" customFormat="1" ht="9" customHeight="1">
      <c r="A7" s="674" t="s">
        <v>244</v>
      </c>
      <c r="B7" s="626" t="s">
        <v>332</v>
      </c>
      <c r="C7" s="627"/>
      <c r="D7" s="627">
        <v>0</v>
      </c>
      <c r="E7" s="627"/>
      <c r="F7" s="627">
        <v>0</v>
      </c>
      <c r="G7" s="679">
        <v>992.76196000000004</v>
      </c>
    </row>
    <row r="8" spans="1:8" s="331" customFormat="1" ht="9" customHeight="1">
      <c r="A8" s="676" t="s">
        <v>535</v>
      </c>
      <c r="B8" s="512"/>
      <c r="C8" s="513"/>
      <c r="D8" s="513">
        <v>0</v>
      </c>
      <c r="E8" s="513"/>
      <c r="F8" s="513">
        <v>0</v>
      </c>
      <c r="G8" s="680">
        <v>992.76196000000004</v>
      </c>
    </row>
    <row r="9" spans="1:8" s="331" customFormat="1" ht="9" customHeight="1">
      <c r="A9" s="674" t="s">
        <v>95</v>
      </c>
      <c r="B9" s="626" t="s">
        <v>333</v>
      </c>
      <c r="C9" s="627">
        <v>64829.372942500006</v>
      </c>
      <c r="D9" s="627"/>
      <c r="E9" s="627"/>
      <c r="F9" s="627">
        <v>64829.372942500006</v>
      </c>
      <c r="G9" s="679">
        <v>500177.37653249997</v>
      </c>
    </row>
    <row r="10" spans="1:8" s="331" customFormat="1" ht="9" customHeight="1">
      <c r="A10" s="676" t="s">
        <v>536</v>
      </c>
      <c r="B10" s="512"/>
      <c r="C10" s="513">
        <v>64829.372942500006</v>
      </c>
      <c r="D10" s="513"/>
      <c r="E10" s="513"/>
      <c r="F10" s="513">
        <v>64829.372942500006</v>
      </c>
      <c r="G10" s="680">
        <v>500177.37653249997</v>
      </c>
    </row>
    <row r="11" spans="1:8" s="331" customFormat="1" ht="9" customHeight="1">
      <c r="A11" s="674" t="s">
        <v>431</v>
      </c>
      <c r="B11" s="626" t="s">
        <v>467</v>
      </c>
      <c r="C11" s="627"/>
      <c r="D11" s="627"/>
      <c r="E11" s="627">
        <v>668.02700000000004</v>
      </c>
      <c r="F11" s="627">
        <v>668.02700000000004</v>
      </c>
      <c r="G11" s="679">
        <v>33108.449374999997</v>
      </c>
    </row>
    <row r="12" spans="1:8" s="331" customFormat="1" ht="9" customHeight="1">
      <c r="A12" s="676" t="s">
        <v>537</v>
      </c>
      <c r="B12" s="512"/>
      <c r="C12" s="513"/>
      <c r="D12" s="513"/>
      <c r="E12" s="513">
        <v>668.02700000000004</v>
      </c>
      <c r="F12" s="513">
        <v>668.02700000000004</v>
      </c>
      <c r="G12" s="680">
        <v>33108.449374999997</v>
      </c>
    </row>
    <row r="13" spans="1:8" s="331" customFormat="1" ht="9" customHeight="1">
      <c r="A13" s="674" t="s">
        <v>402</v>
      </c>
      <c r="B13" s="626" t="s">
        <v>406</v>
      </c>
      <c r="C13" s="627"/>
      <c r="D13" s="627"/>
      <c r="E13" s="627">
        <v>12573.86231</v>
      </c>
      <c r="F13" s="627">
        <v>12573.86231</v>
      </c>
      <c r="G13" s="679">
        <v>113980.28052249999</v>
      </c>
    </row>
    <row r="14" spans="1:8" s="331" customFormat="1" ht="9" customHeight="1">
      <c r="A14" s="676" t="s">
        <v>538</v>
      </c>
      <c r="B14" s="512"/>
      <c r="C14" s="513"/>
      <c r="D14" s="513"/>
      <c r="E14" s="513">
        <v>12573.86231</v>
      </c>
      <c r="F14" s="513">
        <v>12573.86231</v>
      </c>
      <c r="G14" s="680">
        <v>113980.28052249999</v>
      </c>
    </row>
    <row r="15" spans="1:8" s="331" customFormat="1" ht="9" customHeight="1">
      <c r="A15" s="674" t="s">
        <v>102</v>
      </c>
      <c r="B15" s="626" t="s">
        <v>334</v>
      </c>
      <c r="C15" s="627"/>
      <c r="D15" s="627">
        <v>0</v>
      </c>
      <c r="E15" s="627"/>
      <c r="F15" s="627">
        <v>0</v>
      </c>
      <c r="G15" s="679">
        <v>45912.861019999997</v>
      </c>
    </row>
    <row r="16" spans="1:8" s="331" customFormat="1" ht="9" customHeight="1">
      <c r="A16" s="676" t="s">
        <v>539</v>
      </c>
      <c r="B16" s="512"/>
      <c r="C16" s="513"/>
      <c r="D16" s="513">
        <v>0</v>
      </c>
      <c r="E16" s="513"/>
      <c r="F16" s="513">
        <v>0</v>
      </c>
      <c r="G16" s="680">
        <v>45912.861019999997</v>
      </c>
    </row>
    <row r="17" spans="1:7" s="331" customFormat="1" ht="9" customHeight="1">
      <c r="A17" s="674" t="s">
        <v>119</v>
      </c>
      <c r="B17" s="626" t="s">
        <v>335</v>
      </c>
      <c r="C17" s="627"/>
      <c r="D17" s="627">
        <v>2958.4451875000004</v>
      </c>
      <c r="E17" s="627"/>
      <c r="F17" s="627">
        <v>2958.4451875000004</v>
      </c>
      <c r="G17" s="679">
        <v>4199.6611975000005</v>
      </c>
    </row>
    <row r="18" spans="1:7" s="331" customFormat="1" ht="9" customHeight="1">
      <c r="A18" s="676" t="s">
        <v>540</v>
      </c>
      <c r="B18" s="512"/>
      <c r="C18" s="513"/>
      <c r="D18" s="513">
        <v>2958.4451875000004</v>
      </c>
      <c r="E18" s="513"/>
      <c r="F18" s="513">
        <v>2958.4451875000004</v>
      </c>
      <c r="G18" s="680">
        <v>4199.6611975000005</v>
      </c>
    </row>
    <row r="19" spans="1:7" s="331" customFormat="1" ht="9" customHeight="1">
      <c r="A19" s="674" t="s">
        <v>113</v>
      </c>
      <c r="B19" s="626" t="s">
        <v>461</v>
      </c>
      <c r="C19" s="627"/>
      <c r="D19" s="627"/>
      <c r="E19" s="627">
        <v>12376.0353775</v>
      </c>
      <c r="F19" s="627">
        <v>12376.0353775</v>
      </c>
      <c r="G19" s="679">
        <v>108488.56907499998</v>
      </c>
    </row>
    <row r="20" spans="1:7" s="331" customFormat="1" ht="9" customHeight="1">
      <c r="A20" s="674"/>
      <c r="B20" s="626" t="s">
        <v>69</v>
      </c>
      <c r="C20" s="627"/>
      <c r="D20" s="627"/>
      <c r="E20" s="627">
        <v>4370.4103924999999</v>
      </c>
      <c r="F20" s="627">
        <v>4370.4103924999999</v>
      </c>
      <c r="G20" s="679">
        <v>39753.099099999999</v>
      </c>
    </row>
    <row r="21" spans="1:7" s="331" customFormat="1" ht="9" customHeight="1">
      <c r="A21" s="676" t="s">
        <v>541</v>
      </c>
      <c r="B21" s="512"/>
      <c r="C21" s="513"/>
      <c r="D21" s="513"/>
      <c r="E21" s="513">
        <v>16746.445769999998</v>
      </c>
      <c r="F21" s="513">
        <v>16746.445769999998</v>
      </c>
      <c r="G21" s="680">
        <v>148241.66817499997</v>
      </c>
    </row>
    <row r="22" spans="1:7" s="331" customFormat="1" ht="9" customHeight="1">
      <c r="A22" s="674" t="s">
        <v>90</v>
      </c>
      <c r="B22" s="626" t="s">
        <v>336</v>
      </c>
      <c r="C22" s="627">
        <v>15404.7306625</v>
      </c>
      <c r="D22" s="627"/>
      <c r="E22" s="627"/>
      <c r="F22" s="627">
        <v>15404.7306625</v>
      </c>
      <c r="G22" s="679">
        <v>208426.99871749998</v>
      </c>
    </row>
    <row r="23" spans="1:7" s="331" customFormat="1" ht="9" customHeight="1">
      <c r="A23" s="674"/>
      <c r="B23" s="626" t="s">
        <v>337</v>
      </c>
      <c r="C23" s="627">
        <v>32969.647112500003</v>
      </c>
      <c r="D23" s="627"/>
      <c r="E23" s="627"/>
      <c r="F23" s="627">
        <v>32969.647112500003</v>
      </c>
      <c r="G23" s="679">
        <v>565638.99858250003</v>
      </c>
    </row>
    <row r="24" spans="1:7" s="331" customFormat="1" ht="9" customHeight="1">
      <c r="A24" s="674"/>
      <c r="B24" s="626" t="s">
        <v>338</v>
      </c>
      <c r="C24" s="627">
        <v>3896.126025</v>
      </c>
      <c r="D24" s="627"/>
      <c r="E24" s="627"/>
      <c r="F24" s="627">
        <v>3896.126025</v>
      </c>
      <c r="G24" s="679">
        <v>75513.555315000005</v>
      </c>
    </row>
    <row r="25" spans="1:7" s="331" customFormat="1" ht="9" customHeight="1">
      <c r="A25" s="674"/>
      <c r="B25" s="626" t="s">
        <v>339</v>
      </c>
      <c r="C25" s="627">
        <v>0</v>
      </c>
      <c r="D25" s="627"/>
      <c r="E25" s="627"/>
      <c r="F25" s="627">
        <v>0</v>
      </c>
      <c r="G25" s="679">
        <v>286.87112500000001</v>
      </c>
    </row>
    <row r="26" spans="1:7" s="331" customFormat="1" ht="9" customHeight="1">
      <c r="A26" s="674"/>
      <c r="B26" s="626" t="s">
        <v>340</v>
      </c>
      <c r="C26" s="627">
        <v>13671.607629999999</v>
      </c>
      <c r="D26" s="627"/>
      <c r="E26" s="627"/>
      <c r="F26" s="627">
        <v>13671.607629999999</v>
      </c>
      <c r="G26" s="679">
        <v>178050.21319499996</v>
      </c>
    </row>
    <row r="27" spans="1:7" s="331" customFormat="1" ht="9" customHeight="1">
      <c r="A27" s="674"/>
      <c r="B27" s="626" t="s">
        <v>341</v>
      </c>
      <c r="C27" s="627">
        <v>2320.1284325000001</v>
      </c>
      <c r="D27" s="627"/>
      <c r="E27" s="627"/>
      <c r="F27" s="627">
        <v>2320.1284325000001</v>
      </c>
      <c r="G27" s="679">
        <v>16459.34404</v>
      </c>
    </row>
    <row r="28" spans="1:7" s="331" customFormat="1" ht="9" customHeight="1">
      <c r="A28" s="674"/>
      <c r="B28" s="626" t="s">
        <v>342</v>
      </c>
      <c r="C28" s="627">
        <v>5612.5046700000003</v>
      </c>
      <c r="D28" s="627"/>
      <c r="E28" s="627"/>
      <c r="F28" s="627">
        <v>5612.5046700000003</v>
      </c>
      <c r="G28" s="679">
        <v>39728.049750000006</v>
      </c>
    </row>
    <row r="29" spans="1:7" s="331" customFormat="1" ht="8.25" customHeight="1">
      <c r="A29" s="674"/>
      <c r="B29" s="626" t="s">
        <v>343</v>
      </c>
      <c r="C29" s="627">
        <v>4945.305515</v>
      </c>
      <c r="D29" s="627"/>
      <c r="E29" s="627"/>
      <c r="F29" s="627">
        <v>4945.305515</v>
      </c>
      <c r="G29" s="679">
        <v>21369.6419675</v>
      </c>
    </row>
    <row r="30" spans="1:7" s="331" customFormat="1" ht="9" customHeight="1">
      <c r="A30" s="674"/>
      <c r="B30" s="626" t="s">
        <v>344</v>
      </c>
      <c r="C30" s="627">
        <v>884.00753499999996</v>
      </c>
      <c r="D30" s="627"/>
      <c r="E30" s="627"/>
      <c r="F30" s="627">
        <v>884.00753499999996</v>
      </c>
      <c r="G30" s="679">
        <v>9086.0109025000002</v>
      </c>
    </row>
    <row r="31" spans="1:7" s="331" customFormat="1" ht="9" customHeight="1">
      <c r="A31" s="674"/>
      <c r="B31" s="626" t="s">
        <v>345</v>
      </c>
      <c r="C31" s="627">
        <v>310.04732999999999</v>
      </c>
      <c r="D31" s="627"/>
      <c r="E31" s="627"/>
      <c r="F31" s="627">
        <v>310.04732999999999</v>
      </c>
      <c r="G31" s="679">
        <v>1043.5017499999999</v>
      </c>
    </row>
    <row r="32" spans="1:7" s="331" customFormat="1" ht="9" customHeight="1">
      <c r="A32" s="674"/>
      <c r="B32" s="626" t="s">
        <v>346</v>
      </c>
      <c r="C32" s="627">
        <v>235.04551000000001</v>
      </c>
      <c r="D32" s="627"/>
      <c r="E32" s="627"/>
      <c r="F32" s="627">
        <v>235.04551000000001</v>
      </c>
      <c r="G32" s="679">
        <v>1134.24937</v>
      </c>
    </row>
    <row r="33" spans="1:8" s="331" customFormat="1" ht="9" customHeight="1">
      <c r="A33" s="674"/>
      <c r="B33" s="626" t="s">
        <v>347</v>
      </c>
      <c r="C33" s="627">
        <v>58312.780307499997</v>
      </c>
      <c r="D33" s="627"/>
      <c r="E33" s="627"/>
      <c r="F33" s="627">
        <v>58312.780307499997</v>
      </c>
      <c r="G33" s="679">
        <v>527985.95787749998</v>
      </c>
    </row>
    <row r="34" spans="1:8" s="331" customFormat="1" ht="9" customHeight="1">
      <c r="A34" s="676" t="s">
        <v>542</v>
      </c>
      <c r="B34" s="512"/>
      <c r="C34" s="513">
        <v>138561.93072999996</v>
      </c>
      <c r="D34" s="513"/>
      <c r="E34" s="513"/>
      <c r="F34" s="513">
        <v>138561.93072999996</v>
      </c>
      <c r="G34" s="680">
        <v>1644723.3925925002</v>
      </c>
    </row>
    <row r="35" spans="1:8" s="331" customFormat="1" ht="9" customHeight="1">
      <c r="A35" s="674" t="s">
        <v>109</v>
      </c>
      <c r="B35" s="626" t="s">
        <v>231</v>
      </c>
      <c r="C35" s="627"/>
      <c r="D35" s="627"/>
      <c r="E35" s="627">
        <v>3590.6862624999999</v>
      </c>
      <c r="F35" s="627">
        <v>3590.6862624999999</v>
      </c>
      <c r="G35" s="679">
        <v>29964.048760000001</v>
      </c>
    </row>
    <row r="36" spans="1:8" s="331" customFormat="1" ht="9" customHeight="1">
      <c r="A36" s="676" t="s">
        <v>543</v>
      </c>
      <c r="B36" s="512"/>
      <c r="C36" s="513"/>
      <c r="D36" s="513"/>
      <c r="E36" s="513">
        <v>3590.6862624999999</v>
      </c>
      <c r="F36" s="513">
        <v>3590.6862624999999</v>
      </c>
      <c r="G36" s="680">
        <v>29964.048760000001</v>
      </c>
    </row>
    <row r="37" spans="1:8">
      <c r="A37" s="674" t="s">
        <v>100</v>
      </c>
      <c r="B37" s="626" t="s">
        <v>433</v>
      </c>
      <c r="C37" s="626"/>
      <c r="D37" s="626">
        <v>121054.93062499999</v>
      </c>
      <c r="E37" s="626"/>
      <c r="F37" s="626">
        <v>121054.93062499999</v>
      </c>
      <c r="G37" s="681">
        <v>638577.03128250001</v>
      </c>
    </row>
    <row r="38" spans="1:8">
      <c r="A38" s="676" t="s">
        <v>544</v>
      </c>
      <c r="B38" s="512"/>
      <c r="C38" s="513"/>
      <c r="D38" s="513">
        <v>121054.93062499999</v>
      </c>
      <c r="E38" s="513"/>
      <c r="F38" s="513">
        <v>121054.93062499999</v>
      </c>
      <c r="G38" s="680">
        <v>638577.03128250001</v>
      </c>
    </row>
    <row r="39" spans="1:8">
      <c r="A39" s="682" t="s">
        <v>105</v>
      </c>
      <c r="B39" s="638" t="s">
        <v>348</v>
      </c>
      <c r="C39" s="639"/>
      <c r="D39" s="639">
        <v>0</v>
      </c>
      <c r="E39" s="639"/>
      <c r="F39" s="639">
        <v>0</v>
      </c>
      <c r="G39" s="683">
        <v>15849.4007525</v>
      </c>
    </row>
    <row r="40" spans="1:8">
      <c r="A40" s="684" t="s">
        <v>545</v>
      </c>
      <c r="B40" s="685"/>
      <c r="C40" s="686"/>
      <c r="D40" s="686">
        <v>0</v>
      </c>
      <c r="E40" s="686"/>
      <c r="F40" s="686">
        <v>0</v>
      </c>
      <c r="G40" s="687">
        <v>15849.4007525</v>
      </c>
    </row>
    <row r="41" spans="1:8">
      <c r="A41" s="497" t="s">
        <v>422</v>
      </c>
      <c r="B41" s="497"/>
      <c r="C41" s="496">
        <v>1796305.1493149998</v>
      </c>
      <c r="D41" s="496">
        <v>2105669.5883549997</v>
      </c>
      <c r="E41" s="496">
        <v>377378.23353499995</v>
      </c>
      <c r="F41" s="496">
        <v>4279352.9712049989</v>
      </c>
      <c r="G41" s="640">
        <v>31562483.798849996</v>
      </c>
    </row>
    <row r="42" spans="1:8">
      <c r="A42" s="497" t="s">
        <v>349</v>
      </c>
      <c r="B42" s="497"/>
      <c r="C42" s="498"/>
      <c r="D42" s="498"/>
      <c r="E42" s="533"/>
      <c r="F42" s="499">
        <f>+'3. Tipo Generación'!D14*1000</f>
        <v>2919.7444899999987</v>
      </c>
      <c r="G42" s="641">
        <f>+'4. Tipo Recurso'!$G$21*1000</f>
        <v>36940.887689999996</v>
      </c>
    </row>
    <row r="43" spans="1:8">
      <c r="A43" s="642" t="s">
        <v>350</v>
      </c>
      <c r="B43" s="497"/>
      <c r="C43" s="498"/>
      <c r="D43" s="498"/>
      <c r="E43" s="533"/>
      <c r="F43" s="499"/>
      <c r="G43" s="641"/>
    </row>
    <row r="44" spans="1:8" ht="6.75" customHeight="1">
      <c r="A44" s="643"/>
      <c r="B44" s="643"/>
      <c r="C44" s="643"/>
      <c r="D44" s="643"/>
      <c r="E44" s="643"/>
      <c r="F44" s="643"/>
      <c r="G44" s="643"/>
    </row>
    <row r="45" spans="1:8" ht="23.25" customHeight="1">
      <c r="A45" s="998" t="s">
        <v>480</v>
      </c>
      <c r="B45" s="998"/>
      <c r="C45" s="998"/>
      <c r="D45" s="998"/>
      <c r="E45" s="998"/>
      <c r="F45" s="998"/>
      <c r="G45" s="998"/>
    </row>
    <row r="46" spans="1:8" ht="17.25" customHeight="1">
      <c r="A46" s="706"/>
      <c r="B46" s="706"/>
      <c r="C46" s="706"/>
      <c r="D46" s="706"/>
      <c r="E46" s="706"/>
      <c r="F46" s="706"/>
      <c r="G46" s="706"/>
      <c r="H46" s="46"/>
    </row>
    <row r="47" spans="1:8" ht="17.25" customHeight="1">
      <c r="A47" s="706" t="s">
        <v>578</v>
      </c>
      <c r="B47" s="706"/>
      <c r="C47" s="706"/>
      <c r="D47" s="706"/>
      <c r="E47" s="706"/>
      <c r="F47" s="706"/>
      <c r="G47" s="706"/>
      <c r="H47" s="46"/>
    </row>
    <row r="48" spans="1:8" s="412" customFormat="1" ht="17.25" customHeight="1">
      <c r="A48" s="706" t="s">
        <v>585</v>
      </c>
      <c r="B48" s="706"/>
      <c r="C48" s="706"/>
      <c r="D48" s="706"/>
      <c r="E48" s="706"/>
      <c r="F48" s="706"/>
      <c r="G48" s="706"/>
      <c r="H48" s="46"/>
    </row>
    <row r="49" spans="1:8" ht="17.25" customHeight="1">
      <c r="B49" s="706"/>
      <c r="C49" s="706"/>
      <c r="D49" s="706"/>
      <c r="E49" s="706"/>
      <c r="F49" s="706"/>
      <c r="G49" s="706"/>
      <c r="H49" s="46"/>
    </row>
    <row r="50" spans="1:8" ht="17.25" customHeight="1">
      <c r="A50" s="706"/>
      <c r="B50" s="278"/>
      <c r="C50" s="278"/>
      <c r="D50" s="278"/>
      <c r="E50" s="278"/>
      <c r="F50" s="278"/>
      <c r="G50" s="46"/>
      <c r="H50" s="46"/>
    </row>
    <row r="51" spans="1:8" ht="17.25" customHeight="1">
      <c r="A51" s="706"/>
      <c r="B51" s="278"/>
      <c r="C51" s="278"/>
      <c r="D51" s="278"/>
      <c r="E51" s="278"/>
      <c r="F51" s="278"/>
      <c r="G51" s="46"/>
      <c r="H51" s="46"/>
    </row>
    <row r="52" spans="1:8" ht="22.5" customHeight="1">
      <c r="A52" s="997"/>
      <c r="B52" s="997"/>
      <c r="C52" s="997"/>
      <c r="D52" s="997"/>
      <c r="E52" s="997"/>
      <c r="F52" s="997"/>
      <c r="G52" s="997"/>
    </row>
    <row r="53" spans="1:8" ht="16.5" customHeight="1">
      <c r="A53" s="706"/>
      <c r="B53" s="274"/>
      <c r="C53" s="274"/>
      <c r="D53" s="274"/>
      <c r="E53" s="274"/>
      <c r="F53" s="274"/>
    </row>
    <row r="54" spans="1:8" s="730" customFormat="1" ht="16.5" customHeight="1">
      <c r="A54" s="706"/>
      <c r="B54" s="274"/>
      <c r="C54" s="274"/>
      <c r="D54" s="274"/>
      <c r="E54" s="274"/>
      <c r="F54" s="274"/>
    </row>
    <row r="55" spans="1:8" s="730" customFormat="1" ht="16.5" customHeight="1">
      <c r="A55" s="706"/>
      <c r="B55" s="274"/>
      <c r="C55" s="274"/>
      <c r="D55" s="274"/>
      <c r="E55" s="274"/>
      <c r="F55" s="274"/>
    </row>
    <row r="56" spans="1:8">
      <c r="A56" s="331"/>
      <c r="B56" s="274"/>
      <c r="C56" s="274"/>
      <c r="D56" s="274"/>
      <c r="E56" s="274"/>
      <c r="F56" s="274"/>
    </row>
    <row r="57" spans="1:8">
      <c r="A57" s="331"/>
      <c r="B57" s="274"/>
      <c r="C57" s="274"/>
      <c r="D57" s="274"/>
      <c r="E57" s="274"/>
      <c r="F57" s="274"/>
    </row>
    <row r="58" spans="1:8">
      <c r="A58" s="331"/>
      <c r="B58" s="274"/>
      <c r="C58" s="274"/>
      <c r="D58" s="274"/>
      <c r="E58" s="274"/>
      <c r="F58" s="274"/>
    </row>
    <row r="59" spans="1:8">
      <c r="A59" s="331"/>
      <c r="B59" s="274"/>
      <c r="C59" s="274"/>
      <c r="D59" s="274"/>
      <c r="E59" s="274"/>
      <c r="F59" s="274"/>
    </row>
    <row r="60" spans="1:8">
      <c r="A60" s="331"/>
      <c r="B60" s="274"/>
      <c r="C60" s="274"/>
      <c r="D60" s="274"/>
      <c r="E60" s="274"/>
      <c r="F60" s="274"/>
    </row>
    <row r="61" spans="1:8">
      <c r="A61" s="331"/>
    </row>
    <row r="62" spans="1:8">
      <c r="A62" s="331"/>
    </row>
    <row r="63" spans="1:8">
      <c r="A63" s="331"/>
    </row>
  </sheetData>
  <mergeCells count="7">
    <mergeCell ref="A52:G52"/>
    <mergeCell ref="A45:G4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Normal="100" zoomScaleSheetLayoutView="100" zoomScalePageLayoutView="160" workbookViewId="0">
      <selection activeCell="N25" sqref="N25"/>
    </sheetView>
  </sheetViews>
  <sheetFormatPr defaultColWidth="9.33203125" defaultRowHeight="9"/>
  <cols>
    <col min="1" max="1" width="28.83203125" style="274" customWidth="1"/>
    <col min="2" max="2" width="27.5" style="274" customWidth="1"/>
    <col min="3" max="3" width="17.6640625" style="274" customWidth="1"/>
    <col min="4" max="4" width="18" style="274" customWidth="1"/>
    <col min="5" max="5" width="18.83203125" style="274" customWidth="1"/>
    <col min="6" max="6" width="15.1640625" style="274" customWidth="1"/>
    <col min="7" max="7" width="9.33203125" style="274"/>
    <col min="8" max="8" width="15.6640625" style="274" customWidth="1"/>
    <col min="9" max="9" width="9.33203125" style="274"/>
    <col min="10" max="11" width="9.33203125" style="274" customWidth="1"/>
    <col min="12" max="16384" width="9.33203125" style="274"/>
  </cols>
  <sheetData>
    <row r="1" spans="1:12" ht="11.25" customHeight="1">
      <c r="A1" s="652" t="s">
        <v>353</v>
      </c>
      <c r="B1" s="653"/>
      <c r="C1" s="653"/>
      <c r="D1" s="653"/>
      <c r="E1" s="653"/>
      <c r="F1" s="653"/>
    </row>
    <row r="2" spans="1:12" s="331" customFormat="1" ht="11.25" customHeight="1">
      <c r="A2" s="999" t="s">
        <v>250</v>
      </c>
      <c r="B2" s="1002" t="s">
        <v>54</v>
      </c>
      <c r="C2" s="1002" t="s">
        <v>354</v>
      </c>
      <c r="D2" s="1002"/>
      <c r="E2" s="1002"/>
      <c r="F2" s="1005"/>
      <c r="G2" s="439"/>
      <c r="H2" s="439"/>
      <c r="I2" s="439"/>
      <c r="J2" s="439"/>
      <c r="K2" s="439"/>
    </row>
    <row r="3" spans="1:12" s="331" customFormat="1" ht="11.25" customHeight="1">
      <c r="A3" s="1000"/>
      <c r="B3" s="1003"/>
      <c r="C3" s="500" t="str">
        <f>UPPER('1. Resumen'!Q4)&amp;" "&amp;'1. Resumen'!Q5</f>
        <v>AGOSTO 2020</v>
      </c>
      <c r="D3" s="501" t="str">
        <f>UPPER('1. Resumen'!Q4)&amp;" "&amp;'1. Resumen'!Q5-1</f>
        <v>AGOSTO 2019</v>
      </c>
      <c r="E3" s="501">
        <v>2020</v>
      </c>
      <c r="F3" s="644" t="s">
        <v>479</v>
      </c>
      <c r="G3" s="440"/>
      <c r="H3" s="440"/>
      <c r="I3" s="440"/>
      <c r="J3" s="440"/>
      <c r="K3" s="440"/>
      <c r="L3" s="439"/>
    </row>
    <row r="4" spans="1:12" s="331" customFormat="1" ht="11.25" customHeight="1">
      <c r="A4" s="1000"/>
      <c r="B4" s="1003"/>
      <c r="C4" s="503">
        <f>+'8. Max Potencia'!D8</f>
        <v>44071.791666666664</v>
      </c>
      <c r="D4" s="503">
        <f>+'8. Max Potencia'!E8</f>
        <v>43703.8125</v>
      </c>
      <c r="E4" s="503">
        <f>+'8. Max Potencia'!G8</f>
        <v>43886.8125</v>
      </c>
      <c r="F4" s="645" t="s">
        <v>351</v>
      </c>
      <c r="G4" s="441"/>
      <c r="H4" s="441"/>
      <c r="I4" s="442"/>
      <c r="J4" s="442"/>
      <c r="K4" s="442"/>
      <c r="L4" s="439"/>
    </row>
    <row r="5" spans="1:12" s="331" customFormat="1" ht="11.25" customHeight="1">
      <c r="A5" s="1001"/>
      <c r="B5" s="1004"/>
      <c r="C5" s="647">
        <f>+'8. Max Potencia'!D9</f>
        <v>44071.791666666664</v>
      </c>
      <c r="D5" s="647">
        <f>+'8. Max Potencia'!E9</f>
        <v>43703.8125</v>
      </c>
      <c r="E5" s="647">
        <f>+'8. Max Potencia'!G9</f>
        <v>43886.8125</v>
      </c>
      <c r="F5" s="648" t="s">
        <v>352</v>
      </c>
      <c r="G5" s="441"/>
      <c r="H5" s="441"/>
      <c r="I5" s="441"/>
      <c r="J5" s="441"/>
      <c r="K5" s="441"/>
      <c r="L5" s="443"/>
    </row>
    <row r="6" spans="1:12" s="331" customFormat="1" ht="9" customHeight="1">
      <c r="A6" s="694" t="s">
        <v>121</v>
      </c>
      <c r="B6" s="436" t="s">
        <v>86</v>
      </c>
      <c r="C6" s="444">
        <v>19.217739999999999</v>
      </c>
      <c r="D6" s="786">
        <v>8.4545300000000001</v>
      </c>
      <c r="E6" s="789">
        <v>0</v>
      </c>
      <c r="F6" s="699">
        <f>+IF(D6=0,"",C6/D6-1)</f>
        <v>1.2730701765798926</v>
      </c>
      <c r="G6" s="441"/>
      <c r="H6" s="751"/>
      <c r="I6" s="751"/>
      <c r="J6" s="441"/>
      <c r="K6" s="441"/>
      <c r="L6" s="445"/>
    </row>
    <row r="7" spans="1:12" s="331" customFormat="1" ht="9" customHeight="1">
      <c r="A7" s="676" t="s">
        <v>487</v>
      </c>
      <c r="B7" s="512"/>
      <c r="C7" s="514">
        <v>19.217739999999999</v>
      </c>
      <c r="D7" s="787">
        <v>8.4545300000000001</v>
      </c>
      <c r="E7" s="790">
        <v>0</v>
      </c>
      <c r="F7" s="677">
        <f t="shared" ref="F7:F70" si="0">+IF(D7=0,"",C7/D7-1)</f>
        <v>1.2730701765798926</v>
      </c>
      <c r="G7" s="441"/>
      <c r="H7" s="751"/>
      <c r="I7" s="751"/>
      <c r="J7" s="441"/>
      <c r="K7" s="441"/>
      <c r="L7" s="446"/>
    </row>
    <row r="8" spans="1:12" s="331" customFormat="1" ht="9" customHeight="1">
      <c r="A8" s="694" t="s">
        <v>120</v>
      </c>
      <c r="B8" s="436" t="s">
        <v>63</v>
      </c>
      <c r="C8" s="444">
        <v>3.1625200000000002</v>
      </c>
      <c r="D8" s="786">
        <v>3.0144199999999999</v>
      </c>
      <c r="E8" s="789">
        <v>12.31569</v>
      </c>
      <c r="F8" s="700">
        <f t="shared" si="0"/>
        <v>4.9130512669103954E-2</v>
      </c>
      <c r="G8" s="441"/>
      <c r="H8" s="751"/>
      <c r="I8" s="751"/>
      <c r="J8" s="441"/>
      <c r="K8" s="441"/>
      <c r="L8" s="447"/>
    </row>
    <row r="9" spans="1:12" s="331" customFormat="1" ht="9" customHeight="1">
      <c r="A9" s="676" t="s">
        <v>488</v>
      </c>
      <c r="B9" s="512"/>
      <c r="C9" s="514">
        <v>3.1625200000000002</v>
      </c>
      <c r="D9" s="787">
        <v>3.0144199999999999</v>
      </c>
      <c r="E9" s="790">
        <v>12.31569</v>
      </c>
      <c r="F9" s="677">
        <f t="shared" si="0"/>
        <v>4.9130512669103954E-2</v>
      </c>
      <c r="G9" s="441"/>
      <c r="H9" s="751"/>
      <c r="I9" s="751"/>
      <c r="J9" s="441"/>
      <c r="K9" s="441"/>
      <c r="L9" s="446"/>
    </row>
    <row r="10" spans="1:12" s="331" customFormat="1" ht="9" customHeight="1">
      <c r="A10" s="674" t="s">
        <v>106</v>
      </c>
      <c r="B10" s="626" t="s">
        <v>83</v>
      </c>
      <c r="C10" s="628">
        <v>14.33882</v>
      </c>
      <c r="D10" s="788">
        <v>11.10478</v>
      </c>
      <c r="E10" s="791">
        <v>0</v>
      </c>
      <c r="F10" s="675">
        <f t="shared" si="0"/>
        <v>0.29122954259336975</v>
      </c>
      <c r="G10" s="441"/>
      <c r="H10" s="751"/>
      <c r="I10" s="751"/>
      <c r="J10" s="441"/>
      <c r="K10" s="441"/>
      <c r="L10" s="446"/>
    </row>
    <row r="11" spans="1:12" s="331" customFormat="1" ht="9" customHeight="1">
      <c r="A11" s="676" t="s">
        <v>489</v>
      </c>
      <c r="B11" s="512"/>
      <c r="C11" s="514">
        <v>14.33882</v>
      </c>
      <c r="D11" s="787">
        <v>11.10478</v>
      </c>
      <c r="E11" s="790">
        <v>0</v>
      </c>
      <c r="F11" s="677">
        <f t="shared" si="0"/>
        <v>0.29122954259336975</v>
      </c>
      <c r="G11" s="441"/>
      <c r="H11" s="751"/>
      <c r="I11" s="751"/>
      <c r="J11" s="441"/>
      <c r="K11" s="441"/>
      <c r="L11" s="446"/>
    </row>
    <row r="12" spans="1:12" s="331" customFormat="1" ht="9" customHeight="1">
      <c r="A12" s="674" t="s">
        <v>418</v>
      </c>
      <c r="B12" s="626" t="s">
        <v>420</v>
      </c>
      <c r="C12" s="628">
        <v>20.602629999999998</v>
      </c>
      <c r="D12" s="788">
        <v>18.87162</v>
      </c>
      <c r="E12" s="791">
        <v>20.564639999999997</v>
      </c>
      <c r="F12" s="675">
        <f t="shared" si="0"/>
        <v>9.1725564630911194E-2</v>
      </c>
      <c r="G12" s="441"/>
      <c r="H12" s="751"/>
      <c r="I12" s="751"/>
      <c r="J12" s="441"/>
      <c r="K12" s="441"/>
      <c r="L12" s="446"/>
    </row>
    <row r="13" spans="1:12" s="331" customFormat="1" ht="9" customHeight="1">
      <c r="A13" s="676" t="s">
        <v>490</v>
      </c>
      <c r="B13" s="512"/>
      <c r="C13" s="514">
        <v>20.602629999999998</v>
      </c>
      <c r="D13" s="787">
        <v>18.87162</v>
      </c>
      <c r="E13" s="790">
        <v>20.564639999999997</v>
      </c>
      <c r="F13" s="677">
        <f t="shared" si="0"/>
        <v>9.1725564630911194E-2</v>
      </c>
      <c r="G13" s="441"/>
      <c r="H13" s="751"/>
      <c r="I13" s="751"/>
      <c r="J13" s="441"/>
      <c r="K13" s="441"/>
      <c r="L13" s="446"/>
    </row>
    <row r="14" spans="1:12" s="331" customFormat="1" ht="9" customHeight="1">
      <c r="A14" s="674" t="s">
        <v>457</v>
      </c>
      <c r="B14" s="626" t="s">
        <v>464</v>
      </c>
      <c r="C14" s="628">
        <v>9.59375</v>
      </c>
      <c r="D14" s="788"/>
      <c r="E14" s="791">
        <v>9.125</v>
      </c>
      <c r="F14" s="675" t="str">
        <f t="shared" si="0"/>
        <v/>
      </c>
      <c r="G14" s="441"/>
      <c r="H14" s="751"/>
      <c r="I14" s="751"/>
      <c r="J14" s="441"/>
      <c r="K14" s="441"/>
      <c r="L14" s="446"/>
    </row>
    <row r="15" spans="1:12" s="331" customFormat="1" ht="9" customHeight="1">
      <c r="A15" s="676" t="s">
        <v>491</v>
      </c>
      <c r="B15" s="512"/>
      <c r="C15" s="514">
        <v>9.59375</v>
      </c>
      <c r="D15" s="787"/>
      <c r="E15" s="790">
        <v>9.125</v>
      </c>
      <c r="F15" s="677" t="str">
        <f t="shared" si="0"/>
        <v/>
      </c>
      <c r="G15" s="441"/>
      <c r="H15" s="751"/>
      <c r="I15" s="751"/>
      <c r="J15" s="441"/>
      <c r="K15" s="441"/>
      <c r="L15" s="446"/>
    </row>
    <row r="16" spans="1:12" s="331" customFormat="1" ht="9" customHeight="1">
      <c r="A16" s="674" t="s">
        <v>94</v>
      </c>
      <c r="B16" s="626" t="s">
        <v>281</v>
      </c>
      <c r="C16" s="628">
        <v>95.538979999999995</v>
      </c>
      <c r="D16" s="788">
        <v>149.95659000000001</v>
      </c>
      <c r="E16" s="791">
        <v>209.33445999999998</v>
      </c>
      <c r="F16" s="675">
        <f t="shared" si="0"/>
        <v>-0.3628890867683775</v>
      </c>
      <c r="G16" s="441"/>
      <c r="H16" s="751"/>
      <c r="I16" s="751"/>
      <c r="J16" s="441"/>
      <c r="K16" s="441"/>
      <c r="L16" s="446"/>
    </row>
    <row r="17" spans="1:16" s="331" customFormat="1" ht="9" customHeight="1">
      <c r="A17" s="676" t="s">
        <v>492</v>
      </c>
      <c r="B17" s="512"/>
      <c r="C17" s="514">
        <v>95.538979999999995</v>
      </c>
      <c r="D17" s="787">
        <v>149.95659000000001</v>
      </c>
      <c r="E17" s="790">
        <v>209.33445999999998</v>
      </c>
      <c r="F17" s="677">
        <f t="shared" si="0"/>
        <v>-0.3628890867683775</v>
      </c>
      <c r="G17" s="441"/>
      <c r="H17" s="751"/>
      <c r="I17" s="751"/>
      <c r="J17" s="441"/>
      <c r="K17" s="441"/>
      <c r="L17" s="447"/>
    </row>
    <row r="18" spans="1:16" s="331" customFormat="1" ht="9" customHeight="1">
      <c r="A18" s="674" t="s">
        <v>236</v>
      </c>
      <c r="B18" s="626" t="s">
        <v>282</v>
      </c>
      <c r="C18" s="628">
        <v>0</v>
      </c>
      <c r="D18" s="788">
        <v>0</v>
      </c>
      <c r="E18" s="791">
        <v>0</v>
      </c>
      <c r="F18" s="675" t="str">
        <f t="shared" si="0"/>
        <v/>
      </c>
      <c r="G18" s="441"/>
      <c r="H18" s="751"/>
      <c r="I18" s="751"/>
      <c r="J18" s="441"/>
      <c r="K18" s="441"/>
      <c r="L18" s="447"/>
    </row>
    <row r="19" spans="1:16" s="331" customFormat="1" ht="9" customHeight="1">
      <c r="A19" s="676" t="s">
        <v>493</v>
      </c>
      <c r="B19" s="512"/>
      <c r="C19" s="514">
        <v>0</v>
      </c>
      <c r="D19" s="787">
        <v>0</v>
      </c>
      <c r="E19" s="790">
        <v>0</v>
      </c>
      <c r="F19" s="677" t="str">
        <f t="shared" si="0"/>
        <v/>
      </c>
      <c r="G19" s="441"/>
      <c r="H19" s="751"/>
      <c r="I19" s="751"/>
      <c r="J19" s="441"/>
      <c r="K19" s="441"/>
      <c r="L19" s="447"/>
    </row>
    <row r="20" spans="1:16" s="331" customFormat="1" ht="9" customHeight="1">
      <c r="A20" s="674" t="s">
        <v>93</v>
      </c>
      <c r="B20" s="626" t="s">
        <v>283</v>
      </c>
      <c r="C20" s="628">
        <v>51.589530000000003</v>
      </c>
      <c r="D20" s="788">
        <v>46.347050000000003</v>
      </c>
      <c r="E20" s="791">
        <v>152.27247</v>
      </c>
      <c r="F20" s="675">
        <f t="shared" si="0"/>
        <v>0.11311356386220917</v>
      </c>
      <c r="G20" s="441"/>
      <c r="H20" s="751"/>
      <c r="I20" s="751"/>
      <c r="J20" s="441"/>
      <c r="K20" s="441"/>
      <c r="L20" s="441"/>
      <c r="M20" s="441"/>
      <c r="N20" s="441"/>
      <c r="O20" s="441"/>
      <c r="P20" s="441"/>
    </row>
    <row r="21" spans="1:16" s="331" customFormat="1" ht="9" customHeight="1">
      <c r="A21" s="674"/>
      <c r="B21" s="626" t="s">
        <v>284</v>
      </c>
      <c r="C21" s="628">
        <v>10.04749</v>
      </c>
      <c r="D21" s="788">
        <v>10.64456</v>
      </c>
      <c r="E21" s="791">
        <v>42.53781</v>
      </c>
      <c r="F21" s="675">
        <f t="shared" si="0"/>
        <v>-5.6091562262789663E-2</v>
      </c>
      <c r="G21" s="441"/>
      <c r="H21" s="751"/>
      <c r="I21" s="751"/>
      <c r="J21" s="441"/>
      <c r="K21" s="441"/>
      <c r="L21" s="441"/>
      <c r="M21" s="441"/>
      <c r="N21" s="441"/>
      <c r="O21" s="441"/>
      <c r="P21" s="441"/>
    </row>
    <row r="22" spans="1:16" s="331" customFormat="1" ht="9" customHeight="1">
      <c r="A22" s="676" t="s">
        <v>494</v>
      </c>
      <c r="B22" s="512"/>
      <c r="C22" s="514">
        <v>61.637020000000007</v>
      </c>
      <c r="D22" s="787">
        <v>56.991610000000001</v>
      </c>
      <c r="E22" s="790">
        <v>194.81028000000001</v>
      </c>
      <c r="F22" s="677">
        <f t="shared" si="0"/>
        <v>8.1510418814278118E-2</v>
      </c>
      <c r="G22" s="441"/>
      <c r="H22" s="751"/>
      <c r="I22" s="751"/>
      <c r="J22" s="441"/>
      <c r="K22" s="441"/>
      <c r="L22" s="446"/>
    </row>
    <row r="23" spans="1:16" s="331" customFormat="1" ht="9" customHeight="1">
      <c r="A23" s="674" t="s">
        <v>91</v>
      </c>
      <c r="B23" s="626" t="s">
        <v>285</v>
      </c>
      <c r="C23" s="628">
        <v>1.6244800000000001</v>
      </c>
      <c r="D23" s="788">
        <v>1.6415</v>
      </c>
      <c r="E23" s="791">
        <v>1.5918999999999999</v>
      </c>
      <c r="F23" s="675">
        <f t="shared" si="0"/>
        <v>-1.0368565336582258E-2</v>
      </c>
      <c r="G23" s="441"/>
      <c r="H23" s="751"/>
      <c r="I23" s="751"/>
      <c r="J23" s="441"/>
      <c r="K23" s="441"/>
      <c r="L23" s="446"/>
    </row>
    <row r="24" spans="1:16" s="331" customFormat="1" ht="9" customHeight="1">
      <c r="A24" s="674"/>
      <c r="B24" s="626" t="s">
        <v>286</v>
      </c>
      <c r="C24" s="628">
        <v>0.56899999999999995</v>
      </c>
      <c r="D24" s="788">
        <v>0.57769999999999999</v>
      </c>
      <c r="E24" s="791">
        <v>0.38527999999999996</v>
      </c>
      <c r="F24" s="675">
        <f t="shared" si="0"/>
        <v>-1.5059719577635522E-2</v>
      </c>
      <c r="G24" s="441"/>
      <c r="H24" s="751"/>
      <c r="I24" s="751"/>
      <c r="J24" s="441"/>
      <c r="K24" s="441"/>
      <c r="L24" s="446"/>
    </row>
    <row r="25" spans="1:16" s="331" customFormat="1" ht="9" customHeight="1">
      <c r="A25" s="674"/>
      <c r="B25" s="626" t="s">
        <v>287</v>
      </c>
      <c r="C25" s="628">
        <v>4.6691900000000004</v>
      </c>
      <c r="D25" s="788">
        <v>4.5250500000000002</v>
      </c>
      <c r="E25" s="791">
        <v>4.6962299999999999</v>
      </c>
      <c r="F25" s="675">
        <f t="shared" si="0"/>
        <v>3.1853791670810372E-2</v>
      </c>
      <c r="G25" s="441"/>
      <c r="H25" s="751"/>
      <c r="I25" s="751"/>
      <c r="J25" s="441"/>
      <c r="K25" s="441"/>
      <c r="L25" s="446"/>
    </row>
    <row r="26" spans="1:16" s="331" customFormat="1" ht="9" customHeight="1">
      <c r="A26" s="674"/>
      <c r="B26" s="626" t="s">
        <v>288</v>
      </c>
      <c r="C26" s="628">
        <v>11.800229999999999</v>
      </c>
      <c r="D26" s="788">
        <v>14.645919999999998</v>
      </c>
      <c r="E26" s="791">
        <v>15.07926</v>
      </c>
      <c r="F26" s="675">
        <f t="shared" si="0"/>
        <v>-0.19429916317991625</v>
      </c>
      <c r="G26" s="441"/>
      <c r="H26" s="751"/>
      <c r="I26" s="751"/>
      <c r="J26" s="441"/>
      <c r="K26" s="441"/>
      <c r="L26" s="446"/>
    </row>
    <row r="27" spans="1:16" s="331" customFormat="1" ht="9" customHeight="1">
      <c r="A27" s="674"/>
      <c r="B27" s="626" t="s">
        <v>289</v>
      </c>
      <c r="C27" s="628">
        <v>120.66572000000001</v>
      </c>
      <c r="D27" s="788">
        <v>141.8597</v>
      </c>
      <c r="E27" s="791">
        <v>141.92739999999998</v>
      </c>
      <c r="F27" s="675">
        <f t="shared" si="0"/>
        <v>-0.14940099267092766</v>
      </c>
      <c r="G27" s="441"/>
      <c r="H27" s="751"/>
      <c r="I27" s="751"/>
      <c r="J27" s="441"/>
      <c r="K27" s="441"/>
      <c r="L27" s="446"/>
    </row>
    <row r="28" spans="1:16" s="331" customFormat="1" ht="9" customHeight="1">
      <c r="A28" s="674"/>
      <c r="B28" s="626" t="s">
        <v>290</v>
      </c>
      <c r="C28" s="628">
        <v>6.7952300000000001</v>
      </c>
      <c r="D28" s="788">
        <v>8.8336600000000001</v>
      </c>
      <c r="E28" s="791">
        <v>7.5733499999999996</v>
      </c>
      <c r="F28" s="675">
        <f t="shared" si="0"/>
        <v>-0.23075712671757798</v>
      </c>
      <c r="G28" s="441"/>
      <c r="H28" s="751"/>
      <c r="I28" s="751"/>
      <c r="J28" s="441"/>
      <c r="K28" s="441"/>
      <c r="L28" s="446"/>
    </row>
    <row r="29" spans="1:16" s="331" customFormat="1" ht="9" customHeight="1">
      <c r="A29" s="674"/>
      <c r="B29" s="626" t="s">
        <v>291</v>
      </c>
      <c r="C29" s="628">
        <v>0</v>
      </c>
      <c r="D29" s="788">
        <v>0</v>
      </c>
      <c r="E29" s="791">
        <v>0</v>
      </c>
      <c r="F29" s="675" t="str">
        <f t="shared" si="0"/>
        <v/>
      </c>
      <c r="G29" s="441"/>
      <c r="H29" s="751"/>
      <c r="I29" s="751"/>
      <c r="J29" s="441"/>
      <c r="K29" s="441"/>
      <c r="L29" s="448"/>
    </row>
    <row r="30" spans="1:16" s="331" customFormat="1" ht="9" customHeight="1">
      <c r="A30" s="674"/>
      <c r="B30" s="626" t="s">
        <v>292</v>
      </c>
      <c r="C30" s="628">
        <v>0</v>
      </c>
      <c r="D30" s="788">
        <v>0</v>
      </c>
      <c r="E30" s="791">
        <v>0</v>
      </c>
      <c r="F30" s="675" t="str">
        <f t="shared" si="0"/>
        <v/>
      </c>
      <c r="G30" s="441"/>
      <c r="H30" s="751"/>
      <c r="I30" s="751"/>
      <c r="J30" s="441"/>
      <c r="K30" s="441"/>
      <c r="L30" s="446"/>
    </row>
    <row r="31" spans="1:16" s="331" customFormat="1" ht="9" customHeight="1">
      <c r="A31" s="674"/>
      <c r="B31" s="626" t="s">
        <v>293</v>
      </c>
      <c r="C31" s="628">
        <v>0</v>
      </c>
      <c r="D31" s="788">
        <v>0</v>
      </c>
      <c r="E31" s="791">
        <v>0</v>
      </c>
      <c r="F31" s="675" t="str">
        <f t="shared" si="0"/>
        <v/>
      </c>
      <c r="G31" s="441"/>
      <c r="H31" s="751"/>
      <c r="I31" s="751"/>
      <c r="J31" s="441"/>
      <c r="K31" s="441"/>
      <c r="L31" s="446"/>
    </row>
    <row r="32" spans="1:16" s="331" customFormat="1" ht="9" customHeight="1">
      <c r="A32" s="676" t="s">
        <v>495</v>
      </c>
      <c r="B32" s="512"/>
      <c r="C32" s="514">
        <v>146.12385</v>
      </c>
      <c r="D32" s="787">
        <v>172.08353</v>
      </c>
      <c r="E32" s="790">
        <v>171.25341999999998</v>
      </c>
      <c r="F32" s="677">
        <f t="shared" si="0"/>
        <v>-0.1508551108871371</v>
      </c>
      <c r="G32" s="441"/>
      <c r="H32" s="751"/>
      <c r="I32" s="751"/>
      <c r="J32" s="441"/>
      <c r="K32" s="441"/>
      <c r="L32" s="446"/>
    </row>
    <row r="33" spans="1:12" s="331" customFormat="1" ht="9" customHeight="1">
      <c r="A33" s="674" t="s">
        <v>114</v>
      </c>
      <c r="B33" s="626" t="s">
        <v>70</v>
      </c>
      <c r="C33" s="628">
        <v>5.0324499999999999</v>
      </c>
      <c r="D33" s="788">
        <v>4.0161100000000003</v>
      </c>
      <c r="E33" s="791">
        <v>5.0030000000000001</v>
      </c>
      <c r="F33" s="675">
        <f t="shared" si="0"/>
        <v>0.25306577758079318</v>
      </c>
      <c r="G33" s="441"/>
      <c r="H33" s="751"/>
      <c r="I33" s="751"/>
      <c r="J33" s="441"/>
      <c r="K33" s="441"/>
      <c r="L33" s="448"/>
    </row>
    <row r="34" spans="1:12" s="331" customFormat="1" ht="9" customHeight="1">
      <c r="A34" s="676" t="s">
        <v>496</v>
      </c>
      <c r="B34" s="512"/>
      <c r="C34" s="514">
        <v>5.0324499999999999</v>
      </c>
      <c r="D34" s="787">
        <v>4.0161100000000003</v>
      </c>
      <c r="E34" s="790">
        <v>5.0030000000000001</v>
      </c>
      <c r="F34" s="677">
        <f t="shared" si="0"/>
        <v>0.25306577758079318</v>
      </c>
      <c r="G34" s="441"/>
      <c r="H34" s="751"/>
      <c r="I34" s="751"/>
      <c r="J34" s="441"/>
      <c r="K34" s="441"/>
      <c r="L34" s="446"/>
    </row>
    <row r="35" spans="1:12" s="331" customFormat="1" ht="9" customHeight="1">
      <c r="A35" s="674" t="s">
        <v>92</v>
      </c>
      <c r="B35" s="626" t="s">
        <v>294</v>
      </c>
      <c r="C35" s="628">
        <v>108.31863000000001</v>
      </c>
      <c r="D35" s="788">
        <v>102.22711</v>
      </c>
      <c r="E35" s="791">
        <v>163.44429</v>
      </c>
      <c r="F35" s="675">
        <f t="shared" si="0"/>
        <v>5.9588107303434557E-2</v>
      </c>
      <c r="G35" s="441"/>
      <c r="H35" s="751"/>
      <c r="I35" s="751"/>
      <c r="J35" s="441"/>
      <c r="K35" s="441"/>
      <c r="L35" s="446"/>
    </row>
    <row r="36" spans="1:12" s="331" customFormat="1" ht="9" customHeight="1">
      <c r="A36" s="676" t="s">
        <v>497</v>
      </c>
      <c r="B36" s="512"/>
      <c r="C36" s="514">
        <v>108.31863000000001</v>
      </c>
      <c r="D36" s="787">
        <v>102.22711</v>
      </c>
      <c r="E36" s="790">
        <v>163.44429</v>
      </c>
      <c r="F36" s="677">
        <f t="shared" si="0"/>
        <v>5.9588107303434557E-2</v>
      </c>
      <c r="G36" s="441"/>
      <c r="H36" s="751"/>
      <c r="I36" s="751"/>
      <c r="J36" s="441"/>
      <c r="K36" s="441"/>
      <c r="L36" s="446"/>
    </row>
    <row r="37" spans="1:12" s="331" customFormat="1" ht="9" customHeight="1">
      <c r="A37" s="674" t="s">
        <v>101</v>
      </c>
      <c r="B37" s="626" t="s">
        <v>295</v>
      </c>
      <c r="C37" s="628">
        <v>15.9</v>
      </c>
      <c r="D37" s="788">
        <v>16.193999999999999</v>
      </c>
      <c r="E37" s="791">
        <v>7.4160000000000004</v>
      </c>
      <c r="F37" s="675">
        <f t="shared" si="0"/>
        <v>-1.8154872174879544E-2</v>
      </c>
      <c r="G37" s="441"/>
      <c r="H37" s="751"/>
      <c r="I37" s="751"/>
      <c r="J37" s="441"/>
      <c r="K37" s="441"/>
      <c r="L37" s="446"/>
    </row>
    <row r="38" spans="1:12" s="331" customFormat="1" ht="9" customHeight="1">
      <c r="A38" s="674"/>
      <c r="B38" s="626" t="s">
        <v>296</v>
      </c>
      <c r="C38" s="628">
        <v>10.17</v>
      </c>
      <c r="D38" s="788">
        <v>9.39</v>
      </c>
      <c r="E38" s="791">
        <v>4.2300000000000004</v>
      </c>
      <c r="F38" s="675">
        <f t="shared" si="0"/>
        <v>8.3067092651757157E-2</v>
      </c>
      <c r="G38" s="441"/>
      <c r="H38" s="751"/>
      <c r="I38" s="751"/>
      <c r="J38" s="441"/>
      <c r="K38" s="441"/>
      <c r="L38" s="446"/>
    </row>
    <row r="39" spans="1:12" s="331" customFormat="1" ht="9" customHeight="1">
      <c r="A39" s="674"/>
      <c r="B39" s="626" t="s">
        <v>297</v>
      </c>
      <c r="C39" s="628">
        <v>0</v>
      </c>
      <c r="D39" s="788">
        <v>0</v>
      </c>
      <c r="E39" s="791">
        <v>0</v>
      </c>
      <c r="F39" s="675" t="str">
        <f t="shared" si="0"/>
        <v/>
      </c>
      <c r="G39" s="441"/>
      <c r="H39" s="751"/>
      <c r="I39" s="751"/>
      <c r="J39" s="441"/>
      <c r="K39" s="441"/>
      <c r="L39" s="446"/>
    </row>
    <row r="40" spans="1:12" s="331" customFormat="1" ht="9" customHeight="1">
      <c r="A40" s="676" t="s">
        <v>498</v>
      </c>
      <c r="B40" s="512"/>
      <c r="C40" s="514">
        <v>26.07</v>
      </c>
      <c r="D40" s="787">
        <v>25.584</v>
      </c>
      <c r="E40" s="790">
        <v>11.646000000000001</v>
      </c>
      <c r="F40" s="677">
        <f t="shared" si="0"/>
        <v>1.8996247654784248E-2</v>
      </c>
      <c r="G40" s="441"/>
      <c r="H40" s="751"/>
      <c r="I40" s="751"/>
      <c r="J40" s="441"/>
      <c r="K40" s="441"/>
      <c r="L40" s="446"/>
    </row>
    <row r="41" spans="1:12" s="331" customFormat="1" ht="18" customHeight="1">
      <c r="A41" s="678" t="s">
        <v>453</v>
      </c>
      <c r="B41" s="636" t="s">
        <v>75</v>
      </c>
      <c r="C41" s="793">
        <v>0</v>
      </c>
      <c r="D41" s="794">
        <v>0.69691999999999998</v>
      </c>
      <c r="E41" s="795">
        <v>0.71074000000000004</v>
      </c>
      <c r="F41" s="796">
        <f t="shared" si="0"/>
        <v>-1</v>
      </c>
      <c r="G41" s="441"/>
      <c r="H41" s="751"/>
      <c r="I41" s="751"/>
      <c r="J41" s="441"/>
      <c r="K41" s="441"/>
      <c r="L41" s="446"/>
    </row>
    <row r="42" spans="1:12" s="331" customFormat="1" ht="9" customHeight="1">
      <c r="A42" s="797" t="s">
        <v>499</v>
      </c>
      <c r="B42" s="798"/>
      <c r="C42" s="799">
        <v>0</v>
      </c>
      <c r="D42" s="800">
        <v>0.69691999999999998</v>
      </c>
      <c r="E42" s="801">
        <v>0.71074000000000004</v>
      </c>
      <c r="F42" s="802">
        <f t="shared" si="0"/>
        <v>-1</v>
      </c>
      <c r="G42" s="441"/>
      <c r="H42" s="751"/>
      <c r="I42" s="751"/>
      <c r="J42" s="441"/>
      <c r="K42" s="441"/>
      <c r="L42" s="446"/>
    </row>
    <row r="43" spans="1:12" s="331" customFormat="1" ht="9" customHeight="1">
      <c r="A43" s="792" t="s">
        <v>115</v>
      </c>
      <c r="B43" s="636" t="s">
        <v>73</v>
      </c>
      <c r="C43" s="793">
        <v>0</v>
      </c>
      <c r="D43" s="794">
        <v>2.0775000000000001</v>
      </c>
      <c r="E43" s="795">
        <v>3.7634700000000003</v>
      </c>
      <c r="F43" s="796">
        <f t="shared" si="0"/>
        <v>-1</v>
      </c>
      <c r="G43" s="441"/>
      <c r="H43" s="751"/>
      <c r="I43" s="751"/>
      <c r="J43" s="441"/>
      <c r="K43" s="441"/>
      <c r="L43" s="446"/>
    </row>
    <row r="44" spans="1:12" s="331" customFormat="1" ht="9" customHeight="1">
      <c r="A44" s="797" t="s">
        <v>500</v>
      </c>
      <c r="B44" s="798"/>
      <c r="C44" s="799">
        <v>0</v>
      </c>
      <c r="D44" s="800">
        <v>2.0775000000000001</v>
      </c>
      <c r="E44" s="801">
        <v>3.7634700000000003</v>
      </c>
      <c r="F44" s="802">
        <f t="shared" si="0"/>
        <v>-1</v>
      </c>
      <c r="G44" s="441"/>
      <c r="H44" s="751"/>
      <c r="I44" s="751"/>
      <c r="J44" s="441"/>
      <c r="K44" s="441"/>
      <c r="L44" s="446"/>
    </row>
    <row r="45" spans="1:12" s="331" customFormat="1" ht="9" customHeight="1">
      <c r="A45" s="674" t="s">
        <v>421</v>
      </c>
      <c r="B45" s="626" t="s">
        <v>424</v>
      </c>
      <c r="C45" s="628">
        <v>4.0071399999999997</v>
      </c>
      <c r="D45" s="788">
        <v>4.7752100000000004</v>
      </c>
      <c r="E45" s="791">
        <v>6.8089000000000004</v>
      </c>
      <c r="F45" s="675">
        <f t="shared" si="0"/>
        <v>-0.16084528219701344</v>
      </c>
      <c r="G45" s="441"/>
      <c r="H45" s="751"/>
      <c r="I45" s="751"/>
      <c r="J45" s="441"/>
      <c r="K45" s="441"/>
      <c r="L45" s="446"/>
    </row>
    <row r="46" spans="1:12" s="331" customFormat="1" ht="9" customHeight="1">
      <c r="A46" s="676" t="s">
        <v>501</v>
      </c>
      <c r="B46" s="512"/>
      <c r="C46" s="514">
        <v>4.0071399999999997</v>
      </c>
      <c r="D46" s="787">
        <v>4.7752100000000004</v>
      </c>
      <c r="E46" s="790">
        <v>6.8089000000000004</v>
      </c>
      <c r="F46" s="677">
        <f t="shared" si="0"/>
        <v>-0.16084528219701344</v>
      </c>
      <c r="G46" s="441"/>
      <c r="H46" s="751"/>
      <c r="I46" s="751"/>
      <c r="J46" s="441"/>
      <c r="K46" s="441"/>
      <c r="L46" s="449"/>
    </row>
    <row r="47" spans="1:12" s="331" customFormat="1" ht="9" customHeight="1">
      <c r="A47" s="674" t="s">
        <v>89</v>
      </c>
      <c r="B47" s="626" t="s">
        <v>298</v>
      </c>
      <c r="C47" s="628">
        <v>602.78399999999999</v>
      </c>
      <c r="D47" s="788">
        <v>638.99519999999995</v>
      </c>
      <c r="E47" s="791">
        <v>608.46960000000001</v>
      </c>
      <c r="F47" s="675">
        <f t="shared" si="0"/>
        <v>-5.6668970283344833E-2</v>
      </c>
      <c r="G47" s="441"/>
      <c r="H47" s="751"/>
      <c r="I47" s="751"/>
      <c r="J47" s="441"/>
      <c r="K47" s="441"/>
      <c r="L47" s="446"/>
    </row>
    <row r="48" spans="1:12" s="331" customFormat="1" ht="9" customHeight="1">
      <c r="A48" s="674"/>
      <c r="B48" s="626" t="s">
        <v>299</v>
      </c>
      <c r="C48" s="628">
        <v>201.72288000000003</v>
      </c>
      <c r="D48" s="788">
        <v>211.21727999999999</v>
      </c>
      <c r="E48" s="791">
        <v>199.33823999999998</v>
      </c>
      <c r="F48" s="675">
        <f t="shared" si="0"/>
        <v>-4.4950867656282423E-2</v>
      </c>
      <c r="G48" s="441"/>
      <c r="H48" s="751"/>
      <c r="I48" s="751"/>
      <c r="J48" s="441"/>
      <c r="K48" s="441"/>
      <c r="L48" s="446"/>
    </row>
    <row r="49" spans="1:12" s="331" customFormat="1" ht="9" customHeight="1">
      <c r="A49" s="674"/>
      <c r="B49" s="626" t="s">
        <v>300</v>
      </c>
      <c r="C49" s="628">
        <v>0</v>
      </c>
      <c r="D49" s="788">
        <v>0</v>
      </c>
      <c r="E49" s="791">
        <v>0</v>
      </c>
      <c r="F49" s="675" t="str">
        <f t="shared" si="0"/>
        <v/>
      </c>
      <c r="G49" s="441"/>
      <c r="H49" s="751"/>
      <c r="I49" s="751"/>
      <c r="J49" s="441"/>
      <c r="K49" s="441"/>
      <c r="L49" s="446"/>
    </row>
    <row r="50" spans="1:12" s="331" customFormat="1" ht="9" customHeight="1">
      <c r="A50" s="676" t="s">
        <v>502</v>
      </c>
      <c r="B50" s="512"/>
      <c r="C50" s="514">
        <v>804.50688000000002</v>
      </c>
      <c r="D50" s="787">
        <v>850.21247999999991</v>
      </c>
      <c r="E50" s="790">
        <v>807.80783999999994</v>
      </c>
      <c r="F50" s="677">
        <f t="shared" si="0"/>
        <v>-5.3757855918557973E-2</v>
      </c>
      <c r="G50" s="441"/>
      <c r="H50" s="751"/>
      <c r="I50" s="751"/>
      <c r="J50" s="441"/>
      <c r="K50" s="441"/>
      <c r="L50" s="446"/>
    </row>
    <row r="51" spans="1:12" s="331" customFormat="1" ht="9" customHeight="1">
      <c r="A51" s="674" t="s">
        <v>237</v>
      </c>
      <c r="B51" s="626" t="s">
        <v>301</v>
      </c>
      <c r="C51" s="628">
        <v>202.32660999999999</v>
      </c>
      <c r="D51" s="788">
        <v>147.75326999999999</v>
      </c>
      <c r="E51" s="791">
        <v>456.96001999999999</v>
      </c>
      <c r="F51" s="675">
        <f t="shared" si="0"/>
        <v>0.36935453272878505</v>
      </c>
      <c r="G51" s="441"/>
      <c r="H51" s="751"/>
      <c r="I51" s="751"/>
      <c r="J51" s="441"/>
      <c r="K51" s="441"/>
      <c r="L51" s="446"/>
    </row>
    <row r="52" spans="1:12" s="331" customFormat="1" ht="9" customHeight="1">
      <c r="A52" s="674"/>
      <c r="B52" s="626" t="s">
        <v>302</v>
      </c>
      <c r="C52" s="628">
        <v>0</v>
      </c>
      <c r="D52" s="788">
        <v>6.4134900000000004</v>
      </c>
      <c r="E52" s="791">
        <v>6.4402600000000003</v>
      </c>
      <c r="F52" s="675">
        <f t="shared" si="0"/>
        <v>-1</v>
      </c>
      <c r="G52" s="441"/>
      <c r="H52" s="751"/>
      <c r="I52" s="751"/>
      <c r="J52" s="441"/>
      <c r="K52" s="441"/>
      <c r="L52" s="446"/>
    </row>
    <row r="53" spans="1:12" s="331" customFormat="1" ht="9" customHeight="1">
      <c r="A53" s="676" t="s">
        <v>503</v>
      </c>
      <c r="B53" s="512"/>
      <c r="C53" s="514">
        <v>202.32660999999999</v>
      </c>
      <c r="D53" s="787">
        <v>154.16675999999998</v>
      </c>
      <c r="E53" s="790">
        <v>463.40028000000001</v>
      </c>
      <c r="F53" s="677">
        <f t="shared" si="0"/>
        <v>0.31238802709481606</v>
      </c>
      <c r="G53" s="441"/>
      <c r="H53" s="751"/>
      <c r="I53" s="751"/>
      <c r="J53" s="441"/>
      <c r="K53" s="441"/>
      <c r="L53" s="446"/>
    </row>
    <row r="54" spans="1:12" s="331" customFormat="1" ht="9" customHeight="1">
      <c r="A54" s="674" t="s">
        <v>238</v>
      </c>
      <c r="B54" s="626" t="s">
        <v>303</v>
      </c>
      <c r="C54" s="628">
        <v>86.26097</v>
      </c>
      <c r="D54" s="788">
        <v>72.703100000000006</v>
      </c>
      <c r="E54" s="791">
        <v>82.054190000000006</v>
      </c>
      <c r="F54" s="675">
        <f t="shared" si="0"/>
        <v>0.18648269468564593</v>
      </c>
      <c r="G54" s="441"/>
      <c r="H54" s="751"/>
      <c r="I54" s="751"/>
      <c r="J54" s="441"/>
      <c r="K54" s="441"/>
      <c r="L54" s="446"/>
    </row>
    <row r="55" spans="1:12" s="331" customFormat="1" ht="9" customHeight="1">
      <c r="A55" s="676" t="s">
        <v>504</v>
      </c>
      <c r="B55" s="512"/>
      <c r="C55" s="514">
        <v>86.26097</v>
      </c>
      <c r="D55" s="787">
        <v>72.703100000000006</v>
      </c>
      <c r="E55" s="790">
        <v>82.054190000000006</v>
      </c>
      <c r="F55" s="677">
        <f t="shared" si="0"/>
        <v>0.18648269468564593</v>
      </c>
      <c r="G55" s="441"/>
      <c r="H55" s="751"/>
      <c r="I55" s="751"/>
      <c r="J55" s="441"/>
      <c r="K55" s="441"/>
    </row>
    <row r="56" spans="1:12" s="331" customFormat="1" ht="9" customHeight="1">
      <c r="A56" s="674" t="s">
        <v>455</v>
      </c>
      <c r="B56" s="626" t="s">
        <v>65</v>
      </c>
      <c r="C56" s="628">
        <v>1.2425299999999999</v>
      </c>
      <c r="D56" s="788">
        <v>1.89638</v>
      </c>
      <c r="E56" s="791">
        <v>9.5708000000000002</v>
      </c>
      <c r="F56" s="675">
        <f t="shared" si="0"/>
        <v>-0.34478849175798099</v>
      </c>
      <c r="G56" s="441"/>
      <c r="H56" s="751"/>
      <c r="I56" s="751"/>
      <c r="J56" s="441"/>
      <c r="K56" s="441"/>
    </row>
    <row r="57" spans="1:12" s="331" customFormat="1" ht="9" customHeight="1">
      <c r="A57" s="674"/>
      <c r="B57" s="626" t="s">
        <v>64</v>
      </c>
      <c r="C57" s="628">
        <v>1.32386</v>
      </c>
      <c r="D57" s="788">
        <v>1.7394099999999999</v>
      </c>
      <c r="E57" s="791">
        <v>9.8802299999999992</v>
      </c>
      <c r="F57" s="675">
        <f t="shared" si="0"/>
        <v>-0.23890284636744641</v>
      </c>
      <c r="G57" s="441"/>
      <c r="H57" s="751"/>
      <c r="I57" s="751"/>
      <c r="J57" s="441"/>
      <c r="K57" s="441"/>
    </row>
    <row r="58" spans="1:12" s="331" customFormat="1" ht="9" customHeight="1">
      <c r="A58" s="674"/>
      <c r="B58" s="626" t="s">
        <v>60</v>
      </c>
      <c r="C58" s="628">
        <v>1.9575800000000001</v>
      </c>
      <c r="D58" s="788">
        <v>2.6368399999999999</v>
      </c>
      <c r="E58" s="791">
        <v>17.778849999999998</v>
      </c>
      <c r="F58" s="675">
        <f t="shared" si="0"/>
        <v>-0.25760379848606663</v>
      </c>
      <c r="G58" s="441"/>
      <c r="H58" s="751"/>
      <c r="I58" s="751"/>
      <c r="J58" s="441"/>
      <c r="K58" s="441"/>
    </row>
    <row r="59" spans="1:12" s="331" customFormat="1" ht="9" customHeight="1">
      <c r="A59" s="674"/>
      <c r="B59" s="626" t="s">
        <v>57</v>
      </c>
      <c r="C59" s="628">
        <v>3.21021</v>
      </c>
      <c r="D59" s="788">
        <v>4.5344699999999998</v>
      </c>
      <c r="E59" s="791">
        <v>19.972989999999999</v>
      </c>
      <c r="F59" s="675">
        <f t="shared" si="0"/>
        <v>-0.29204295099537536</v>
      </c>
      <c r="G59" s="441"/>
      <c r="H59" s="751"/>
      <c r="I59" s="751"/>
      <c r="J59" s="441"/>
      <c r="K59" s="441"/>
    </row>
    <row r="60" spans="1:12" s="331" customFormat="1" ht="9" customHeight="1">
      <c r="A60" s="674"/>
      <c r="B60" s="626" t="s">
        <v>68</v>
      </c>
      <c r="C60" s="628">
        <v>1.7821400000000001</v>
      </c>
      <c r="D60" s="788">
        <v>1.10032</v>
      </c>
      <c r="E60" s="791">
        <v>5.2609300000000001</v>
      </c>
      <c r="F60" s="675">
        <f t="shared" si="0"/>
        <v>0.61965610004362381</v>
      </c>
      <c r="G60" s="441"/>
      <c r="H60" s="751"/>
      <c r="I60" s="751"/>
      <c r="J60" s="441"/>
      <c r="K60" s="441"/>
    </row>
    <row r="61" spans="1:12" s="331" customFormat="1" ht="9" customHeight="1">
      <c r="A61" s="674"/>
      <c r="B61" s="626" t="s">
        <v>67</v>
      </c>
      <c r="C61" s="628">
        <v>2.22268</v>
      </c>
      <c r="D61" s="788">
        <v>1.34199</v>
      </c>
      <c r="E61" s="791">
        <v>6.0351100000000004</v>
      </c>
      <c r="F61" s="675">
        <f t="shared" si="0"/>
        <v>0.65625675303094666</v>
      </c>
      <c r="G61" s="441"/>
      <c r="H61" s="751"/>
      <c r="I61" s="751"/>
      <c r="J61" s="441"/>
      <c r="K61" s="441"/>
    </row>
    <row r="62" spans="1:12" s="331" customFormat="1" ht="9" customHeight="1">
      <c r="A62" s="676" t="s">
        <v>505</v>
      </c>
      <c r="B62" s="512"/>
      <c r="C62" s="514">
        <v>11.739000000000001</v>
      </c>
      <c r="D62" s="787">
        <v>13.249409999999997</v>
      </c>
      <c r="E62" s="790">
        <v>68.498909999999995</v>
      </c>
      <c r="F62" s="677">
        <f t="shared" si="0"/>
        <v>-0.11399828369716059</v>
      </c>
      <c r="G62" s="441"/>
      <c r="H62" s="751"/>
      <c r="I62" s="751"/>
      <c r="J62" s="441"/>
      <c r="K62" s="441"/>
    </row>
    <row r="63" spans="1:12" s="331" customFormat="1" ht="9" customHeight="1">
      <c r="A63" s="674" t="s">
        <v>88</v>
      </c>
      <c r="B63" s="626" t="s">
        <v>465</v>
      </c>
      <c r="C63" s="628">
        <v>71.96754</v>
      </c>
      <c r="D63" s="788">
        <v>67.366320000000002</v>
      </c>
      <c r="E63" s="791">
        <v>77.121329999999986</v>
      </c>
      <c r="F63" s="675">
        <f t="shared" si="0"/>
        <v>6.830148952770454E-2</v>
      </c>
      <c r="G63" s="441"/>
      <c r="H63" s="751"/>
      <c r="I63" s="751"/>
      <c r="J63" s="441"/>
      <c r="K63" s="441"/>
    </row>
    <row r="64" spans="1:12" s="331" customFormat="1" ht="9" customHeight="1">
      <c r="A64" s="674"/>
      <c r="B64" s="626" t="s">
        <v>304</v>
      </c>
      <c r="C64" s="628">
        <v>26.611840000000001</v>
      </c>
      <c r="D64" s="788">
        <v>27.272690000000001</v>
      </c>
      <c r="E64" s="791">
        <v>29.280889999999999</v>
      </c>
      <c r="F64" s="675">
        <f t="shared" si="0"/>
        <v>-2.4231199782639656E-2</v>
      </c>
      <c r="G64" s="441"/>
      <c r="H64" s="751"/>
      <c r="I64" s="751"/>
      <c r="J64" s="441"/>
      <c r="K64" s="441"/>
    </row>
    <row r="65" spans="1:11" s="331" customFormat="1" ht="9" customHeight="1">
      <c r="A65" s="674"/>
      <c r="B65" s="626" t="s">
        <v>305</v>
      </c>
      <c r="C65" s="628">
        <v>195.89406</v>
      </c>
      <c r="D65" s="788">
        <v>189.75693000000001</v>
      </c>
      <c r="E65" s="791">
        <v>143.52339000000001</v>
      </c>
      <c r="F65" s="675">
        <f t="shared" si="0"/>
        <v>3.2342059918444077E-2</v>
      </c>
      <c r="G65" s="441"/>
      <c r="H65" s="751"/>
      <c r="I65" s="751"/>
      <c r="J65" s="441"/>
      <c r="K65" s="441"/>
    </row>
    <row r="66" spans="1:11" s="331" customFormat="1" ht="9" customHeight="1">
      <c r="A66" s="674"/>
      <c r="B66" s="626" t="s">
        <v>306</v>
      </c>
      <c r="C66" s="628">
        <v>90.090310000000002</v>
      </c>
      <c r="D66" s="788">
        <v>87.303030000000007</v>
      </c>
      <c r="E66" s="791">
        <v>129.2527</v>
      </c>
      <c r="F66" s="675">
        <f t="shared" si="0"/>
        <v>3.1926497854656288E-2</v>
      </c>
      <c r="G66" s="441"/>
      <c r="H66" s="752"/>
      <c r="I66" s="751"/>
      <c r="J66" s="441"/>
      <c r="K66" s="441"/>
    </row>
    <row r="67" spans="1:11" s="331" customFormat="1" ht="9" customHeight="1">
      <c r="A67" s="674"/>
      <c r="B67" s="626" t="s">
        <v>307</v>
      </c>
      <c r="C67" s="628">
        <v>62.190979999999996</v>
      </c>
      <c r="D67" s="788">
        <v>64.614199999999997</v>
      </c>
      <c r="E67" s="791">
        <v>65.20911000000001</v>
      </c>
      <c r="F67" s="675">
        <f t="shared" si="0"/>
        <v>-3.7502901838914693E-2</v>
      </c>
      <c r="G67" s="441"/>
      <c r="H67" s="752"/>
      <c r="I67" s="751"/>
      <c r="J67" s="441"/>
      <c r="K67" s="441"/>
    </row>
    <row r="68" spans="1:11" s="331" customFormat="1" ht="9" customHeight="1">
      <c r="A68" s="674"/>
      <c r="B68" s="626" t="s">
        <v>308</v>
      </c>
      <c r="C68" s="628">
        <v>0</v>
      </c>
      <c r="D68" s="788">
        <v>0</v>
      </c>
      <c r="E68" s="791">
        <v>0</v>
      </c>
      <c r="F68" s="675" t="str">
        <f t="shared" si="0"/>
        <v/>
      </c>
      <c r="G68" s="450"/>
      <c r="H68" s="752"/>
      <c r="I68" s="751"/>
      <c r="J68" s="441"/>
      <c r="K68" s="441"/>
    </row>
    <row r="69" spans="1:11" s="331" customFormat="1" ht="9" customHeight="1">
      <c r="A69" s="674"/>
      <c r="B69" s="626" t="s">
        <v>309</v>
      </c>
      <c r="C69" s="628">
        <v>0</v>
      </c>
      <c r="D69" s="788">
        <v>191.32777999999999</v>
      </c>
      <c r="E69" s="791">
        <v>0</v>
      </c>
      <c r="F69" s="675">
        <f t="shared" si="0"/>
        <v>-1</v>
      </c>
      <c r="G69" s="450"/>
      <c r="H69" s="752"/>
      <c r="I69" s="751"/>
      <c r="J69" s="441"/>
      <c r="K69" s="441"/>
    </row>
    <row r="70" spans="1:11" s="331" customFormat="1" ht="9" customHeight="1">
      <c r="A70" s="674"/>
      <c r="B70" s="626" t="s">
        <v>310</v>
      </c>
      <c r="C70" s="628">
        <v>464.55409999999995</v>
      </c>
      <c r="D70" s="788">
        <v>455.15858000000003</v>
      </c>
      <c r="E70" s="791">
        <v>206.59643</v>
      </c>
      <c r="F70" s="675">
        <f t="shared" si="0"/>
        <v>2.0642300096814337E-2</v>
      </c>
      <c r="G70" s="450"/>
      <c r="H70" s="752"/>
      <c r="I70" s="751"/>
      <c r="J70" s="441"/>
      <c r="K70" s="441"/>
    </row>
    <row r="71" spans="1:11" s="331" customFormat="1" ht="9" customHeight="1">
      <c r="A71" s="674"/>
      <c r="B71" s="626" t="s">
        <v>416</v>
      </c>
      <c r="C71" s="628">
        <v>0.51522000000000001</v>
      </c>
      <c r="D71" s="788">
        <v>0.66276000000000002</v>
      </c>
      <c r="E71" s="791">
        <v>0.64692000000000005</v>
      </c>
      <c r="F71" s="675">
        <f t="shared" ref="F71:F79" si="1">+IF(D71=0,"",C71/D71-1)</f>
        <v>-0.22261452109360857</v>
      </c>
      <c r="G71" s="450"/>
      <c r="H71" s="751"/>
      <c r="I71" s="751"/>
      <c r="J71" s="441"/>
      <c r="K71" s="441"/>
    </row>
    <row r="72" spans="1:11" s="331" customFormat="1" ht="9" customHeight="1">
      <c r="A72" s="676" t="s">
        <v>506</v>
      </c>
      <c r="B72" s="512"/>
      <c r="C72" s="514">
        <v>911.82404999999994</v>
      </c>
      <c r="D72" s="787">
        <v>1083.4622899999999</v>
      </c>
      <c r="E72" s="790">
        <v>651.6307700000001</v>
      </c>
      <c r="F72" s="677">
        <f t="shared" si="1"/>
        <v>-0.15841644105583041</v>
      </c>
      <c r="G72" s="450"/>
      <c r="H72" s="751"/>
      <c r="I72" s="751"/>
      <c r="J72" s="441"/>
      <c r="K72" s="441"/>
    </row>
    <row r="73" spans="1:11" s="331" customFormat="1" ht="9" customHeight="1">
      <c r="A73" s="674" t="s">
        <v>96</v>
      </c>
      <c r="B73" s="626" t="s">
        <v>311</v>
      </c>
      <c r="C73" s="628">
        <v>0</v>
      </c>
      <c r="D73" s="788">
        <v>0</v>
      </c>
      <c r="E73" s="791">
        <v>0</v>
      </c>
      <c r="F73" s="675" t="str">
        <f t="shared" si="1"/>
        <v/>
      </c>
      <c r="G73" s="441"/>
      <c r="H73" s="751"/>
      <c r="I73" s="751"/>
      <c r="J73" s="441"/>
      <c r="K73" s="441"/>
    </row>
    <row r="74" spans="1:11" s="331" customFormat="1" ht="9" customHeight="1">
      <c r="A74" s="674"/>
      <c r="B74" s="626" t="s">
        <v>312</v>
      </c>
      <c r="C74" s="628">
        <v>91.420199999999994</v>
      </c>
      <c r="D74" s="788">
        <v>91.368700000000004</v>
      </c>
      <c r="E74" s="791">
        <v>0</v>
      </c>
      <c r="F74" s="675">
        <f t="shared" si="1"/>
        <v>5.6365035291072729E-4</v>
      </c>
      <c r="G74" s="441"/>
      <c r="H74" s="751"/>
      <c r="I74" s="751"/>
      <c r="J74" s="441"/>
      <c r="K74" s="441"/>
    </row>
    <row r="75" spans="1:11" s="331" customFormat="1" ht="9" customHeight="1">
      <c r="A75" s="674"/>
      <c r="B75" s="626" t="s">
        <v>313</v>
      </c>
      <c r="C75" s="628">
        <v>0</v>
      </c>
      <c r="D75" s="788">
        <v>0</v>
      </c>
      <c r="E75" s="791">
        <v>85.36421</v>
      </c>
      <c r="F75" s="675" t="str">
        <f t="shared" si="1"/>
        <v/>
      </c>
      <c r="G75" s="441"/>
      <c r="H75" s="751"/>
      <c r="I75" s="751"/>
      <c r="J75" s="441"/>
      <c r="K75" s="441"/>
    </row>
    <row r="76" spans="1:11" s="331" customFormat="1" ht="9" customHeight="1">
      <c r="A76" s="676" t="s">
        <v>507</v>
      </c>
      <c r="B76" s="512"/>
      <c r="C76" s="514">
        <v>91.420199999999994</v>
      </c>
      <c r="D76" s="787">
        <v>91.368700000000004</v>
      </c>
      <c r="E76" s="790">
        <v>85.36421</v>
      </c>
      <c r="F76" s="677">
        <f t="shared" si="1"/>
        <v>5.6365035291072729E-4</v>
      </c>
      <c r="G76" s="451"/>
      <c r="H76" s="751"/>
      <c r="I76" s="751"/>
      <c r="J76" s="441"/>
      <c r="K76" s="441"/>
    </row>
    <row r="77" spans="1:11" s="331" customFormat="1" ht="9" customHeight="1">
      <c r="A77" s="674" t="s">
        <v>98</v>
      </c>
      <c r="B77" s="626" t="s">
        <v>427</v>
      </c>
      <c r="C77" s="628">
        <v>0</v>
      </c>
      <c r="D77" s="788">
        <v>0</v>
      </c>
      <c r="E77" s="791">
        <v>0</v>
      </c>
      <c r="F77" s="675" t="str">
        <f t="shared" si="1"/>
        <v/>
      </c>
      <c r="G77" s="451"/>
      <c r="H77" s="274"/>
      <c r="I77" s="751"/>
      <c r="J77" s="441"/>
      <c r="K77" s="441"/>
    </row>
    <row r="78" spans="1:11" s="331" customFormat="1" ht="9" customHeight="1">
      <c r="A78" s="674"/>
      <c r="B78" s="626" t="s">
        <v>426</v>
      </c>
      <c r="C78" s="628">
        <v>129.74404999999999</v>
      </c>
      <c r="D78" s="788">
        <v>124.61897999999999</v>
      </c>
      <c r="E78" s="791">
        <v>117.34313</v>
      </c>
      <c r="F78" s="675">
        <f t="shared" si="1"/>
        <v>4.1125918379367299E-2</v>
      </c>
      <c r="G78" s="451"/>
      <c r="H78" s="274"/>
      <c r="I78" s="751"/>
      <c r="J78" s="441"/>
      <c r="K78" s="441"/>
    </row>
    <row r="79" spans="1:11" s="331" customFormat="1" ht="9" customHeight="1">
      <c r="A79" s="676" t="s">
        <v>508</v>
      </c>
      <c r="B79" s="512"/>
      <c r="C79" s="514">
        <v>129.74404999999999</v>
      </c>
      <c r="D79" s="787">
        <v>124.61897999999999</v>
      </c>
      <c r="E79" s="790">
        <v>117.34313</v>
      </c>
      <c r="F79" s="677">
        <f t="shared" si="1"/>
        <v>4.1125918379367299E-2</v>
      </c>
      <c r="H79" s="274"/>
      <c r="I79" s="751"/>
      <c r="J79" s="441"/>
      <c r="K79" s="441"/>
    </row>
    <row r="80" spans="1:11" s="331" customFormat="1" ht="10.5" customHeight="1"/>
    <row r="81" s="331" customFormat="1" ht="10.5" customHeight="1"/>
    <row r="82" s="331" customFormat="1" ht="10.5" customHeight="1"/>
    <row r="83" s="331" customFormat="1" ht="10.5" customHeight="1"/>
    <row r="84" s="331" customFormat="1" ht="10.5" customHeight="1"/>
    <row r="85" s="331" customFormat="1" ht="10.5" customHeight="1"/>
    <row r="86" s="331" customFormat="1" ht="10.5" customHeight="1"/>
    <row r="87" s="331" customFormat="1" ht="10.5" customHeight="1"/>
    <row r="88" s="331" customFormat="1" ht="10.5" customHeight="1"/>
    <row r="89" s="331" customFormat="1" ht="10.5" customHeight="1"/>
    <row r="90" s="331" customFormat="1" ht="10.5" customHeight="1"/>
    <row r="91" s="331" customFormat="1" ht="10.5" customHeight="1"/>
    <row r="92" s="331" customFormat="1" ht="10.5" customHeight="1"/>
    <row r="93" s="331" customFormat="1" ht="10.5" customHeight="1"/>
    <row r="94" s="331" customFormat="1" ht="10.5" customHeight="1"/>
    <row r="95" s="331" customFormat="1" ht="10.5" customHeight="1"/>
    <row r="96" s="331" customFormat="1" ht="10.5" customHeight="1"/>
    <row r="97" s="331" customFormat="1" ht="10.5" customHeight="1"/>
    <row r="98" s="331" customFormat="1" ht="10.5" customHeight="1"/>
    <row r="99" s="331" customFormat="1" ht="10.5" customHeight="1"/>
    <row r="100" s="331" customFormat="1" ht="10.5" customHeight="1"/>
    <row r="101" s="331" customFormat="1" ht="10.5" customHeight="1"/>
    <row r="102" s="331" customFormat="1" ht="10.5" customHeight="1"/>
    <row r="103" s="331" customFormat="1" ht="10.5" customHeight="1"/>
    <row r="104" s="331" customFormat="1" ht="10.5" customHeight="1"/>
    <row r="105" s="331" customFormat="1" ht="10.5" customHeight="1"/>
    <row r="106" s="331" customFormat="1" ht="10.5" customHeight="1"/>
    <row r="107" s="331" customFormat="1" ht="10.5" customHeight="1"/>
    <row r="108" s="331" customFormat="1" ht="10.5" customHeight="1"/>
    <row r="109" s="331" customFormat="1" ht="10.5" customHeight="1"/>
    <row r="110" s="331" customFormat="1" ht="10.5" customHeight="1"/>
    <row r="111" s="331" customFormat="1" ht="10.5" customHeight="1"/>
    <row r="112" s="331" customFormat="1" ht="10.5" customHeight="1"/>
    <row r="113" s="331" customFormat="1" ht="10.5" customHeight="1"/>
    <row r="114" s="331" customFormat="1" ht="10.5" customHeight="1"/>
    <row r="115" s="331" customFormat="1" ht="10.5" customHeight="1"/>
    <row r="116" s="331" customFormat="1" ht="10.5" customHeight="1"/>
    <row r="117" s="331" customFormat="1" ht="10.5" customHeight="1"/>
    <row r="118" s="331" customFormat="1" ht="10.5" customHeight="1"/>
    <row r="119" s="331" customFormat="1" ht="10.5" customHeight="1"/>
    <row r="120" s="331" customFormat="1" ht="10.5" customHeight="1"/>
    <row r="121" s="331" customFormat="1" ht="10.5" customHeight="1"/>
    <row r="122" s="331" customFormat="1" ht="10.5" customHeight="1"/>
    <row r="123" s="331" customFormat="1" ht="10.5" customHeight="1"/>
    <row r="124" s="331" customFormat="1" ht="10.5" customHeight="1"/>
    <row r="125" s="331" customFormat="1" ht="10.5" customHeight="1"/>
    <row r="126" s="331" customFormat="1" ht="10.5" customHeight="1"/>
    <row r="127" s="331" customFormat="1" ht="10.5" customHeight="1"/>
    <row r="128" s="331" customFormat="1" ht="10.5" customHeight="1"/>
    <row r="129" s="331" customFormat="1" ht="10.5" customHeight="1"/>
    <row r="130" s="331" customFormat="1" ht="10.5" customHeight="1"/>
    <row r="131" s="331" customFormat="1" ht="10.5" customHeight="1"/>
    <row r="132" s="331" customFormat="1" ht="10.5" customHeight="1"/>
    <row r="133" s="331" customFormat="1" ht="10.5" customHeight="1"/>
    <row r="134" s="331" customFormat="1" ht="10.5" customHeight="1"/>
    <row r="135" s="331" customFormat="1" ht="10.5" customHeight="1"/>
    <row r="136" s="331" customFormat="1" ht="10.5" customHeight="1"/>
    <row r="137" s="331" customFormat="1" ht="10.5" customHeight="1"/>
    <row r="138" s="331" customFormat="1" ht="10.5" customHeight="1"/>
    <row r="139" s="331" customFormat="1" ht="10.5" customHeight="1"/>
    <row r="140" s="331" customFormat="1" ht="10.5" customHeight="1"/>
    <row r="141" s="331" customFormat="1" ht="10.5" customHeight="1"/>
    <row r="142" s="331" customFormat="1" ht="10.5" customHeight="1"/>
    <row r="143" s="331" customFormat="1" ht="10.5" customHeight="1"/>
    <row r="144" s="331" customFormat="1" ht="10.5" customHeight="1"/>
    <row r="145" s="331" customFormat="1" ht="10.5" customHeight="1"/>
    <row r="146" s="331" customFormat="1" ht="10.5" customHeight="1"/>
    <row r="147" s="331" customFormat="1" ht="10.5" customHeight="1"/>
    <row r="148" s="331" customFormat="1" ht="10.5" customHeight="1"/>
    <row r="149" s="331" customFormat="1" ht="10.5" customHeight="1"/>
    <row r="150" s="331" customFormat="1" ht="10.5" customHeight="1"/>
    <row r="151" s="331" customFormat="1" ht="10.5" customHeight="1"/>
    <row r="152" s="331" customFormat="1" ht="10.5" customHeight="1"/>
    <row r="153" s="331" customFormat="1" ht="10.5" customHeight="1"/>
    <row r="154" s="331" customFormat="1" ht="10.5" customHeight="1"/>
    <row r="155" s="331" customFormat="1" ht="10.5" customHeight="1"/>
    <row r="156" s="331" customFormat="1" ht="10.5" customHeight="1"/>
    <row r="157" s="331" customFormat="1" ht="10.5" customHeight="1"/>
    <row r="158" s="331" customFormat="1" ht="10.5" customHeight="1"/>
    <row r="159" s="331" customFormat="1" ht="10.5" customHeight="1"/>
    <row r="160" s="331" customFormat="1" ht="10.5" customHeight="1"/>
    <row r="161" s="331" customFormat="1" ht="10.5" customHeight="1"/>
    <row r="162" s="331" customFormat="1" ht="10.5" customHeight="1"/>
    <row r="163" s="331" customFormat="1" ht="10.5" customHeight="1"/>
    <row r="164" s="331" customFormat="1" ht="10.5" customHeight="1"/>
    <row r="165" s="331" customFormat="1" ht="10.5" customHeight="1"/>
    <row r="166" s="331" customFormat="1" ht="10.5" customHeight="1"/>
    <row r="167" s="331" customFormat="1" ht="10.5" customHeight="1"/>
    <row r="168" s="331" customFormat="1" ht="10.5" customHeight="1"/>
    <row r="169" s="331" customFormat="1" ht="8.25"/>
    <row r="170" s="331" customFormat="1" ht="8.25"/>
    <row r="171" s="331" customFormat="1" ht="8.25"/>
    <row r="172" s="331" customFormat="1" ht="8.25"/>
    <row r="173" s="331" customFormat="1" ht="8.25"/>
    <row r="174" s="331" customFormat="1" ht="8.25"/>
    <row r="175" s="331" customFormat="1" ht="8.25"/>
    <row r="176" s="331" customFormat="1" ht="8.25"/>
    <row r="177" s="331" customFormat="1" ht="8.25"/>
    <row r="178" s="331" customFormat="1" ht="8.25"/>
    <row r="179" s="331" customFormat="1" ht="8.25"/>
    <row r="180" s="331" customFormat="1" ht="8.25"/>
    <row r="181" s="331" customFormat="1" ht="8.25"/>
    <row r="182" s="331" customFormat="1" ht="8.25"/>
    <row r="183" s="331" customFormat="1" ht="8.25"/>
    <row r="184" s="331" customFormat="1" ht="8.25"/>
    <row r="185" s="331" customFormat="1" ht="8.25"/>
    <row r="186" s="331" customFormat="1" ht="8.25"/>
    <row r="187" s="331" customFormat="1" ht="8.25"/>
    <row r="188" s="331" customFormat="1" ht="8.25"/>
    <row r="189" s="331"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 Agosto 2020
INFSGI-MES-08-2020
14/09/2020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3"/>
  <sheetViews>
    <sheetView showGridLines="0" view="pageBreakPreview" zoomScale="115" zoomScaleNormal="100" zoomScaleSheetLayoutView="115" zoomScalePageLayoutView="160" workbookViewId="0">
      <selection activeCell="N25" sqref="N25"/>
    </sheetView>
  </sheetViews>
  <sheetFormatPr defaultColWidth="9.33203125" defaultRowHeight="9"/>
  <cols>
    <col min="1" max="1" width="28.6640625" style="274" customWidth="1"/>
    <col min="2" max="2" width="22.1640625" style="274" customWidth="1"/>
    <col min="3" max="4" width="17.6640625" style="274" customWidth="1"/>
    <col min="5" max="5" width="15.1640625" style="274" customWidth="1"/>
    <col min="6" max="6" width="13.33203125" style="274" customWidth="1"/>
    <col min="7" max="7" width="6.33203125" style="274" customWidth="1"/>
    <col min="8" max="16384" width="9.33203125" style="274"/>
  </cols>
  <sheetData>
    <row r="1" spans="1:11" s="331" customFormat="1" ht="11.25" customHeight="1">
      <c r="A1" s="1006" t="s">
        <v>250</v>
      </c>
      <c r="B1" s="1008" t="s">
        <v>54</v>
      </c>
      <c r="C1" s="1008" t="s">
        <v>354</v>
      </c>
      <c r="D1" s="1008"/>
      <c r="E1" s="1008"/>
      <c r="F1" s="1010"/>
      <c r="G1" s="439"/>
    </row>
    <row r="2" spans="1:11" s="331" customFormat="1" ht="11.25" customHeight="1">
      <c r="A2" s="1000"/>
      <c r="B2" s="1003"/>
      <c r="C2" s="500" t="str">
        <f>UPPER('1. Resumen'!Q4)&amp;" "&amp;'1. Resumen'!Q5</f>
        <v>AGOSTO 2020</v>
      </c>
      <c r="D2" s="501" t="str">
        <f>UPPER('1. Resumen'!Q4)&amp;" "&amp;'1. Resumen'!Q5-1</f>
        <v>AGOSTO 2019</v>
      </c>
      <c r="E2" s="502" t="str">
        <f>UPPER('1. Resumen'!Q4)&amp;" "&amp;'1. Resumen'!Q5</f>
        <v>AGOSTO 2020</v>
      </c>
      <c r="F2" s="644" t="s">
        <v>479</v>
      </c>
      <c r="G2" s="440"/>
      <c r="H2" s="439"/>
    </row>
    <row r="3" spans="1:11" s="331" customFormat="1" ht="11.25" customHeight="1">
      <c r="A3" s="1000"/>
      <c r="B3" s="1003"/>
      <c r="C3" s="503">
        <f>'21. ANEXOII-1'!C4</f>
        <v>44071.791666666664</v>
      </c>
      <c r="D3" s="503">
        <f>'21. ANEXOII-1'!D4</f>
        <v>43703.8125</v>
      </c>
      <c r="E3" s="503">
        <f>'21. ANEXOII-1'!E4</f>
        <v>43886.8125</v>
      </c>
      <c r="F3" s="645" t="s">
        <v>351</v>
      </c>
      <c r="G3" s="441"/>
      <c r="H3" s="439"/>
    </row>
    <row r="4" spans="1:11" s="331" customFormat="1" ht="9" customHeight="1">
      <c r="A4" s="1007"/>
      <c r="B4" s="1009"/>
      <c r="C4" s="504">
        <f>+'8. Max Potencia'!D9</f>
        <v>44071.791666666664</v>
      </c>
      <c r="D4" s="504">
        <f>+'8. Max Potencia'!E9</f>
        <v>43703.8125</v>
      </c>
      <c r="E4" s="504">
        <f>+'21. ANEXOII-1'!E5</f>
        <v>43886.8125</v>
      </c>
      <c r="F4" s="646" t="s">
        <v>352</v>
      </c>
      <c r="G4" s="441"/>
      <c r="H4" s="443"/>
    </row>
    <row r="5" spans="1:11" s="331" customFormat="1" ht="9" customHeight="1">
      <c r="A5" s="674" t="s">
        <v>97</v>
      </c>
      <c r="B5" s="626" t="s">
        <v>77</v>
      </c>
      <c r="C5" s="628">
        <v>77.706159999999997</v>
      </c>
      <c r="D5" s="628">
        <v>64.824209999999994</v>
      </c>
      <c r="E5" s="791">
        <v>55.955019999999998</v>
      </c>
      <c r="F5" s="675">
        <f t="shared" ref="F5:F72" si="0">+IF(D5=0,"",C5/D5-1)</f>
        <v>0.19872128021305624</v>
      </c>
      <c r="J5" s="530"/>
      <c r="K5" s="530"/>
    </row>
    <row r="6" spans="1:11" s="331" customFormat="1" ht="9" customHeight="1">
      <c r="A6" s="674"/>
      <c r="B6" s="626" t="s">
        <v>79</v>
      </c>
      <c r="C6" s="628">
        <v>25.317689999999999</v>
      </c>
      <c r="D6" s="628">
        <v>22.812519999999999</v>
      </c>
      <c r="E6" s="791">
        <v>8.1275399999999998</v>
      </c>
      <c r="F6" s="675">
        <f t="shared" si="0"/>
        <v>0.1098155749562082</v>
      </c>
      <c r="J6" s="530"/>
      <c r="K6" s="530"/>
    </row>
    <row r="7" spans="1:11" s="331" customFormat="1" ht="9" customHeight="1">
      <c r="A7" s="676" t="s">
        <v>509</v>
      </c>
      <c r="B7" s="512"/>
      <c r="C7" s="514">
        <v>103.02385</v>
      </c>
      <c r="D7" s="514">
        <v>87.63673</v>
      </c>
      <c r="E7" s="790">
        <v>64.082560000000001</v>
      </c>
      <c r="F7" s="677">
        <f t="shared" si="0"/>
        <v>0.17557843611919344</v>
      </c>
      <c r="J7" s="530"/>
      <c r="K7" s="530"/>
    </row>
    <row r="8" spans="1:11" s="331" customFormat="1" ht="9" customHeight="1">
      <c r="A8" s="674" t="s">
        <v>87</v>
      </c>
      <c r="B8" s="626" t="s">
        <v>314</v>
      </c>
      <c r="C8" s="628">
        <v>46.965940000000003</v>
      </c>
      <c r="D8" s="628">
        <v>80.176069999999996</v>
      </c>
      <c r="E8" s="791">
        <v>110.29473</v>
      </c>
      <c r="F8" s="675">
        <f t="shared" si="0"/>
        <v>-0.41421498958479752</v>
      </c>
      <c r="K8" s="530"/>
    </row>
    <row r="9" spans="1:11" s="331" customFormat="1" ht="9" customHeight="1">
      <c r="A9" s="674"/>
      <c r="B9" s="626" t="s">
        <v>315</v>
      </c>
      <c r="C9" s="628">
        <v>59.507620000000003</v>
      </c>
      <c r="D9" s="628">
        <v>59.312259999999995</v>
      </c>
      <c r="E9" s="791">
        <v>130.75458</v>
      </c>
      <c r="F9" s="675">
        <f t="shared" si="0"/>
        <v>3.2937541074982146E-3</v>
      </c>
      <c r="K9" s="530"/>
    </row>
    <row r="10" spans="1:11" s="331" customFormat="1" ht="9" customHeight="1">
      <c r="A10" s="674"/>
      <c r="B10" s="626" t="s">
        <v>316</v>
      </c>
      <c r="C10" s="628">
        <v>478.18734000000006</v>
      </c>
      <c r="D10" s="628">
        <v>718.82711999999992</v>
      </c>
      <c r="E10" s="791">
        <v>723.90604000000008</v>
      </c>
      <c r="F10" s="675">
        <f t="shared" si="0"/>
        <v>-0.33476725252102324</v>
      </c>
      <c r="K10" s="530"/>
    </row>
    <row r="11" spans="1:11" s="331" customFormat="1" ht="9" customHeight="1">
      <c r="A11" s="674"/>
      <c r="B11" s="626" t="s">
        <v>317</v>
      </c>
      <c r="C11" s="628">
        <v>102.52743000000001</v>
      </c>
      <c r="D11" s="628">
        <v>102.57384999999999</v>
      </c>
      <c r="E11" s="791">
        <v>0</v>
      </c>
      <c r="F11" s="675">
        <f t="shared" si="0"/>
        <v>-4.5255199059002216E-4</v>
      </c>
      <c r="J11" s="530"/>
      <c r="K11" s="530"/>
    </row>
    <row r="12" spans="1:11" s="331" customFormat="1" ht="9" customHeight="1">
      <c r="A12" s="674"/>
      <c r="B12" s="626" t="s">
        <v>318</v>
      </c>
      <c r="C12" s="628">
        <v>0</v>
      </c>
      <c r="D12" s="628">
        <v>0</v>
      </c>
      <c r="E12" s="791">
        <v>0</v>
      </c>
      <c r="F12" s="675" t="str">
        <f t="shared" si="0"/>
        <v/>
      </c>
      <c r="J12" s="530"/>
      <c r="K12" s="530"/>
    </row>
    <row r="13" spans="1:11" s="331" customFormat="1" ht="9" customHeight="1">
      <c r="A13" s="674"/>
      <c r="B13" s="626" t="s">
        <v>319</v>
      </c>
      <c r="C13" s="628">
        <v>0</v>
      </c>
      <c r="D13" s="628">
        <v>0</v>
      </c>
      <c r="E13" s="791">
        <v>0</v>
      </c>
      <c r="F13" s="675" t="str">
        <f t="shared" si="0"/>
        <v/>
      </c>
      <c r="J13" s="530"/>
      <c r="K13" s="530"/>
    </row>
    <row r="14" spans="1:11" s="331" customFormat="1" ht="9" customHeight="1">
      <c r="A14" s="674"/>
      <c r="B14" s="626" t="s">
        <v>320</v>
      </c>
      <c r="C14" s="628">
        <v>0</v>
      </c>
      <c r="D14" s="628">
        <v>0</v>
      </c>
      <c r="E14" s="791">
        <v>0</v>
      </c>
      <c r="F14" s="675" t="str">
        <f t="shared" si="0"/>
        <v/>
      </c>
      <c r="J14" s="530"/>
      <c r="K14" s="530"/>
    </row>
    <row r="15" spans="1:11" s="331" customFormat="1" ht="9" customHeight="1">
      <c r="A15" s="674"/>
      <c r="B15" s="626" t="s">
        <v>428</v>
      </c>
      <c r="C15" s="628">
        <v>0</v>
      </c>
      <c r="D15" s="628">
        <v>0</v>
      </c>
      <c r="E15" s="791">
        <v>0</v>
      </c>
      <c r="F15" s="675" t="str">
        <f t="shared" si="0"/>
        <v/>
      </c>
      <c r="J15" s="530"/>
      <c r="K15" s="530"/>
    </row>
    <row r="16" spans="1:11" s="331" customFormat="1" ht="9" customHeight="1">
      <c r="A16" s="676" t="s">
        <v>510</v>
      </c>
      <c r="B16" s="512"/>
      <c r="C16" s="514">
        <v>687.18833000000006</v>
      </c>
      <c r="D16" s="514">
        <v>960.88929999999993</v>
      </c>
      <c r="E16" s="790">
        <v>964.95535000000007</v>
      </c>
      <c r="F16" s="677">
        <f t="shared" si="0"/>
        <v>-0.28484131314606154</v>
      </c>
      <c r="J16" s="530"/>
      <c r="K16" s="530"/>
    </row>
    <row r="17" spans="1:11" s="331" customFormat="1" ht="9" customHeight="1">
      <c r="A17" s="674" t="s">
        <v>239</v>
      </c>
      <c r="B17" s="626" t="s">
        <v>321</v>
      </c>
      <c r="C17" s="628">
        <v>549.85106000000007</v>
      </c>
      <c r="D17" s="628">
        <v>538.19775000000004</v>
      </c>
      <c r="E17" s="791">
        <v>269.12878000000001</v>
      </c>
      <c r="F17" s="675">
        <f t="shared" si="0"/>
        <v>2.1652468818385229E-2</v>
      </c>
      <c r="J17" s="530"/>
      <c r="K17" s="530"/>
    </row>
    <row r="18" spans="1:11" s="331" customFormat="1" ht="9" customHeight="1">
      <c r="A18" s="676" t="s">
        <v>511</v>
      </c>
      <c r="B18" s="512"/>
      <c r="C18" s="514">
        <v>549.85106000000007</v>
      </c>
      <c r="D18" s="514">
        <v>538.19775000000004</v>
      </c>
      <c r="E18" s="790">
        <v>269.12878000000001</v>
      </c>
      <c r="F18" s="677">
        <f t="shared" si="0"/>
        <v>2.1652468818385229E-2</v>
      </c>
      <c r="J18" s="530"/>
      <c r="K18" s="530"/>
    </row>
    <row r="19" spans="1:11" s="331" customFormat="1" ht="9" customHeight="1">
      <c r="A19" s="674" t="s">
        <v>458</v>
      </c>
      <c r="B19" s="626" t="s">
        <v>463</v>
      </c>
      <c r="C19" s="628">
        <v>0</v>
      </c>
      <c r="D19" s="628"/>
      <c r="E19" s="791">
        <v>8.2661899999999999</v>
      </c>
      <c r="F19" s="675" t="str">
        <f t="shared" si="0"/>
        <v/>
      </c>
      <c r="J19" s="530"/>
      <c r="K19" s="530"/>
    </row>
    <row r="20" spans="1:11" s="331" customFormat="1" ht="9" customHeight="1">
      <c r="A20" s="674"/>
      <c r="B20" s="626" t="s">
        <v>459</v>
      </c>
      <c r="C20" s="628">
        <v>1.48062</v>
      </c>
      <c r="D20" s="628"/>
      <c r="E20" s="791">
        <v>0</v>
      </c>
      <c r="F20" s="675"/>
      <c r="J20" s="530"/>
      <c r="K20" s="530"/>
    </row>
    <row r="21" spans="1:11" s="331" customFormat="1" ht="9" customHeight="1">
      <c r="A21" s="676" t="s">
        <v>512</v>
      </c>
      <c r="B21" s="512"/>
      <c r="C21" s="514">
        <v>1.48062</v>
      </c>
      <c r="D21" s="514"/>
      <c r="E21" s="790">
        <v>8.2661899999999999</v>
      </c>
      <c r="F21" s="677"/>
      <c r="J21" s="530"/>
      <c r="K21" s="530"/>
    </row>
    <row r="22" spans="1:11" s="331" customFormat="1" ht="9" customHeight="1">
      <c r="A22" s="674" t="s">
        <v>108</v>
      </c>
      <c r="B22" s="626" t="s">
        <v>66</v>
      </c>
      <c r="C22" s="628">
        <v>6.9080700000000004</v>
      </c>
      <c r="D22" s="628">
        <v>6.4511799999999999</v>
      </c>
      <c r="E22" s="791">
        <v>0</v>
      </c>
      <c r="F22" s="675"/>
      <c r="J22" s="530"/>
      <c r="K22" s="530"/>
    </row>
    <row r="23" spans="1:11" s="331" customFormat="1" ht="9" customHeight="1">
      <c r="A23" s="674"/>
      <c r="B23" s="626" t="s">
        <v>415</v>
      </c>
      <c r="C23" s="628">
        <v>2.5889899999999999</v>
      </c>
      <c r="D23" s="628">
        <v>2.93133</v>
      </c>
      <c r="E23" s="791">
        <v>20.355240000000002</v>
      </c>
      <c r="F23" s="675">
        <f t="shared" si="0"/>
        <v>-0.11678657810618387</v>
      </c>
      <c r="J23" s="530"/>
      <c r="K23" s="530"/>
    </row>
    <row r="24" spans="1:11" s="331" customFormat="1" ht="9" customHeight="1">
      <c r="A24" s="674"/>
      <c r="B24" s="626" t="s">
        <v>413</v>
      </c>
      <c r="C24" s="628">
        <v>4.1932600000000004</v>
      </c>
      <c r="D24" s="628">
        <v>4.2827000000000002</v>
      </c>
      <c r="E24" s="791">
        <v>20.30152</v>
      </c>
      <c r="F24" s="675">
        <f t="shared" si="0"/>
        <v>-2.0884021761972571E-2</v>
      </c>
      <c r="J24" s="530"/>
      <c r="K24" s="530"/>
    </row>
    <row r="25" spans="1:11" s="331" customFormat="1" ht="9" customHeight="1">
      <c r="A25" s="674"/>
      <c r="B25" s="626" t="s">
        <v>414</v>
      </c>
      <c r="C25" s="628">
        <v>4.22973</v>
      </c>
      <c r="D25" s="628">
        <v>4.32043</v>
      </c>
      <c r="E25" s="791">
        <v>19.837339999999998</v>
      </c>
      <c r="F25" s="675">
        <f t="shared" si="0"/>
        <v>-2.0993280761405719E-2</v>
      </c>
      <c r="J25" s="530"/>
      <c r="K25" s="530"/>
    </row>
    <row r="26" spans="1:11" s="331" customFormat="1" ht="9" customHeight="1">
      <c r="A26" s="676" t="s">
        <v>513</v>
      </c>
      <c r="B26" s="512"/>
      <c r="C26" s="514">
        <v>17.920050000000003</v>
      </c>
      <c r="D26" s="514">
        <v>17.98564</v>
      </c>
      <c r="E26" s="790">
        <v>60.494100000000003</v>
      </c>
      <c r="F26" s="677">
        <f t="shared" si="0"/>
        <v>-3.6467982234714702E-3</v>
      </c>
      <c r="J26" s="530"/>
      <c r="K26" s="530"/>
    </row>
    <row r="27" spans="1:11" s="331" customFormat="1" ht="9" customHeight="1">
      <c r="A27" s="674" t="s">
        <v>111</v>
      </c>
      <c r="B27" s="626" t="s">
        <v>233</v>
      </c>
      <c r="C27" s="628">
        <v>0</v>
      </c>
      <c r="D27" s="628">
        <v>0</v>
      </c>
      <c r="E27" s="791">
        <v>0</v>
      </c>
      <c r="F27" s="675" t="str">
        <f t="shared" si="0"/>
        <v/>
      </c>
      <c r="J27" s="530"/>
      <c r="K27" s="530"/>
    </row>
    <row r="28" spans="1:11" s="331" customFormat="1" ht="9" customHeight="1">
      <c r="A28" s="676" t="s">
        <v>514</v>
      </c>
      <c r="B28" s="512"/>
      <c r="C28" s="514">
        <v>0</v>
      </c>
      <c r="D28" s="514">
        <v>0</v>
      </c>
      <c r="E28" s="790">
        <v>0</v>
      </c>
      <c r="F28" s="677" t="str">
        <f t="shared" si="0"/>
        <v/>
      </c>
      <c r="J28" s="530"/>
      <c r="K28" s="530"/>
    </row>
    <row r="29" spans="1:11" s="331" customFormat="1" ht="9" customHeight="1">
      <c r="A29" s="674" t="s">
        <v>112</v>
      </c>
      <c r="B29" s="626" t="s">
        <v>82</v>
      </c>
      <c r="C29" s="628">
        <v>0</v>
      </c>
      <c r="D29" s="628">
        <v>0</v>
      </c>
      <c r="E29" s="791">
        <v>0</v>
      </c>
      <c r="F29" s="675" t="str">
        <f t="shared" si="0"/>
        <v/>
      </c>
      <c r="J29" s="530"/>
      <c r="K29" s="530"/>
    </row>
    <row r="30" spans="1:11" s="331" customFormat="1" ht="9" customHeight="1">
      <c r="A30" s="676" t="s">
        <v>515</v>
      </c>
      <c r="B30" s="512"/>
      <c r="C30" s="514">
        <v>0</v>
      </c>
      <c r="D30" s="514">
        <v>0</v>
      </c>
      <c r="E30" s="790">
        <v>0</v>
      </c>
      <c r="F30" s="677" t="str">
        <f t="shared" si="0"/>
        <v/>
      </c>
      <c r="J30" s="530"/>
      <c r="K30" s="530"/>
    </row>
    <row r="31" spans="1:11" s="331" customFormat="1" ht="9" customHeight="1">
      <c r="A31" s="674" t="s">
        <v>116</v>
      </c>
      <c r="B31" s="626" t="s">
        <v>74</v>
      </c>
      <c r="C31" s="628">
        <v>3.2</v>
      </c>
      <c r="D31" s="628">
        <v>3.6</v>
      </c>
      <c r="E31" s="791">
        <v>2</v>
      </c>
      <c r="F31" s="675">
        <f t="shared" si="0"/>
        <v>-0.11111111111111105</v>
      </c>
      <c r="J31" s="530"/>
      <c r="K31" s="530"/>
    </row>
    <row r="32" spans="1:11" s="331" customFormat="1" ht="9" customHeight="1">
      <c r="A32" s="676" t="s">
        <v>516</v>
      </c>
      <c r="B32" s="512"/>
      <c r="C32" s="514">
        <v>3.2</v>
      </c>
      <c r="D32" s="514">
        <v>3.6</v>
      </c>
      <c r="E32" s="790">
        <v>2</v>
      </c>
      <c r="F32" s="677">
        <f t="shared" si="0"/>
        <v>-0.11111111111111105</v>
      </c>
      <c r="J32" s="530"/>
      <c r="K32" s="530"/>
    </row>
    <row r="33" spans="1:11" s="331" customFormat="1" ht="9" customHeight="1">
      <c r="A33" s="674" t="s">
        <v>103</v>
      </c>
      <c r="B33" s="626" t="s">
        <v>322</v>
      </c>
      <c r="C33" s="628">
        <v>16.06062</v>
      </c>
      <c r="D33" s="628">
        <v>17.236000000000001</v>
      </c>
      <c r="E33" s="791">
        <v>19.528590000000001</v>
      </c>
      <c r="F33" s="675">
        <f t="shared" si="0"/>
        <v>-6.8193316314690167E-2</v>
      </c>
      <c r="J33" s="530"/>
      <c r="K33" s="530"/>
    </row>
    <row r="34" spans="1:11" s="331" customFormat="1" ht="9" customHeight="1">
      <c r="A34" s="676" t="s">
        <v>517</v>
      </c>
      <c r="B34" s="512"/>
      <c r="C34" s="514">
        <v>16.06062</v>
      </c>
      <c r="D34" s="514">
        <v>17.236000000000001</v>
      </c>
      <c r="E34" s="790">
        <v>19.528590000000001</v>
      </c>
      <c r="F34" s="677">
        <f t="shared" si="0"/>
        <v>-6.8193316314690167E-2</v>
      </c>
      <c r="J34" s="530"/>
      <c r="K34" s="530"/>
    </row>
    <row r="35" spans="1:11" s="331" customFormat="1" ht="18.75" customHeight="1">
      <c r="A35" s="678" t="s">
        <v>425</v>
      </c>
      <c r="B35" s="636" t="s">
        <v>323</v>
      </c>
      <c r="C35" s="793">
        <v>10.46153</v>
      </c>
      <c r="D35" s="793">
        <v>10.202970000000001</v>
      </c>
      <c r="E35" s="795">
        <v>19.038879999999999</v>
      </c>
      <c r="F35" s="796">
        <f t="shared" si="0"/>
        <v>2.5341640718339775E-2</v>
      </c>
      <c r="J35" s="530"/>
      <c r="K35" s="530"/>
    </row>
    <row r="36" spans="1:11" s="331" customFormat="1" ht="9" customHeight="1">
      <c r="A36" s="676" t="s">
        <v>518</v>
      </c>
      <c r="B36" s="512"/>
      <c r="C36" s="514">
        <v>10.46153</v>
      </c>
      <c r="D36" s="514">
        <v>10.202970000000001</v>
      </c>
      <c r="E36" s="790">
        <v>19.038879999999999</v>
      </c>
      <c r="F36" s="677">
        <f t="shared" si="0"/>
        <v>2.5341640718339775E-2</v>
      </c>
      <c r="J36" s="530"/>
      <c r="K36" s="530"/>
    </row>
    <row r="37" spans="1:11" s="331" customFormat="1" ht="9" customHeight="1">
      <c r="A37" s="674" t="s">
        <v>240</v>
      </c>
      <c r="B37" s="626" t="s">
        <v>59</v>
      </c>
      <c r="C37" s="628">
        <v>13.26078</v>
      </c>
      <c r="D37" s="628">
        <v>12.979140000000001</v>
      </c>
      <c r="E37" s="791">
        <v>19.104150000000001</v>
      </c>
      <c r="F37" s="675">
        <f t="shared" si="0"/>
        <v>2.1699434631262227E-2</v>
      </c>
      <c r="J37" s="530"/>
      <c r="K37" s="530"/>
    </row>
    <row r="38" spans="1:11" s="331" customFormat="1" ht="9" customHeight="1">
      <c r="A38" s="676" t="s">
        <v>519</v>
      </c>
      <c r="B38" s="512"/>
      <c r="C38" s="514">
        <v>13.26078</v>
      </c>
      <c r="D38" s="514">
        <v>12.979140000000001</v>
      </c>
      <c r="E38" s="790">
        <v>19.104150000000001</v>
      </c>
      <c r="F38" s="677">
        <f t="shared" si="0"/>
        <v>2.1699434631262227E-2</v>
      </c>
      <c r="J38" s="530"/>
      <c r="K38" s="530"/>
    </row>
    <row r="39" spans="1:11" s="331" customFormat="1" ht="9" customHeight="1">
      <c r="A39" s="674" t="s">
        <v>412</v>
      </c>
      <c r="B39" s="626" t="s">
        <v>466</v>
      </c>
      <c r="C39" s="628">
        <v>0</v>
      </c>
      <c r="D39" s="628">
        <v>0</v>
      </c>
      <c r="E39" s="791">
        <v>0.72899999999999998</v>
      </c>
      <c r="F39" s="675" t="str">
        <f t="shared" si="0"/>
        <v/>
      </c>
      <c r="J39" s="530"/>
      <c r="K39" s="530"/>
    </row>
    <row r="40" spans="1:11" s="331" customFormat="1" ht="9" customHeight="1">
      <c r="A40" s="676" t="s">
        <v>520</v>
      </c>
      <c r="B40" s="512"/>
      <c r="C40" s="514">
        <v>0</v>
      </c>
      <c r="D40" s="514">
        <v>0</v>
      </c>
      <c r="E40" s="790">
        <v>0.72899999999999998</v>
      </c>
      <c r="F40" s="677" t="str">
        <f t="shared" si="0"/>
        <v/>
      </c>
      <c r="J40" s="530"/>
      <c r="K40" s="530"/>
    </row>
    <row r="41" spans="1:11" s="331" customFormat="1" ht="9" customHeight="1">
      <c r="A41" s="674" t="s">
        <v>430</v>
      </c>
      <c r="B41" s="626" t="s">
        <v>434</v>
      </c>
      <c r="C41" s="628">
        <v>57.099510000000002</v>
      </c>
      <c r="D41" s="628">
        <v>52.899090000000001</v>
      </c>
      <c r="E41" s="791">
        <v>90.813810000000004</v>
      </c>
      <c r="F41" s="675">
        <f t="shared" si="0"/>
        <v>7.9404390510309453E-2</v>
      </c>
      <c r="J41" s="530"/>
      <c r="K41" s="530"/>
    </row>
    <row r="42" spans="1:11" s="331" customFormat="1" ht="9" customHeight="1">
      <c r="A42" s="676" t="s">
        <v>521</v>
      </c>
      <c r="B42" s="512"/>
      <c r="C42" s="514">
        <v>57.099510000000002</v>
      </c>
      <c r="D42" s="514">
        <v>52.899090000000001</v>
      </c>
      <c r="E42" s="790">
        <v>90.813810000000004</v>
      </c>
      <c r="F42" s="677">
        <f t="shared" si="0"/>
        <v>7.9404390510309453E-2</v>
      </c>
      <c r="J42" s="530"/>
      <c r="K42" s="530"/>
    </row>
    <row r="43" spans="1:11" s="331" customFormat="1" ht="21" customHeight="1">
      <c r="A43" s="678" t="s">
        <v>486</v>
      </c>
      <c r="B43" s="636" t="s">
        <v>580</v>
      </c>
      <c r="C43" s="628">
        <v>2.9434300000000002</v>
      </c>
      <c r="D43" s="628"/>
      <c r="E43" s="791"/>
      <c r="F43" s="675" t="str">
        <f t="shared" si="0"/>
        <v/>
      </c>
      <c r="J43" s="530"/>
      <c r="K43" s="530"/>
    </row>
    <row r="44" spans="1:11" s="331" customFormat="1" ht="9" customHeight="1">
      <c r="A44" s="676" t="s">
        <v>522</v>
      </c>
      <c r="B44" s="512"/>
      <c r="C44" s="514">
        <v>2.9434300000000002</v>
      </c>
      <c r="D44" s="514"/>
      <c r="E44" s="790"/>
      <c r="F44" s="677" t="str">
        <f t="shared" si="0"/>
        <v/>
      </c>
      <c r="J44" s="530"/>
      <c r="K44" s="530"/>
    </row>
    <row r="45" spans="1:11" s="331" customFormat="1" ht="9" customHeight="1">
      <c r="A45" s="674" t="s">
        <v>118</v>
      </c>
      <c r="B45" s="626" t="s">
        <v>324</v>
      </c>
      <c r="C45" s="628">
        <v>0</v>
      </c>
      <c r="D45" s="628">
        <v>0</v>
      </c>
      <c r="E45" s="791">
        <v>0</v>
      </c>
      <c r="F45" s="675" t="str">
        <f t="shared" si="0"/>
        <v/>
      </c>
      <c r="J45" s="530"/>
      <c r="K45" s="530"/>
    </row>
    <row r="46" spans="1:11" s="331" customFormat="1" ht="9" customHeight="1">
      <c r="A46" s="674"/>
      <c r="B46" s="626" t="s">
        <v>325</v>
      </c>
      <c r="C46" s="628">
        <v>0</v>
      </c>
      <c r="D46" s="628">
        <v>0</v>
      </c>
      <c r="E46" s="791">
        <v>0</v>
      </c>
      <c r="F46" s="675" t="str">
        <f t="shared" si="0"/>
        <v/>
      </c>
      <c r="J46" s="530"/>
      <c r="K46" s="530"/>
    </row>
    <row r="47" spans="1:11" s="331" customFormat="1" ht="9" customHeight="1">
      <c r="A47" s="676" t="s">
        <v>523</v>
      </c>
      <c r="B47" s="512"/>
      <c r="C47" s="514">
        <v>0</v>
      </c>
      <c r="D47" s="514">
        <v>0</v>
      </c>
      <c r="E47" s="790">
        <v>0</v>
      </c>
      <c r="F47" s="677" t="str">
        <f t="shared" si="0"/>
        <v/>
      </c>
      <c r="J47" s="530"/>
      <c r="K47" s="530"/>
    </row>
    <row r="48" spans="1:11" s="331" customFormat="1" ht="9" customHeight="1">
      <c r="A48" s="674" t="s">
        <v>410</v>
      </c>
      <c r="B48" s="626" t="s">
        <v>326</v>
      </c>
      <c r="C48" s="628">
        <v>812.53688000000011</v>
      </c>
      <c r="D48" s="628">
        <v>805.11610000000007</v>
      </c>
      <c r="E48" s="791">
        <v>490.61233999999996</v>
      </c>
      <c r="F48" s="675">
        <f t="shared" si="0"/>
        <v>9.2170309350416701E-3</v>
      </c>
      <c r="J48" s="530"/>
      <c r="K48" s="530"/>
    </row>
    <row r="49" spans="1:11" s="331" customFormat="1" ht="9" customHeight="1">
      <c r="A49" s="674"/>
      <c r="B49" s="626" t="s">
        <v>327</v>
      </c>
      <c r="C49" s="628">
        <v>178.06802999999999</v>
      </c>
      <c r="D49" s="628">
        <v>180.20957999999999</v>
      </c>
      <c r="E49" s="791">
        <v>154.80788000000001</v>
      </c>
      <c r="F49" s="675">
        <f t="shared" si="0"/>
        <v>-1.1883663454517746E-2</v>
      </c>
      <c r="J49" s="530"/>
      <c r="K49" s="530"/>
    </row>
    <row r="50" spans="1:11" s="331" customFormat="1" ht="9" customHeight="1">
      <c r="A50" s="674"/>
      <c r="B50" s="626" t="s">
        <v>432</v>
      </c>
      <c r="C50" s="628">
        <v>407.19893000000002</v>
      </c>
      <c r="D50" s="628">
        <v>319.86644000000001</v>
      </c>
      <c r="E50" s="791">
        <v>539.21326999999997</v>
      </c>
      <c r="F50" s="675">
        <f t="shared" si="0"/>
        <v>0.27302798630578429</v>
      </c>
      <c r="J50" s="530"/>
      <c r="K50" s="530"/>
    </row>
    <row r="51" spans="1:11" s="331" customFormat="1" ht="9" customHeight="1">
      <c r="A51" s="674"/>
      <c r="B51" s="626" t="s">
        <v>328</v>
      </c>
      <c r="C51" s="628">
        <v>2.9756300000000002</v>
      </c>
      <c r="D51" s="628">
        <v>2.7735599999999998</v>
      </c>
      <c r="E51" s="791">
        <v>10.12462</v>
      </c>
      <c r="F51" s="675">
        <f t="shared" si="0"/>
        <v>7.2855824283592385E-2</v>
      </c>
      <c r="J51" s="530"/>
      <c r="K51" s="530"/>
    </row>
    <row r="52" spans="1:11" s="331" customFormat="1" ht="9" customHeight="1">
      <c r="A52" s="676" t="s">
        <v>524</v>
      </c>
      <c r="B52" s="512"/>
      <c r="C52" s="514">
        <v>1400.7794699999999</v>
      </c>
      <c r="D52" s="514">
        <v>1307.9656800000002</v>
      </c>
      <c r="E52" s="790">
        <v>1194.75811</v>
      </c>
      <c r="F52" s="677">
        <f t="shared" si="0"/>
        <v>7.0960416943049776E-2</v>
      </c>
      <c r="J52" s="530"/>
      <c r="K52" s="530"/>
    </row>
    <row r="53" spans="1:11" s="331" customFormat="1" ht="9" customHeight="1">
      <c r="A53" s="674" t="s">
        <v>117</v>
      </c>
      <c r="B53" s="626" t="s">
        <v>72</v>
      </c>
      <c r="C53" s="628">
        <v>0.69376000000000004</v>
      </c>
      <c r="D53" s="628">
        <v>1.5064</v>
      </c>
      <c r="E53" s="791">
        <v>3.3192300000000001</v>
      </c>
      <c r="F53" s="675">
        <f t="shared" si="0"/>
        <v>-0.53945831120552312</v>
      </c>
      <c r="J53" s="530"/>
      <c r="K53" s="530"/>
    </row>
    <row r="54" spans="1:11" s="331" customFormat="1" ht="9" customHeight="1">
      <c r="A54" s="676" t="s">
        <v>525</v>
      </c>
      <c r="B54" s="512"/>
      <c r="C54" s="514">
        <v>0.69376000000000004</v>
      </c>
      <c r="D54" s="514">
        <v>1.5064</v>
      </c>
      <c r="E54" s="790">
        <v>3.3192300000000001</v>
      </c>
      <c r="F54" s="677">
        <f t="shared" si="0"/>
        <v>-0.53945831120552312</v>
      </c>
      <c r="J54" s="530"/>
      <c r="K54" s="530"/>
    </row>
    <row r="55" spans="1:11" s="331" customFormat="1" ht="9" customHeight="1">
      <c r="A55" s="674" t="s">
        <v>110</v>
      </c>
      <c r="B55" s="626" t="s">
        <v>81</v>
      </c>
      <c r="C55" s="628">
        <v>0</v>
      </c>
      <c r="D55" s="628">
        <v>0</v>
      </c>
      <c r="E55" s="791">
        <v>0</v>
      </c>
      <c r="F55" s="675" t="str">
        <f t="shared" si="0"/>
        <v/>
      </c>
      <c r="J55" s="530"/>
      <c r="K55" s="530"/>
    </row>
    <row r="56" spans="1:11" s="331" customFormat="1" ht="9" customHeight="1">
      <c r="A56" s="676" t="s">
        <v>526</v>
      </c>
      <c r="B56" s="512"/>
      <c r="C56" s="514">
        <v>0</v>
      </c>
      <c r="D56" s="514">
        <v>0</v>
      </c>
      <c r="E56" s="790">
        <v>0</v>
      </c>
      <c r="F56" s="677" t="str">
        <f t="shared" si="0"/>
        <v/>
      </c>
      <c r="J56" s="530"/>
      <c r="K56" s="530"/>
    </row>
    <row r="57" spans="1:11" s="331" customFormat="1" ht="9" customHeight="1">
      <c r="A57" s="674" t="s">
        <v>241</v>
      </c>
      <c r="B57" s="626" t="s">
        <v>71</v>
      </c>
      <c r="C57" s="628">
        <v>1.7527200000000001</v>
      </c>
      <c r="D57" s="628">
        <v>2.3857200000000001</v>
      </c>
      <c r="E57" s="791">
        <v>4.2940100000000001</v>
      </c>
      <c r="F57" s="675">
        <f t="shared" si="0"/>
        <v>-0.26532870579950707</v>
      </c>
      <c r="J57" s="530"/>
      <c r="K57" s="530"/>
    </row>
    <row r="58" spans="1:11" s="331" customFormat="1" ht="9" customHeight="1">
      <c r="A58" s="674"/>
      <c r="B58" s="626" t="s">
        <v>329</v>
      </c>
      <c r="C58" s="628">
        <v>96.983140000000006</v>
      </c>
      <c r="D58" s="628">
        <v>75.169370000000001</v>
      </c>
      <c r="E58" s="791">
        <v>250.73476000000002</v>
      </c>
      <c r="F58" s="675">
        <f t="shared" si="0"/>
        <v>0.29019492913137368</v>
      </c>
      <c r="J58" s="530"/>
      <c r="K58" s="530"/>
    </row>
    <row r="59" spans="1:11" s="331" customFormat="1" ht="9" customHeight="1">
      <c r="A59" s="674"/>
      <c r="B59" s="626" t="s">
        <v>330</v>
      </c>
      <c r="C59" s="628">
        <v>19.987310000000001</v>
      </c>
      <c r="D59" s="628">
        <v>29.59834</v>
      </c>
      <c r="E59" s="791">
        <v>76.953440000000001</v>
      </c>
      <c r="F59" s="675">
        <f t="shared" si="0"/>
        <v>-0.32471516983722737</v>
      </c>
      <c r="J59" s="530"/>
      <c r="K59" s="530"/>
    </row>
    <row r="60" spans="1:11" s="331" customFormat="1" ht="9" customHeight="1">
      <c r="A60" s="674"/>
      <c r="B60" s="626" t="s">
        <v>62</v>
      </c>
      <c r="C60" s="628">
        <v>9.9439700000000002</v>
      </c>
      <c r="D60" s="628">
        <v>8.4742700000000006</v>
      </c>
      <c r="E60" s="791">
        <v>9.9297299999999993</v>
      </c>
      <c r="F60" s="675">
        <f t="shared" si="0"/>
        <v>0.17343086779156192</v>
      </c>
      <c r="J60" s="530"/>
      <c r="K60" s="530"/>
    </row>
    <row r="61" spans="1:11" s="331" customFormat="1" ht="9" customHeight="1">
      <c r="A61" s="676" t="s">
        <v>527</v>
      </c>
      <c r="B61" s="512"/>
      <c r="C61" s="514">
        <v>128.66714000000002</v>
      </c>
      <c r="D61" s="514">
        <v>115.62770000000002</v>
      </c>
      <c r="E61" s="790">
        <v>341.91194000000002</v>
      </c>
      <c r="F61" s="677">
        <f t="shared" si="0"/>
        <v>0.11277090178218541</v>
      </c>
      <c r="J61" s="530"/>
      <c r="K61" s="530"/>
    </row>
    <row r="62" spans="1:11" s="331" customFormat="1" ht="9" customHeight="1">
      <c r="A62" s="674" t="s">
        <v>242</v>
      </c>
      <c r="B62" s="626" t="s">
        <v>78</v>
      </c>
      <c r="C62" s="628">
        <v>31.607040000000001</v>
      </c>
      <c r="D62" s="628">
        <v>11.8604</v>
      </c>
      <c r="E62" s="791">
        <v>18.001149999999999</v>
      </c>
      <c r="F62" s="675">
        <f t="shared" si="0"/>
        <v>1.6649219250615492</v>
      </c>
      <c r="J62" s="530"/>
      <c r="K62" s="530"/>
    </row>
    <row r="63" spans="1:11" s="331" customFormat="1" ht="9" customHeight="1">
      <c r="A63" s="676" t="s">
        <v>528</v>
      </c>
      <c r="B63" s="512"/>
      <c r="C63" s="514">
        <v>31.607040000000001</v>
      </c>
      <c r="D63" s="514">
        <v>11.8604</v>
      </c>
      <c r="E63" s="790">
        <v>18.001149999999999</v>
      </c>
      <c r="F63" s="677">
        <f t="shared" si="0"/>
        <v>1.6649219250615492</v>
      </c>
      <c r="J63" s="530"/>
      <c r="K63" s="530"/>
    </row>
    <row r="64" spans="1:11" s="331" customFormat="1" ht="9" customHeight="1">
      <c r="A64" s="674" t="s">
        <v>99</v>
      </c>
      <c r="B64" s="626" t="s">
        <v>76</v>
      </c>
      <c r="C64" s="628">
        <v>92.034350000000003</v>
      </c>
      <c r="D64" s="628">
        <v>46.159990000000001</v>
      </c>
      <c r="E64" s="791">
        <v>55.79851</v>
      </c>
      <c r="F64" s="675">
        <f t="shared" si="0"/>
        <v>0.99381217370281072</v>
      </c>
      <c r="J64" s="530"/>
      <c r="K64" s="530"/>
    </row>
    <row r="65" spans="1:11" s="331" customFormat="1" ht="9" customHeight="1">
      <c r="A65" s="676" t="s">
        <v>529</v>
      </c>
      <c r="B65" s="512"/>
      <c r="C65" s="514">
        <v>92.034350000000003</v>
      </c>
      <c r="D65" s="514">
        <v>46.159990000000001</v>
      </c>
      <c r="E65" s="790">
        <v>55.79851</v>
      </c>
      <c r="F65" s="677">
        <f t="shared" si="0"/>
        <v>0.99381217370281072</v>
      </c>
      <c r="J65" s="530"/>
      <c r="K65" s="530"/>
    </row>
    <row r="66" spans="1:11" s="331" customFormat="1" ht="9" customHeight="1">
      <c r="A66" s="674" t="s">
        <v>107</v>
      </c>
      <c r="B66" s="626" t="s">
        <v>232</v>
      </c>
      <c r="C66" s="628">
        <v>0</v>
      </c>
      <c r="D66" s="628">
        <v>0</v>
      </c>
      <c r="E66" s="791">
        <v>0</v>
      </c>
      <c r="F66" s="675" t="str">
        <f t="shared" si="0"/>
        <v/>
      </c>
      <c r="J66" s="530"/>
      <c r="K66" s="530"/>
    </row>
    <row r="67" spans="1:11" s="331" customFormat="1" ht="9" customHeight="1">
      <c r="A67" s="676" t="s">
        <v>530</v>
      </c>
      <c r="B67" s="512"/>
      <c r="C67" s="514">
        <v>0</v>
      </c>
      <c r="D67" s="514">
        <v>0</v>
      </c>
      <c r="E67" s="790">
        <v>0</v>
      </c>
      <c r="F67" s="677" t="str">
        <f t="shared" si="0"/>
        <v/>
      </c>
      <c r="J67" s="530"/>
      <c r="K67" s="530"/>
    </row>
    <row r="68" spans="1:11" s="331" customFormat="1" ht="9" customHeight="1">
      <c r="A68" s="674" t="s">
        <v>411</v>
      </c>
      <c r="B68" s="626" t="s">
        <v>85</v>
      </c>
      <c r="C68" s="628">
        <v>0.99878</v>
      </c>
      <c r="D68" s="628">
        <v>2.99871</v>
      </c>
      <c r="E68" s="791">
        <v>2.5987999999999998</v>
      </c>
      <c r="F68" s="675">
        <f t="shared" si="0"/>
        <v>-0.66693011328204466</v>
      </c>
      <c r="J68" s="530"/>
      <c r="K68" s="530"/>
    </row>
    <row r="69" spans="1:11" s="331" customFormat="1" ht="9" customHeight="1">
      <c r="A69" s="674"/>
      <c r="B69" s="626" t="s">
        <v>84</v>
      </c>
      <c r="C69" s="628">
        <v>4.3669199999999995</v>
      </c>
      <c r="D69" s="628">
        <v>2.85961</v>
      </c>
      <c r="E69" s="791">
        <v>3.3125</v>
      </c>
      <c r="F69" s="675">
        <f t="shared" si="0"/>
        <v>0.52710334626050392</v>
      </c>
      <c r="J69" s="530"/>
      <c r="K69" s="530"/>
    </row>
    <row r="70" spans="1:11" s="331" customFormat="1" ht="9" customHeight="1">
      <c r="A70" s="674"/>
      <c r="B70" s="626" t="s">
        <v>429</v>
      </c>
      <c r="C70" s="628">
        <v>2.3998400000000002</v>
      </c>
      <c r="D70" s="628">
        <v>1.20133</v>
      </c>
      <c r="E70" s="791">
        <v>2.403</v>
      </c>
      <c r="F70" s="675">
        <f t="shared" si="0"/>
        <v>0.99765260169978287</v>
      </c>
      <c r="J70" s="530"/>
      <c r="K70" s="530"/>
    </row>
    <row r="71" spans="1:11" s="331" customFormat="1" ht="9" customHeight="1">
      <c r="A71" s="674"/>
      <c r="B71" s="626" t="s">
        <v>579</v>
      </c>
      <c r="C71" s="628">
        <v>2.4001099999999997</v>
      </c>
      <c r="D71" s="628"/>
      <c r="E71" s="791"/>
      <c r="F71" s="675" t="str">
        <f t="shared" si="0"/>
        <v/>
      </c>
      <c r="J71" s="530"/>
      <c r="K71" s="530"/>
    </row>
    <row r="72" spans="1:11" s="331" customFormat="1" ht="10.5" customHeight="1">
      <c r="A72" s="676" t="s">
        <v>531</v>
      </c>
      <c r="B72" s="512"/>
      <c r="C72" s="514">
        <v>10.165649999999999</v>
      </c>
      <c r="D72" s="514">
        <v>7.0596499999999995</v>
      </c>
      <c r="E72" s="790">
        <v>8.3142999999999994</v>
      </c>
      <c r="F72" s="677">
        <f t="shared" si="0"/>
        <v>0.43996515407987657</v>
      </c>
    </row>
    <row r="73" spans="1:11" s="331" customFormat="1" ht="10.5" customHeight="1"/>
    <row r="74" spans="1:11" s="331" customFormat="1" ht="10.5" customHeight="1"/>
    <row r="75" spans="1:11" s="331" customFormat="1" ht="10.5" customHeight="1"/>
    <row r="76" spans="1:11" s="331" customFormat="1" ht="10.5" customHeight="1"/>
    <row r="77" spans="1:11" s="331" customFormat="1" ht="10.5" customHeight="1"/>
    <row r="78" spans="1:11" s="331" customFormat="1" ht="10.5" customHeight="1"/>
    <row r="79" spans="1:11" s="331" customFormat="1" ht="10.5" customHeight="1"/>
    <row r="80" spans="1:11" s="331" customFormat="1" ht="10.5" customHeight="1"/>
    <row r="81" s="331" customFormat="1" ht="8.25"/>
    <row r="82" s="331" customFormat="1" ht="8.25"/>
    <row r="83" s="331" customFormat="1" ht="8.25"/>
    <row r="84" s="331" customFormat="1" ht="8.25"/>
    <row r="85" s="331" customFormat="1" ht="8.25"/>
    <row r="86" s="331" customFormat="1" ht="8.25"/>
    <row r="87" s="331" customFormat="1" ht="8.25"/>
    <row r="88" s="331" customFormat="1" ht="8.25"/>
    <row r="89" s="331" customFormat="1" ht="8.25"/>
    <row r="90" s="331" customFormat="1" ht="8.25"/>
    <row r="91" s="331" customFormat="1" ht="8.25"/>
    <row r="92" s="331" customFormat="1" ht="8.25"/>
    <row r="93" s="331" customFormat="1" ht="8.25"/>
    <row r="94" s="331" customFormat="1" ht="8.25"/>
    <row r="95" s="331" customFormat="1" ht="8.25"/>
    <row r="96" s="331" customFormat="1" ht="8.25"/>
    <row r="97" s="331" customFormat="1" ht="8.25"/>
    <row r="98" s="331" customFormat="1" ht="8.25"/>
    <row r="99" s="331" customFormat="1" ht="8.25"/>
    <row r="100" s="331" customFormat="1" ht="8.25"/>
    <row r="101" s="331" customFormat="1" ht="8.25"/>
    <row r="102" s="331" customFormat="1" ht="8.25"/>
    <row r="103" s="331" customFormat="1" ht="8.25"/>
    <row r="104" s="331" customFormat="1" ht="8.25"/>
    <row r="105" s="331" customFormat="1" ht="8.25"/>
    <row r="106" s="331" customFormat="1" ht="8.25"/>
    <row r="107" s="331" customFormat="1" ht="8.25"/>
    <row r="108" s="331" customFormat="1" ht="8.25"/>
    <row r="109" s="331" customFormat="1" ht="8.25"/>
    <row r="110" s="331" customFormat="1" ht="8.25"/>
    <row r="111" s="331" customFormat="1" ht="8.25"/>
    <row r="112" s="331" customFormat="1" ht="8.25"/>
    <row r="113" s="331"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 Agosto 2020
INFSGI-MES-08-2020
14/09/2020
Versión: 01</oddHeader>
    <oddFooter>&amp;L&amp;7COES, 2020&amp;C22&amp;R&amp;7Dirección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4"/>
  <sheetViews>
    <sheetView showGridLines="0" view="pageBreakPreview" zoomScale="115" zoomScaleNormal="100" zoomScaleSheetLayoutView="115" zoomScalePageLayoutView="140" workbookViewId="0">
      <selection activeCell="N25" sqref="N25"/>
    </sheetView>
  </sheetViews>
  <sheetFormatPr defaultColWidth="9.33203125" defaultRowHeight="9"/>
  <cols>
    <col min="1" max="1" width="27" style="274" customWidth="1"/>
    <col min="2" max="2" width="19.5" style="274" customWidth="1"/>
    <col min="3" max="3" width="16.5" style="274" customWidth="1"/>
    <col min="4" max="4" width="17.6640625" style="274" customWidth="1"/>
    <col min="5" max="5" width="15.1640625" style="274" customWidth="1"/>
    <col min="6" max="6" width="12.83203125" style="274" customWidth="1"/>
    <col min="7" max="16384" width="9.33203125" style="274"/>
  </cols>
  <sheetData>
    <row r="1" spans="1:6" s="331" customFormat="1" ht="11.25" customHeight="1">
      <c r="A1" s="1006" t="s">
        <v>250</v>
      </c>
      <c r="B1" s="1008" t="s">
        <v>54</v>
      </c>
      <c r="C1" s="1008" t="s">
        <v>354</v>
      </c>
      <c r="D1" s="1008"/>
      <c r="E1" s="1008"/>
      <c r="F1" s="1010"/>
    </row>
    <row r="2" spans="1:6" s="331" customFormat="1" ht="11.25" customHeight="1">
      <c r="A2" s="1000"/>
      <c r="B2" s="1003"/>
      <c r="C2" s="500" t="str">
        <f>UPPER('1. Resumen'!Q4)&amp;" "&amp;'1. Resumen'!Q5</f>
        <v>AGOSTO 2020</v>
      </c>
      <c r="D2" s="501" t="str">
        <f>UPPER('1. Resumen'!Q4)&amp;" "&amp;'1. Resumen'!Q5-1</f>
        <v>AGOSTO 2019</v>
      </c>
      <c r="E2" s="502" t="str">
        <f>UPPER('1. Resumen'!Q4)&amp;" "&amp;'1. Resumen'!Q5</f>
        <v>AGOSTO 2020</v>
      </c>
      <c r="F2" s="644" t="s">
        <v>436</v>
      </c>
    </row>
    <row r="3" spans="1:6" s="331" customFormat="1" ht="11.25" customHeight="1">
      <c r="A3" s="1000"/>
      <c r="B3" s="1003"/>
      <c r="C3" s="503">
        <f>'21. ANEXOII-1'!C4</f>
        <v>44071.791666666664</v>
      </c>
      <c r="D3" s="503">
        <f>'21. ANEXOII-1'!D4</f>
        <v>43703.8125</v>
      </c>
      <c r="E3" s="503">
        <f>'21. ANEXOII-1'!E4</f>
        <v>43886.8125</v>
      </c>
      <c r="F3" s="645" t="s">
        <v>351</v>
      </c>
    </row>
    <row r="4" spans="1:6" s="331" customFormat="1" ht="11.25" customHeight="1">
      <c r="A4" s="1007"/>
      <c r="B4" s="1009"/>
      <c r="C4" s="504">
        <f>+'8. Max Potencia'!D9</f>
        <v>44071.791666666664</v>
      </c>
      <c r="D4" s="504">
        <f>+'8. Max Potencia'!E9</f>
        <v>43703.8125</v>
      </c>
      <c r="E4" s="504">
        <f>+'22. ANEXOII-2'!E4</f>
        <v>43886.8125</v>
      </c>
      <c r="F4" s="646" t="s">
        <v>352</v>
      </c>
    </row>
    <row r="5" spans="1:6" s="331" customFormat="1" ht="10.5" customHeight="1">
      <c r="A5" s="674" t="s">
        <v>243</v>
      </c>
      <c r="B5" s="626" t="s">
        <v>331</v>
      </c>
      <c r="C5" s="628">
        <v>0</v>
      </c>
      <c r="D5" s="628">
        <v>0</v>
      </c>
      <c r="E5" s="791">
        <v>0</v>
      </c>
      <c r="F5" s="675" t="str">
        <f t="shared" ref="F5:F44" si="0">+IF(D5=0,"",C5/D5-1)</f>
        <v/>
      </c>
    </row>
    <row r="6" spans="1:6" s="331" customFormat="1" ht="10.5" customHeight="1">
      <c r="A6" s="676" t="s">
        <v>532</v>
      </c>
      <c r="B6" s="512"/>
      <c r="C6" s="514">
        <v>0</v>
      </c>
      <c r="D6" s="514">
        <v>0</v>
      </c>
      <c r="E6" s="790">
        <v>0</v>
      </c>
      <c r="F6" s="677" t="str">
        <f t="shared" si="0"/>
        <v/>
      </c>
    </row>
    <row r="7" spans="1:6" s="331" customFormat="1" ht="10.5" customHeight="1">
      <c r="A7" s="674" t="s">
        <v>446</v>
      </c>
      <c r="B7" s="626" t="s">
        <v>460</v>
      </c>
      <c r="C7" s="628">
        <v>10.02636</v>
      </c>
      <c r="D7" s="628">
        <v>10.7232</v>
      </c>
      <c r="E7" s="791">
        <v>19.940269999999998</v>
      </c>
      <c r="F7" s="675">
        <f t="shared" si="0"/>
        <v>-6.498433303491491E-2</v>
      </c>
    </row>
    <row r="8" spans="1:6" s="331" customFormat="1" ht="10.5" customHeight="1">
      <c r="A8" s="676" t="s">
        <v>533</v>
      </c>
      <c r="B8" s="512"/>
      <c r="C8" s="514">
        <v>10.02636</v>
      </c>
      <c r="D8" s="514">
        <v>10.7232</v>
      </c>
      <c r="E8" s="790">
        <v>19.940269999999998</v>
      </c>
      <c r="F8" s="677">
        <f t="shared" si="0"/>
        <v>-6.498433303491491E-2</v>
      </c>
    </row>
    <row r="9" spans="1:6" s="331" customFormat="1" ht="10.5" customHeight="1">
      <c r="A9" s="674" t="s">
        <v>104</v>
      </c>
      <c r="B9" s="626" t="s">
        <v>61</v>
      </c>
      <c r="C9" s="628">
        <v>3.1765500000000002</v>
      </c>
      <c r="D9" s="628">
        <v>0</v>
      </c>
      <c r="E9" s="791">
        <v>8.8928200000000004</v>
      </c>
      <c r="F9" s="675" t="str">
        <f t="shared" si="0"/>
        <v/>
      </c>
    </row>
    <row r="10" spans="1:6" s="331" customFormat="1" ht="10.5" customHeight="1">
      <c r="A10" s="676" t="s">
        <v>534</v>
      </c>
      <c r="B10" s="512"/>
      <c r="C10" s="514">
        <v>3.1765500000000002</v>
      </c>
      <c r="D10" s="514">
        <v>0</v>
      </c>
      <c r="E10" s="790">
        <v>8.8928200000000004</v>
      </c>
      <c r="F10" s="677" t="str">
        <f t="shared" si="0"/>
        <v/>
      </c>
    </row>
    <row r="11" spans="1:6" s="331" customFormat="1" ht="10.5" customHeight="1">
      <c r="A11" s="674" t="s">
        <v>244</v>
      </c>
      <c r="B11" s="626" t="s">
        <v>332</v>
      </c>
      <c r="C11" s="628">
        <v>0</v>
      </c>
      <c r="D11" s="628">
        <v>0</v>
      </c>
      <c r="E11" s="791">
        <v>0</v>
      </c>
      <c r="F11" s="675" t="str">
        <f t="shared" si="0"/>
        <v/>
      </c>
    </row>
    <row r="12" spans="1:6" s="331" customFormat="1" ht="10.5" customHeight="1">
      <c r="A12" s="676" t="s">
        <v>535</v>
      </c>
      <c r="B12" s="512"/>
      <c r="C12" s="514">
        <v>0</v>
      </c>
      <c r="D12" s="514">
        <v>0</v>
      </c>
      <c r="E12" s="790">
        <v>0</v>
      </c>
      <c r="F12" s="677" t="str">
        <f t="shared" si="0"/>
        <v/>
      </c>
    </row>
    <row r="13" spans="1:6" s="331" customFormat="1" ht="10.5" customHeight="1">
      <c r="A13" s="674" t="s">
        <v>95</v>
      </c>
      <c r="B13" s="626" t="s">
        <v>333</v>
      </c>
      <c r="C13" s="628">
        <v>98.360510000000005</v>
      </c>
      <c r="D13" s="628">
        <v>108.23007</v>
      </c>
      <c r="E13" s="791">
        <v>110.13262</v>
      </c>
      <c r="F13" s="675">
        <f t="shared" si="0"/>
        <v>-9.1190553604926894E-2</v>
      </c>
    </row>
    <row r="14" spans="1:6" s="331" customFormat="1" ht="10.5" customHeight="1">
      <c r="A14" s="676" t="s">
        <v>536</v>
      </c>
      <c r="B14" s="512"/>
      <c r="C14" s="514">
        <v>98.360510000000005</v>
      </c>
      <c r="D14" s="514">
        <v>108.23007</v>
      </c>
      <c r="E14" s="790">
        <v>110.13262</v>
      </c>
      <c r="F14" s="677">
        <f t="shared" si="0"/>
        <v>-9.1190553604926894E-2</v>
      </c>
    </row>
    <row r="15" spans="1:6" s="331" customFormat="1" ht="10.5" customHeight="1">
      <c r="A15" s="674" t="s">
        <v>431</v>
      </c>
      <c r="B15" s="626" t="s">
        <v>467</v>
      </c>
      <c r="C15" s="628">
        <v>5.68</v>
      </c>
      <c r="D15" s="628">
        <v>6.5880000000000001</v>
      </c>
      <c r="E15" s="791">
        <v>8.3719999999999999</v>
      </c>
      <c r="F15" s="675">
        <f t="shared" si="0"/>
        <v>-0.13782635094110507</v>
      </c>
    </row>
    <row r="16" spans="1:6" s="331" customFormat="1" ht="10.5" customHeight="1">
      <c r="A16" s="676" t="s">
        <v>537</v>
      </c>
      <c r="B16" s="512"/>
      <c r="C16" s="514">
        <v>5.68</v>
      </c>
      <c r="D16" s="514">
        <v>6.5880000000000001</v>
      </c>
      <c r="E16" s="790">
        <v>8.3719999999999999</v>
      </c>
      <c r="F16" s="677">
        <f t="shared" si="0"/>
        <v>-0.13782635094110507</v>
      </c>
    </row>
    <row r="17" spans="1:6" s="331" customFormat="1" ht="10.5" customHeight="1">
      <c r="A17" s="674" t="s">
        <v>402</v>
      </c>
      <c r="B17" s="626" t="s">
        <v>406</v>
      </c>
      <c r="C17" s="628">
        <v>16.507159999999999</v>
      </c>
      <c r="D17" s="628">
        <v>17.30902</v>
      </c>
      <c r="E17" s="791">
        <v>20.120570000000001</v>
      </c>
      <c r="F17" s="675">
        <f t="shared" si="0"/>
        <v>-4.6326135159587389E-2</v>
      </c>
    </row>
    <row r="18" spans="1:6" s="331" customFormat="1" ht="10.5" customHeight="1">
      <c r="A18" s="676" t="s">
        <v>538</v>
      </c>
      <c r="B18" s="512"/>
      <c r="C18" s="514">
        <v>16.507159999999999</v>
      </c>
      <c r="D18" s="514">
        <v>17.30902</v>
      </c>
      <c r="E18" s="790">
        <v>20.120570000000001</v>
      </c>
      <c r="F18" s="677">
        <f t="shared" si="0"/>
        <v>-4.6326135159587389E-2</v>
      </c>
    </row>
    <row r="19" spans="1:6" s="331" customFormat="1" ht="10.5" customHeight="1">
      <c r="A19" s="674" t="s">
        <v>102</v>
      </c>
      <c r="B19" s="626" t="s">
        <v>334</v>
      </c>
      <c r="C19" s="628">
        <v>0</v>
      </c>
      <c r="D19" s="628">
        <v>27.768840000000001</v>
      </c>
      <c r="E19" s="791">
        <v>26.558800000000002</v>
      </c>
      <c r="F19" s="675">
        <f t="shared" si="0"/>
        <v>-1</v>
      </c>
    </row>
    <row r="20" spans="1:6" s="331" customFormat="1" ht="10.5" customHeight="1">
      <c r="A20" s="676" t="s">
        <v>539</v>
      </c>
      <c r="B20" s="512"/>
      <c r="C20" s="514">
        <v>0</v>
      </c>
      <c r="D20" s="514">
        <v>27.768840000000001</v>
      </c>
      <c r="E20" s="790">
        <v>26.558800000000002</v>
      </c>
      <c r="F20" s="677">
        <f t="shared" si="0"/>
        <v>-1</v>
      </c>
    </row>
    <row r="21" spans="1:6" s="331" customFormat="1" ht="10.5" customHeight="1">
      <c r="A21" s="674" t="s">
        <v>119</v>
      </c>
      <c r="B21" s="626" t="s">
        <v>335</v>
      </c>
      <c r="C21" s="628">
        <v>0</v>
      </c>
      <c r="D21" s="628">
        <v>0</v>
      </c>
      <c r="E21" s="791">
        <v>0</v>
      </c>
      <c r="F21" s="675" t="str">
        <f t="shared" si="0"/>
        <v/>
      </c>
    </row>
    <row r="22" spans="1:6" s="331" customFormat="1" ht="10.5" customHeight="1">
      <c r="A22" s="676" t="s">
        <v>540</v>
      </c>
      <c r="B22" s="512"/>
      <c r="C22" s="514">
        <v>0</v>
      </c>
      <c r="D22" s="514">
        <v>0</v>
      </c>
      <c r="E22" s="790">
        <v>0</v>
      </c>
      <c r="F22" s="677" t="str">
        <f t="shared" si="0"/>
        <v/>
      </c>
    </row>
    <row r="23" spans="1:6" s="331" customFormat="1" ht="10.5" customHeight="1">
      <c r="A23" s="674" t="s">
        <v>113</v>
      </c>
      <c r="B23" s="626" t="s">
        <v>461</v>
      </c>
      <c r="C23" s="628">
        <v>17.004159999999999</v>
      </c>
      <c r="D23" s="628">
        <v>17.101700000000001</v>
      </c>
      <c r="E23" s="791">
        <v>19.958759999999998</v>
      </c>
      <c r="F23" s="675">
        <f t="shared" si="0"/>
        <v>-5.7035265499922883E-3</v>
      </c>
    </row>
    <row r="24" spans="1:6" s="331" customFormat="1" ht="10.5" customHeight="1">
      <c r="A24" s="674"/>
      <c r="B24" s="626" t="s">
        <v>69</v>
      </c>
      <c r="C24" s="628">
        <v>5.7507099999999998</v>
      </c>
      <c r="D24" s="628">
        <v>5.4260900000000003</v>
      </c>
      <c r="E24" s="791">
        <v>8.2235600000000009</v>
      </c>
      <c r="F24" s="675">
        <f t="shared" si="0"/>
        <v>5.9825767725931511E-2</v>
      </c>
    </row>
    <row r="25" spans="1:6" s="331" customFormat="1" ht="10.5" customHeight="1">
      <c r="A25" s="676" t="s">
        <v>541</v>
      </c>
      <c r="B25" s="512"/>
      <c r="C25" s="514">
        <v>22.754869999999997</v>
      </c>
      <c r="D25" s="514">
        <v>22.527790000000003</v>
      </c>
      <c r="E25" s="790">
        <v>28.182319999999997</v>
      </c>
      <c r="F25" s="677">
        <f t="shared" si="0"/>
        <v>1.0079994531198677E-2</v>
      </c>
    </row>
    <row r="26" spans="1:6" s="331" customFormat="1" ht="10.5" customHeight="1">
      <c r="A26" s="674" t="s">
        <v>90</v>
      </c>
      <c r="B26" s="626" t="s">
        <v>336</v>
      </c>
      <c r="C26" s="628">
        <v>22.13402</v>
      </c>
      <c r="D26" s="628">
        <v>23.101589999999998</v>
      </c>
      <c r="E26" s="791">
        <v>42.757599999999996</v>
      </c>
      <c r="F26" s="675">
        <f t="shared" si="0"/>
        <v>-4.1883264312110091E-2</v>
      </c>
    </row>
    <row r="27" spans="1:6" s="331" customFormat="1" ht="10.5" customHeight="1">
      <c r="A27" s="674"/>
      <c r="B27" s="626" t="s">
        <v>337</v>
      </c>
      <c r="C27" s="628">
        <v>80.004530000000003</v>
      </c>
      <c r="D27" s="628">
        <v>40.079410000000003</v>
      </c>
      <c r="E27" s="791">
        <v>163.52692999999999</v>
      </c>
      <c r="F27" s="675"/>
    </row>
    <row r="28" spans="1:6" s="331" customFormat="1" ht="10.5" customHeight="1">
      <c r="A28" s="674"/>
      <c r="B28" s="626" t="s">
        <v>338</v>
      </c>
      <c r="C28" s="628">
        <v>13.91779</v>
      </c>
      <c r="D28" s="628">
        <v>16.441330000000001</v>
      </c>
      <c r="E28" s="791">
        <v>23.855930000000001</v>
      </c>
      <c r="F28" s="675"/>
    </row>
    <row r="29" spans="1:6" s="331" customFormat="1" ht="10.5" customHeight="1">
      <c r="A29" s="674"/>
      <c r="B29" s="626" t="s">
        <v>339</v>
      </c>
      <c r="C29" s="628">
        <v>0</v>
      </c>
      <c r="D29" s="628">
        <v>0</v>
      </c>
      <c r="E29" s="791">
        <v>0.22234999999999999</v>
      </c>
      <c r="F29" s="675"/>
    </row>
    <row r="30" spans="1:6" s="331" customFormat="1" ht="10.5" customHeight="1">
      <c r="A30" s="674"/>
      <c r="B30" s="626" t="s">
        <v>340</v>
      </c>
      <c r="C30" s="628">
        <v>11.96993</v>
      </c>
      <c r="D30" s="628">
        <v>26.909079999999996</v>
      </c>
      <c r="E30" s="791">
        <v>45.267490000000002</v>
      </c>
      <c r="F30" s="675"/>
    </row>
    <row r="31" spans="1:6" s="331" customFormat="1" ht="10.5" customHeight="1">
      <c r="A31" s="674"/>
      <c r="B31" s="626" t="s">
        <v>341</v>
      </c>
      <c r="C31" s="628">
        <v>3.0685500000000001</v>
      </c>
      <c r="D31" s="628">
        <v>2.5687899999999999</v>
      </c>
      <c r="E31" s="791">
        <v>3.8410700000000002</v>
      </c>
      <c r="F31" s="675"/>
    </row>
    <row r="32" spans="1:6" s="331" customFormat="1" ht="10.5" customHeight="1">
      <c r="A32" s="674"/>
      <c r="B32" s="626" t="s">
        <v>342</v>
      </c>
      <c r="C32" s="628">
        <v>8.0852400000000006</v>
      </c>
      <c r="D32" s="628">
        <v>7.8735600000000003</v>
      </c>
      <c r="E32" s="791">
        <v>8.3933999999999997</v>
      </c>
      <c r="F32" s="675">
        <f t="shared" si="0"/>
        <v>2.6884916098943945E-2</v>
      </c>
    </row>
    <row r="33" spans="1:6" s="331" customFormat="1" ht="10.5" customHeight="1">
      <c r="A33" s="674"/>
      <c r="B33" s="626" t="s">
        <v>343</v>
      </c>
      <c r="C33" s="628">
        <v>6.6086</v>
      </c>
      <c r="D33" s="628">
        <v>5.5571999999999999</v>
      </c>
      <c r="E33" s="791">
        <v>0</v>
      </c>
      <c r="F33" s="675">
        <f t="shared" si="0"/>
        <v>0.18919599798459652</v>
      </c>
    </row>
    <row r="34" spans="1:6" s="331" customFormat="1" ht="10.5" customHeight="1">
      <c r="A34" s="674"/>
      <c r="B34" s="626" t="s">
        <v>344</v>
      </c>
      <c r="C34" s="628">
        <v>0</v>
      </c>
      <c r="D34" s="628">
        <v>1.3241399999999999</v>
      </c>
      <c r="E34" s="791">
        <v>0.86190999999999995</v>
      </c>
      <c r="F34" s="675">
        <f t="shared" si="0"/>
        <v>-1</v>
      </c>
    </row>
    <row r="35" spans="1:6" s="331" customFormat="1" ht="10.5" customHeight="1">
      <c r="A35" s="674"/>
      <c r="B35" s="626" t="s">
        <v>345</v>
      </c>
      <c r="C35" s="628">
        <v>0.42188999999999999</v>
      </c>
      <c r="D35" s="628">
        <v>0.37196000000000001</v>
      </c>
      <c r="E35" s="791">
        <v>0.28194000000000002</v>
      </c>
      <c r="F35" s="675">
        <f t="shared" si="0"/>
        <v>0.13423486396386708</v>
      </c>
    </row>
    <row r="36" spans="1:6" s="331" customFormat="1" ht="10.5" customHeight="1">
      <c r="A36" s="674"/>
      <c r="B36" s="626" t="s">
        <v>346</v>
      </c>
      <c r="C36" s="628">
        <v>0.31918000000000002</v>
      </c>
      <c r="D36" s="628">
        <v>0.29421000000000003</v>
      </c>
      <c r="E36" s="791">
        <v>0.23855999999999999</v>
      </c>
      <c r="F36" s="675">
        <f t="shared" si="0"/>
        <v>8.4871350395975709E-2</v>
      </c>
    </row>
    <row r="37" spans="1:6" s="331" customFormat="1" ht="10.5" customHeight="1">
      <c r="A37" s="674"/>
      <c r="B37" s="626" t="s">
        <v>347</v>
      </c>
      <c r="C37" s="628">
        <v>68.801379999999995</v>
      </c>
      <c r="D37" s="628">
        <v>74.950819999999993</v>
      </c>
      <c r="E37" s="791">
        <v>105.60454</v>
      </c>
      <c r="F37" s="675">
        <f t="shared" si="0"/>
        <v>-8.2046333849316144E-2</v>
      </c>
    </row>
    <row r="38" spans="1:6" s="331" customFormat="1" ht="10.5" customHeight="1">
      <c r="A38" s="676" t="s">
        <v>542</v>
      </c>
      <c r="B38" s="512"/>
      <c r="C38" s="514">
        <v>215.33110999999997</v>
      </c>
      <c r="D38" s="514">
        <v>199.47208999999998</v>
      </c>
      <c r="E38" s="790">
        <v>394.85172</v>
      </c>
      <c r="F38" s="677">
        <f t="shared" si="0"/>
        <v>7.9504957310067681E-2</v>
      </c>
    </row>
    <row r="39" spans="1:6" s="331" customFormat="1" ht="10.5" customHeight="1">
      <c r="A39" s="674" t="s">
        <v>109</v>
      </c>
      <c r="B39" s="626" t="s">
        <v>231</v>
      </c>
      <c r="C39" s="628">
        <v>0</v>
      </c>
      <c r="D39" s="628">
        <v>0</v>
      </c>
      <c r="E39" s="791">
        <v>0</v>
      </c>
      <c r="F39" s="675" t="str">
        <f t="shared" si="0"/>
        <v/>
      </c>
    </row>
    <row r="40" spans="1:6" s="331" customFormat="1" ht="10.5" customHeight="1">
      <c r="A40" s="676" t="s">
        <v>543</v>
      </c>
      <c r="B40" s="512"/>
      <c r="C40" s="514">
        <v>0</v>
      </c>
      <c r="D40" s="514">
        <v>0</v>
      </c>
      <c r="E40" s="790">
        <v>0</v>
      </c>
      <c r="F40" s="677" t="str">
        <f t="shared" si="0"/>
        <v/>
      </c>
    </row>
    <row r="41" spans="1:6" s="331" customFormat="1" ht="10.5" customHeight="1">
      <c r="A41" s="674" t="s">
        <v>100</v>
      </c>
      <c r="B41" s="626" t="s">
        <v>433</v>
      </c>
      <c r="C41" s="628">
        <v>300.99405000000002</v>
      </c>
      <c r="D41" s="628">
        <v>0</v>
      </c>
      <c r="E41" s="791">
        <v>283.12439000000001</v>
      </c>
      <c r="F41" s="675" t="str">
        <f t="shared" si="0"/>
        <v/>
      </c>
    </row>
    <row r="42" spans="1:6" s="331" customFormat="1" ht="10.5" customHeight="1">
      <c r="A42" s="676" t="s">
        <v>544</v>
      </c>
      <c r="B42" s="512"/>
      <c r="C42" s="514">
        <v>300.99405000000002</v>
      </c>
      <c r="D42" s="514">
        <v>0</v>
      </c>
      <c r="E42" s="790">
        <v>283.12439000000001</v>
      </c>
      <c r="F42" s="677" t="str">
        <f t="shared" si="0"/>
        <v/>
      </c>
    </row>
    <row r="43" spans="1:6" s="331" customFormat="1" ht="10.5" customHeight="1">
      <c r="A43" s="674" t="s">
        <v>105</v>
      </c>
      <c r="B43" s="626" t="s">
        <v>348</v>
      </c>
      <c r="C43" s="628">
        <v>0</v>
      </c>
      <c r="D43" s="628">
        <v>156.52760000000001</v>
      </c>
      <c r="E43" s="791">
        <v>0</v>
      </c>
      <c r="F43" s="675">
        <f t="shared" si="0"/>
        <v>-1</v>
      </c>
    </row>
    <row r="44" spans="1:6" s="331" customFormat="1" ht="10.5" customHeight="1">
      <c r="A44" s="676" t="s">
        <v>545</v>
      </c>
      <c r="B44" s="512"/>
      <c r="C44" s="514">
        <v>0</v>
      </c>
      <c r="D44" s="514">
        <v>156.52760000000001</v>
      </c>
      <c r="E44" s="790">
        <v>0</v>
      </c>
      <c r="F44" s="677">
        <f t="shared" si="0"/>
        <v>-1</v>
      </c>
    </row>
    <row r="45" spans="1:6" s="331" customFormat="1" ht="10.5" customHeight="1">
      <c r="A45" s="674"/>
      <c r="B45" s="626"/>
      <c r="C45" s="628"/>
      <c r="D45" s="803"/>
      <c r="E45" s="803"/>
      <c r="F45" s="804"/>
    </row>
    <row r="46" spans="1:6" s="411" customFormat="1" ht="12" customHeight="1">
      <c r="A46" s="497" t="s">
        <v>404</v>
      </c>
      <c r="B46" s="507"/>
      <c r="C46" s="620">
        <v>6550.7330900000043</v>
      </c>
      <c r="D46" s="496">
        <v>6690.5887000000002</v>
      </c>
      <c r="E46" s="496">
        <v>7125.2993800000013</v>
      </c>
      <c r="F46" s="649">
        <f>+IF(D46=0,"",C46/D46-1)</f>
        <v>-2.0903333962226101E-2</v>
      </c>
    </row>
    <row r="47" spans="1:6" s="411" customFormat="1" ht="12" customHeight="1">
      <c r="A47" s="507" t="s">
        <v>349</v>
      </c>
      <c r="B47" s="497"/>
      <c r="C47" s="496">
        <f>+'8. Max Potencia'!D16</f>
        <v>0</v>
      </c>
      <c r="D47" s="496">
        <f>+'8. Max Potencia'!E16</f>
        <v>37.891759999999998</v>
      </c>
      <c r="E47" s="499">
        <v>0</v>
      </c>
      <c r="F47" s="650">
        <v>0</v>
      </c>
    </row>
    <row r="48" spans="1:6" s="411" customFormat="1" ht="12" customHeight="1">
      <c r="A48" s="651" t="s">
        <v>350</v>
      </c>
      <c r="B48" s="651"/>
      <c r="C48" s="496">
        <v>0</v>
      </c>
      <c r="D48" s="496">
        <v>0</v>
      </c>
      <c r="E48" s="499">
        <v>0</v>
      </c>
      <c r="F48" s="650">
        <v>0</v>
      </c>
    </row>
    <row r="49" spans="1:7" ht="12" customHeight="1">
      <c r="A49" s="753" t="s">
        <v>454</v>
      </c>
      <c r="B49" s="651"/>
      <c r="C49" s="496">
        <f>+C46+C47</f>
        <v>6550.7330900000043</v>
      </c>
      <c r="D49" s="496">
        <v>6793.7682599999998</v>
      </c>
      <c r="E49" s="496">
        <v>7125.2993800000013</v>
      </c>
      <c r="F49" s="649">
        <f>+IF(D49=0,"",C49/D49-1)</f>
        <v>-3.5773249940084906E-2</v>
      </c>
    </row>
    <row r="50" spans="1:7" ht="12" customHeight="1">
      <c r="A50" s="626"/>
      <c r="B50" s="629"/>
      <c r="C50" s="629"/>
      <c r="D50" s="629"/>
      <c r="E50" s="629"/>
      <c r="F50" s="629"/>
    </row>
    <row r="51" spans="1:7" ht="27.75" customHeight="1">
      <c r="A51" s="998" t="s">
        <v>480</v>
      </c>
      <c r="B51" s="998"/>
      <c r="C51" s="998"/>
      <c r="D51" s="998"/>
      <c r="E51" s="998"/>
      <c r="F51" s="998"/>
    </row>
    <row r="52" spans="1:7" ht="15" customHeight="1">
      <c r="A52" s="1011"/>
      <c r="B52" s="1011"/>
      <c r="C52" s="1011"/>
      <c r="D52" s="1011"/>
      <c r="E52" s="1011"/>
      <c r="F52" s="1011"/>
      <c r="G52" s="706"/>
    </row>
    <row r="53" spans="1:7" ht="15" customHeight="1">
      <c r="A53" s="706" t="s">
        <v>578</v>
      </c>
      <c r="B53" s="706"/>
      <c r="C53" s="706"/>
      <c r="D53" s="706"/>
      <c r="E53" s="706"/>
      <c r="F53" s="706"/>
      <c r="G53" s="706"/>
    </row>
    <row r="54" spans="1:7" ht="15" customHeight="1">
      <c r="A54" s="706" t="s">
        <v>585</v>
      </c>
      <c r="B54" s="706"/>
      <c r="C54" s="706"/>
      <c r="D54" s="706"/>
      <c r="E54" s="706"/>
      <c r="F54" s="706"/>
      <c r="G54" s="706"/>
    </row>
    <row r="55" spans="1:7" ht="15" customHeight="1">
      <c r="A55" s="1011"/>
      <c r="B55" s="1011"/>
      <c r="C55" s="1011"/>
      <c r="D55" s="1011"/>
      <c r="E55" s="1011"/>
      <c r="F55" s="1011"/>
      <c r="G55" s="706"/>
    </row>
    <row r="56" spans="1:7" ht="15" customHeight="1">
      <c r="A56" s="1011"/>
      <c r="B56" s="1011"/>
      <c r="C56" s="1011"/>
      <c r="D56" s="1011"/>
      <c r="E56" s="1011"/>
      <c r="F56" s="1011"/>
      <c r="G56" s="46"/>
    </row>
    <row r="57" spans="1:7" ht="15" customHeight="1">
      <c r="A57" s="1011"/>
      <c r="B57" s="1011"/>
      <c r="C57" s="1011"/>
      <c r="D57" s="1011"/>
      <c r="E57" s="1011"/>
      <c r="F57" s="1011"/>
      <c r="G57" s="46"/>
    </row>
    <row r="58" spans="1:7" ht="22.5" customHeight="1">
      <c r="A58" s="997"/>
      <c r="B58" s="997"/>
      <c r="C58" s="997"/>
      <c r="D58" s="997"/>
      <c r="E58" s="997"/>
      <c r="F58" s="997"/>
      <c r="G58" s="763"/>
    </row>
    <row r="59" spans="1:7" ht="15.75" customHeight="1">
      <c r="A59" s="1011"/>
      <c r="B59" s="1011"/>
      <c r="C59" s="1011"/>
      <c r="D59" s="1011"/>
      <c r="E59" s="1011"/>
      <c r="F59" s="1011"/>
      <c r="G59" s="730"/>
    </row>
    <row r="60" spans="1:7" ht="12" customHeight="1">
      <c r="A60" s="1011"/>
      <c r="B60" s="1011"/>
      <c r="C60" s="1011"/>
      <c r="D60" s="1011"/>
      <c r="E60" s="1011"/>
      <c r="F60" s="1011"/>
      <c r="G60" s="730"/>
    </row>
    <row r="61" spans="1:7" ht="12" customHeight="1">
      <c r="A61" s="1011"/>
      <c r="B61" s="1011"/>
      <c r="C61" s="1011"/>
      <c r="D61" s="1011"/>
      <c r="E61" s="1011"/>
      <c r="F61" s="1011"/>
      <c r="G61" s="730"/>
    </row>
    <row r="62" spans="1:7" ht="12" customHeight="1">
      <c r="A62" s="331"/>
      <c r="G62" s="730"/>
    </row>
    <row r="63" spans="1:7" ht="12" customHeight="1">
      <c r="A63" s="331"/>
    </row>
    <row r="64" spans="1:7" ht="12" customHeight="1">
      <c r="A64" s="331"/>
    </row>
  </sheetData>
  <mergeCells count="12">
    <mergeCell ref="A59:F59"/>
    <mergeCell ref="A60:F60"/>
    <mergeCell ref="A61:F61"/>
    <mergeCell ref="A1:A4"/>
    <mergeCell ref="B1:B4"/>
    <mergeCell ref="C1:F1"/>
    <mergeCell ref="A51:F51"/>
    <mergeCell ref="A58:F58"/>
    <mergeCell ref="A52:F52"/>
    <mergeCell ref="A55:F55"/>
    <mergeCell ref="A56:F56"/>
    <mergeCell ref="A57:F5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15" zoomScaleNormal="100" zoomScaleSheetLayoutView="115" zoomScalePageLayoutView="145" workbookViewId="0">
      <selection activeCell="N25" sqref="N25"/>
    </sheetView>
  </sheetViews>
  <sheetFormatPr defaultColWidth="9.33203125" defaultRowHeight="11.25"/>
  <cols>
    <col min="1" max="1" width="11.3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7" t="s">
        <v>362</v>
      </c>
      <c r="B3" s="275"/>
    </row>
    <row r="4" spans="1:13" ht="11.25" customHeight="1">
      <c r="B4" s="275"/>
    </row>
    <row r="5" spans="1:13" ht="11.25" customHeight="1">
      <c r="A5" s="276" t="s">
        <v>409</v>
      </c>
      <c r="C5" s="833">
        <v>6550.7330899999997</v>
      </c>
    </row>
    <row r="6" spans="1:13" ht="11.25" customHeight="1">
      <c r="A6" s="276" t="s">
        <v>363</v>
      </c>
      <c r="C6" s="833" t="s">
        <v>669</v>
      </c>
    </row>
    <row r="7" spans="1:13" ht="11.25" customHeight="1">
      <c r="A7" s="276" t="s">
        <v>364</v>
      </c>
      <c r="C7" s="833" t="s">
        <v>484</v>
      </c>
    </row>
    <row r="8" spans="1:13" ht="11.25" customHeight="1"/>
    <row r="9" spans="1:13" ht="14.25" customHeight="1">
      <c r="A9" s="1012" t="s">
        <v>355</v>
      </c>
      <c r="B9" s="1013" t="s">
        <v>356</v>
      </c>
      <c r="C9" s="1013"/>
      <c r="D9" s="1013"/>
      <c r="E9" s="1013"/>
      <c r="F9" s="1013"/>
      <c r="G9" s="1013" t="s">
        <v>357</v>
      </c>
      <c r="H9" s="1013"/>
      <c r="I9" s="1013"/>
      <c r="J9" s="1013"/>
      <c r="K9" s="1013"/>
    </row>
    <row r="10" spans="1:13" ht="26.25" customHeight="1">
      <c r="A10" s="1012"/>
      <c r="B10" s="505" t="s">
        <v>358</v>
      </c>
      <c r="C10" s="505" t="s">
        <v>199</v>
      </c>
      <c r="D10" s="505" t="s">
        <v>349</v>
      </c>
      <c r="E10" s="505" t="s">
        <v>350</v>
      </c>
      <c r="F10" s="506" t="s">
        <v>361</v>
      </c>
      <c r="G10" s="505" t="s">
        <v>358</v>
      </c>
      <c r="H10" s="505" t="s">
        <v>199</v>
      </c>
      <c r="I10" s="505" t="s">
        <v>349</v>
      </c>
      <c r="J10" s="505" t="s">
        <v>350</v>
      </c>
      <c r="K10" s="506" t="s">
        <v>361</v>
      </c>
      <c r="L10" s="36"/>
      <c r="M10" s="46"/>
    </row>
    <row r="11" spans="1:13" ht="11.25" customHeight="1">
      <c r="A11" s="1012"/>
      <c r="B11" s="505" t="s">
        <v>359</v>
      </c>
      <c r="C11" s="505" t="s">
        <v>360</v>
      </c>
      <c r="D11" s="505" t="s">
        <v>360</v>
      </c>
      <c r="E11" s="505" t="s">
        <v>360</v>
      </c>
      <c r="F11" s="505" t="s">
        <v>360</v>
      </c>
      <c r="G11" s="505" t="s">
        <v>359</v>
      </c>
      <c r="H11" s="505" t="s">
        <v>360</v>
      </c>
      <c r="I11" s="505" t="s">
        <v>360</v>
      </c>
      <c r="J11" s="505" t="s">
        <v>360</v>
      </c>
      <c r="K11" s="505" t="s">
        <v>360</v>
      </c>
      <c r="L11" s="36"/>
      <c r="M11" s="46"/>
    </row>
    <row r="12" spans="1:13" ht="11.25" customHeight="1">
      <c r="A12" s="884" t="s">
        <v>636</v>
      </c>
      <c r="B12" s="881" t="s">
        <v>637</v>
      </c>
      <c r="C12" s="879">
        <v>5969.6629199999998</v>
      </c>
      <c r="D12" s="879">
        <v>0</v>
      </c>
      <c r="E12" s="879">
        <v>0</v>
      </c>
      <c r="F12" s="879">
        <v>5969.6629199999998</v>
      </c>
      <c r="G12" s="881" t="s">
        <v>484</v>
      </c>
      <c r="H12" s="879">
        <v>6144.4117399999996</v>
      </c>
      <c r="I12" s="879">
        <v>0</v>
      </c>
      <c r="J12" s="879">
        <v>0</v>
      </c>
      <c r="K12" s="879">
        <v>6144.4117399999996</v>
      </c>
      <c r="L12" s="205"/>
      <c r="M12" s="46"/>
    </row>
    <row r="13" spans="1:13" ht="11.25" customHeight="1">
      <c r="A13" s="884" t="s">
        <v>638</v>
      </c>
      <c r="B13" s="881" t="s">
        <v>550</v>
      </c>
      <c r="C13" s="879">
        <v>5434.6549400000004</v>
      </c>
      <c r="D13" s="879">
        <v>0</v>
      </c>
      <c r="E13" s="879">
        <v>0</v>
      </c>
      <c r="F13" s="879">
        <v>5434.6549400000004</v>
      </c>
      <c r="G13" s="881" t="s">
        <v>484</v>
      </c>
      <c r="H13" s="879">
        <v>6011.8356100000001</v>
      </c>
      <c r="I13" s="879">
        <v>0</v>
      </c>
      <c r="J13" s="879">
        <v>0</v>
      </c>
      <c r="K13" s="879">
        <v>6011.8356100000001</v>
      </c>
      <c r="L13" s="5"/>
    </row>
    <row r="14" spans="1:13" ht="11.25" customHeight="1">
      <c r="A14" s="884" t="s">
        <v>639</v>
      </c>
      <c r="B14" s="881" t="s">
        <v>574</v>
      </c>
      <c r="C14" s="879">
        <v>6277.3767099999995</v>
      </c>
      <c r="D14" s="879">
        <v>0</v>
      </c>
      <c r="E14" s="879">
        <v>0</v>
      </c>
      <c r="F14" s="879">
        <v>6277.3767099999995</v>
      </c>
      <c r="G14" s="881" t="s">
        <v>450</v>
      </c>
      <c r="H14" s="879">
        <v>6274.3965699999999</v>
      </c>
      <c r="I14" s="879">
        <v>0</v>
      </c>
      <c r="J14" s="879">
        <v>0</v>
      </c>
      <c r="K14" s="879">
        <v>6274.3965699999999</v>
      </c>
      <c r="L14" s="15"/>
    </row>
    <row r="15" spans="1:13" ht="11.25" customHeight="1">
      <c r="A15" s="884" t="s">
        <v>640</v>
      </c>
      <c r="B15" s="881" t="s">
        <v>485</v>
      </c>
      <c r="C15" s="879">
        <v>6121.9503000000004</v>
      </c>
      <c r="D15" s="879">
        <v>0</v>
      </c>
      <c r="E15" s="879">
        <v>0</v>
      </c>
      <c r="F15" s="879">
        <v>6121.9503000000004</v>
      </c>
      <c r="G15" s="881" t="s">
        <v>451</v>
      </c>
      <c r="H15" s="879">
        <v>6365.6287400000001</v>
      </c>
      <c r="I15" s="879">
        <v>0</v>
      </c>
      <c r="J15" s="879">
        <v>0</v>
      </c>
      <c r="K15" s="879">
        <v>6365.6287400000001</v>
      </c>
      <c r="L15" s="12"/>
    </row>
    <row r="16" spans="1:13" ht="11.25" customHeight="1">
      <c r="A16" s="884" t="s">
        <v>641</v>
      </c>
      <c r="B16" s="881" t="s">
        <v>576</v>
      </c>
      <c r="C16" s="879">
        <v>6214.28042</v>
      </c>
      <c r="D16" s="879">
        <v>0</v>
      </c>
      <c r="E16" s="879">
        <v>0</v>
      </c>
      <c r="F16" s="879">
        <v>6214.28042</v>
      </c>
      <c r="G16" s="881" t="s">
        <v>450</v>
      </c>
      <c r="H16" s="879">
        <v>6238.6491699999997</v>
      </c>
      <c r="I16" s="879">
        <v>0</v>
      </c>
      <c r="J16" s="879">
        <v>0</v>
      </c>
      <c r="K16" s="879">
        <v>6238.6491699999997</v>
      </c>
      <c r="L16" s="22"/>
    </row>
    <row r="17" spans="1:12" ht="11.25" customHeight="1">
      <c r="A17" s="884" t="s">
        <v>642</v>
      </c>
      <c r="B17" s="881" t="s">
        <v>574</v>
      </c>
      <c r="C17" s="879">
        <v>6228.0241599999999</v>
      </c>
      <c r="D17" s="879">
        <v>0</v>
      </c>
      <c r="E17" s="879">
        <v>0</v>
      </c>
      <c r="F17" s="879">
        <v>6228.0241599999999</v>
      </c>
      <c r="G17" s="881" t="s">
        <v>450</v>
      </c>
      <c r="H17" s="879">
        <v>6280.4516599999997</v>
      </c>
      <c r="I17" s="879">
        <v>0</v>
      </c>
      <c r="J17" s="879">
        <v>0</v>
      </c>
      <c r="K17" s="879">
        <v>6280.4516599999997</v>
      </c>
      <c r="L17" s="22"/>
    </row>
    <row r="18" spans="1:12" ht="11.25" customHeight="1">
      <c r="A18" s="884" t="s">
        <v>643</v>
      </c>
      <c r="B18" s="881" t="s">
        <v>644</v>
      </c>
      <c r="C18" s="879">
        <v>6251.7186899999997</v>
      </c>
      <c r="D18" s="879">
        <v>0</v>
      </c>
      <c r="E18" s="879">
        <v>0</v>
      </c>
      <c r="F18" s="879">
        <v>6251.7186899999997</v>
      </c>
      <c r="G18" s="881" t="s">
        <v>484</v>
      </c>
      <c r="H18" s="879">
        <v>6367.6428800000003</v>
      </c>
      <c r="I18" s="879">
        <v>0</v>
      </c>
      <c r="J18" s="879">
        <v>0</v>
      </c>
      <c r="K18" s="879">
        <v>6367.6428800000003</v>
      </c>
      <c r="L18" s="22"/>
    </row>
    <row r="19" spans="1:12" ht="11.25" customHeight="1">
      <c r="A19" s="884" t="s">
        <v>645</v>
      </c>
      <c r="B19" s="881" t="s">
        <v>547</v>
      </c>
      <c r="C19" s="879">
        <v>6240.3620700000001</v>
      </c>
      <c r="D19" s="879">
        <v>0</v>
      </c>
      <c r="E19" s="879">
        <v>0</v>
      </c>
      <c r="F19" s="879">
        <v>6240.3620700000001</v>
      </c>
      <c r="G19" s="881" t="s">
        <v>549</v>
      </c>
      <c r="H19" s="879">
        <v>6292.7667799999999</v>
      </c>
      <c r="I19" s="879">
        <v>0</v>
      </c>
      <c r="J19" s="879">
        <v>0</v>
      </c>
      <c r="K19" s="879">
        <v>6292.7667799999999</v>
      </c>
      <c r="L19" s="22"/>
    </row>
    <row r="20" spans="1:12" ht="11.25" customHeight="1">
      <c r="A20" s="884" t="s">
        <v>646</v>
      </c>
      <c r="B20" s="881" t="s">
        <v>550</v>
      </c>
      <c r="C20" s="879">
        <v>5524.53503</v>
      </c>
      <c r="D20" s="879">
        <v>0</v>
      </c>
      <c r="E20" s="879">
        <v>0</v>
      </c>
      <c r="F20" s="879">
        <v>5524.53503</v>
      </c>
      <c r="G20" s="881" t="s">
        <v>450</v>
      </c>
      <c r="H20" s="879">
        <v>6175.9328299999997</v>
      </c>
      <c r="I20" s="879">
        <v>0</v>
      </c>
      <c r="J20" s="879">
        <v>0</v>
      </c>
      <c r="K20" s="879">
        <v>6175.9328299999997</v>
      </c>
      <c r="L20" s="24"/>
    </row>
    <row r="21" spans="1:12" ht="11.25" customHeight="1">
      <c r="A21" s="884" t="s">
        <v>647</v>
      </c>
      <c r="B21" s="881" t="s">
        <v>546</v>
      </c>
      <c r="C21" s="879">
        <v>6285.1621500000001</v>
      </c>
      <c r="D21" s="879">
        <v>0</v>
      </c>
      <c r="E21" s="879">
        <v>0</v>
      </c>
      <c r="F21" s="879">
        <v>6285.1621500000001</v>
      </c>
      <c r="G21" s="881" t="s">
        <v>648</v>
      </c>
      <c r="H21" s="879">
        <v>6355.0828300000003</v>
      </c>
      <c r="I21" s="879">
        <v>0</v>
      </c>
      <c r="J21" s="879">
        <v>0</v>
      </c>
      <c r="K21" s="879">
        <v>6355.0828300000003</v>
      </c>
      <c r="L21" s="22"/>
    </row>
    <row r="22" spans="1:12" ht="11.25" customHeight="1">
      <c r="A22" s="884" t="s">
        <v>649</v>
      </c>
      <c r="B22" s="881" t="s">
        <v>637</v>
      </c>
      <c r="C22" s="879">
        <v>6282.54558</v>
      </c>
      <c r="D22" s="879">
        <v>32.936</v>
      </c>
      <c r="E22" s="879">
        <v>0</v>
      </c>
      <c r="F22" s="879">
        <v>6315.4815799999997</v>
      </c>
      <c r="G22" s="881" t="s">
        <v>450</v>
      </c>
      <c r="H22" s="879">
        <v>6384.4470600000004</v>
      </c>
      <c r="I22" s="879">
        <v>40.804000000000002</v>
      </c>
      <c r="J22" s="879">
        <v>0</v>
      </c>
      <c r="K22" s="879">
        <v>6425.2510599999996</v>
      </c>
      <c r="L22" s="22"/>
    </row>
    <row r="23" spans="1:12" ht="11.25" customHeight="1">
      <c r="A23" s="884" t="s">
        <v>650</v>
      </c>
      <c r="B23" s="881" t="s">
        <v>546</v>
      </c>
      <c r="C23" s="879">
        <v>6319.6574499999997</v>
      </c>
      <c r="D23" s="879">
        <v>38.508000000000003</v>
      </c>
      <c r="E23" s="879">
        <v>0</v>
      </c>
      <c r="F23" s="879">
        <v>6358.1654500000004</v>
      </c>
      <c r="G23" s="881" t="s">
        <v>483</v>
      </c>
      <c r="H23" s="879">
        <v>6379.1229800000001</v>
      </c>
      <c r="I23" s="879">
        <v>40.515999999999998</v>
      </c>
      <c r="J23" s="879">
        <v>0</v>
      </c>
      <c r="K23" s="879">
        <v>6419.6389799999997</v>
      </c>
      <c r="L23" s="22"/>
    </row>
    <row r="24" spans="1:12" ht="11.25" customHeight="1">
      <c r="A24" s="884" t="s">
        <v>651</v>
      </c>
      <c r="B24" s="881" t="s">
        <v>652</v>
      </c>
      <c r="C24" s="879">
        <v>6251.62619</v>
      </c>
      <c r="D24" s="879">
        <v>0</v>
      </c>
      <c r="E24" s="879">
        <v>0</v>
      </c>
      <c r="F24" s="879">
        <v>6251.62619</v>
      </c>
      <c r="G24" s="881" t="s">
        <v>451</v>
      </c>
      <c r="H24" s="879">
        <v>6485.2144500000004</v>
      </c>
      <c r="I24" s="879">
        <v>0</v>
      </c>
      <c r="J24" s="879">
        <v>0</v>
      </c>
      <c r="K24" s="879">
        <v>6485.2144500000004</v>
      </c>
      <c r="L24" s="22"/>
    </row>
    <row r="25" spans="1:12" ht="11.25" customHeight="1">
      <c r="A25" s="884" t="s">
        <v>653</v>
      </c>
      <c r="B25" s="881" t="s">
        <v>574</v>
      </c>
      <c r="C25" s="879">
        <v>6441.8384299999998</v>
      </c>
      <c r="D25" s="879">
        <v>0</v>
      </c>
      <c r="E25" s="879">
        <v>0</v>
      </c>
      <c r="F25" s="879">
        <v>6441.8384299999998</v>
      </c>
      <c r="G25" s="881" t="s">
        <v>484</v>
      </c>
      <c r="H25" s="879">
        <v>6409.4285099999997</v>
      </c>
      <c r="I25" s="879">
        <v>39.375999999999998</v>
      </c>
      <c r="J25" s="879">
        <v>0</v>
      </c>
      <c r="K25" s="879">
        <v>6448.8045099999999</v>
      </c>
      <c r="L25" s="22"/>
    </row>
    <row r="26" spans="1:12" ht="11.25" customHeight="1">
      <c r="A26" s="884" t="s">
        <v>654</v>
      </c>
      <c r="B26" s="881" t="s">
        <v>547</v>
      </c>
      <c r="C26" s="879">
        <v>6204.89948</v>
      </c>
      <c r="D26" s="879">
        <v>36.944000000000003</v>
      </c>
      <c r="E26" s="879">
        <v>0</v>
      </c>
      <c r="F26" s="879">
        <v>6241.8434800000005</v>
      </c>
      <c r="G26" s="881" t="s">
        <v>484</v>
      </c>
      <c r="H26" s="879">
        <v>6360.9290099999998</v>
      </c>
      <c r="I26" s="879">
        <v>38.572000000000003</v>
      </c>
      <c r="J26" s="879">
        <v>0</v>
      </c>
      <c r="K26" s="879">
        <v>6399.50101</v>
      </c>
      <c r="L26" s="22"/>
    </row>
    <row r="27" spans="1:12" ht="11.25" customHeight="1">
      <c r="A27" s="884" t="s">
        <v>655</v>
      </c>
      <c r="B27" s="881" t="s">
        <v>656</v>
      </c>
      <c r="C27" s="879">
        <v>5553.7830100000001</v>
      </c>
      <c r="D27" s="879">
        <v>0</v>
      </c>
      <c r="E27" s="879">
        <v>0</v>
      </c>
      <c r="F27" s="879">
        <v>5553.7830100000001</v>
      </c>
      <c r="G27" s="881" t="s">
        <v>451</v>
      </c>
      <c r="H27" s="879">
        <v>6205.3422099999998</v>
      </c>
      <c r="I27" s="879">
        <v>0</v>
      </c>
      <c r="J27" s="879">
        <v>0</v>
      </c>
      <c r="K27" s="879">
        <v>6205.3422099999998</v>
      </c>
      <c r="L27" s="22"/>
    </row>
    <row r="28" spans="1:12" ht="11.25" customHeight="1">
      <c r="A28" s="884" t="s">
        <v>657</v>
      </c>
      <c r="B28" s="881" t="s">
        <v>658</v>
      </c>
      <c r="C28" s="879">
        <v>6455.2731000000003</v>
      </c>
      <c r="D28" s="879">
        <v>0</v>
      </c>
      <c r="E28" s="879">
        <v>0</v>
      </c>
      <c r="F28" s="879">
        <v>6455.2731000000003</v>
      </c>
      <c r="G28" s="881" t="s">
        <v>450</v>
      </c>
      <c r="H28" s="879">
        <v>6490.5855700000002</v>
      </c>
      <c r="I28" s="879">
        <v>0</v>
      </c>
      <c r="J28" s="879">
        <v>0</v>
      </c>
      <c r="K28" s="879">
        <v>6490.5855700000002</v>
      </c>
      <c r="L28" s="30"/>
    </row>
    <row r="29" spans="1:12" ht="11.25" customHeight="1">
      <c r="A29" s="884" t="s">
        <v>659</v>
      </c>
      <c r="B29" s="881" t="s">
        <v>652</v>
      </c>
      <c r="C29" s="879">
        <v>6380.5550899999998</v>
      </c>
      <c r="D29" s="879">
        <v>0</v>
      </c>
      <c r="E29" s="879">
        <v>0</v>
      </c>
      <c r="F29" s="879">
        <v>6380.5550899999998</v>
      </c>
      <c r="G29" s="881" t="s">
        <v>575</v>
      </c>
      <c r="H29" s="879">
        <v>6380.2693600000002</v>
      </c>
      <c r="I29" s="879">
        <v>0</v>
      </c>
      <c r="J29" s="879">
        <v>0</v>
      </c>
      <c r="K29" s="879">
        <v>6380.2693600000002</v>
      </c>
      <c r="L29" s="22"/>
    </row>
    <row r="30" spans="1:12" ht="11.25" customHeight="1">
      <c r="A30" s="884" t="s">
        <v>660</v>
      </c>
      <c r="B30" s="882" t="s">
        <v>546</v>
      </c>
      <c r="C30" s="880">
        <v>6552.049</v>
      </c>
      <c r="D30" s="880">
        <v>0</v>
      </c>
      <c r="E30" s="880">
        <v>0</v>
      </c>
      <c r="F30" s="880">
        <v>6552.049</v>
      </c>
      <c r="G30" s="881" t="s">
        <v>450</v>
      </c>
      <c r="H30" s="879">
        <v>6517.8946400000004</v>
      </c>
      <c r="I30" s="879">
        <v>0</v>
      </c>
      <c r="J30" s="879">
        <v>0</v>
      </c>
      <c r="K30" s="879">
        <v>6517.8946400000004</v>
      </c>
      <c r="L30" s="22"/>
    </row>
    <row r="31" spans="1:12" ht="11.25" customHeight="1">
      <c r="A31" s="884" t="s">
        <v>661</v>
      </c>
      <c r="B31" s="881" t="s">
        <v>546</v>
      </c>
      <c r="C31" s="879">
        <v>6426.9840999999997</v>
      </c>
      <c r="D31" s="879">
        <v>0</v>
      </c>
      <c r="E31" s="879">
        <v>0</v>
      </c>
      <c r="F31" s="879">
        <v>6426.9840999999997</v>
      </c>
      <c r="G31" s="881" t="s">
        <v>648</v>
      </c>
      <c r="H31" s="879">
        <v>6481.9218899999996</v>
      </c>
      <c r="I31" s="879">
        <v>0</v>
      </c>
      <c r="J31" s="879">
        <v>0</v>
      </c>
      <c r="K31" s="879">
        <v>6481.9218899999996</v>
      </c>
      <c r="L31" s="15"/>
    </row>
    <row r="32" spans="1:12" ht="11.25" customHeight="1">
      <c r="A32" s="884" t="s">
        <v>662</v>
      </c>
      <c r="B32" s="881" t="s">
        <v>546</v>
      </c>
      <c r="C32" s="879">
        <v>6406.3480499999996</v>
      </c>
      <c r="D32" s="879">
        <v>0</v>
      </c>
      <c r="E32" s="879">
        <v>0</v>
      </c>
      <c r="F32" s="879">
        <v>6406.3480499999996</v>
      </c>
      <c r="G32" s="881" t="s">
        <v>549</v>
      </c>
      <c r="H32" s="879">
        <v>6366.0472499999996</v>
      </c>
      <c r="I32" s="879">
        <v>0</v>
      </c>
      <c r="J32" s="879">
        <v>0</v>
      </c>
      <c r="K32" s="879">
        <v>6366.0472499999996</v>
      </c>
      <c r="L32" s="16"/>
    </row>
    <row r="33" spans="1:12" ht="11.25" customHeight="1">
      <c r="A33" s="884" t="s">
        <v>663</v>
      </c>
      <c r="B33" s="881" t="s">
        <v>574</v>
      </c>
      <c r="C33" s="879">
        <v>6143.9472800000003</v>
      </c>
      <c r="D33" s="879">
        <v>0</v>
      </c>
      <c r="E33" s="879">
        <v>0</v>
      </c>
      <c r="F33" s="879">
        <v>6143.9472800000003</v>
      </c>
      <c r="G33" s="881" t="s">
        <v>549</v>
      </c>
      <c r="H33" s="879">
        <v>6176.84908</v>
      </c>
      <c r="I33" s="879">
        <v>0</v>
      </c>
      <c r="J33" s="879">
        <v>0</v>
      </c>
      <c r="K33" s="879">
        <v>6176.84908</v>
      </c>
      <c r="L33" s="15"/>
    </row>
    <row r="34" spans="1:12" s="730" customFormat="1" ht="11.25" customHeight="1">
      <c r="A34" s="884" t="s">
        <v>664</v>
      </c>
      <c r="B34" s="881" t="s">
        <v>550</v>
      </c>
      <c r="C34" s="879">
        <v>5386.2324699999999</v>
      </c>
      <c r="D34" s="879">
        <v>0</v>
      </c>
      <c r="E34" s="879">
        <v>0</v>
      </c>
      <c r="F34" s="879">
        <v>5386.2324699999999</v>
      </c>
      <c r="G34" s="881" t="s">
        <v>483</v>
      </c>
      <c r="H34" s="879">
        <v>5953.3142500000004</v>
      </c>
      <c r="I34" s="879">
        <v>0</v>
      </c>
      <c r="J34" s="879">
        <v>0</v>
      </c>
      <c r="K34" s="879">
        <v>5953.3142500000004</v>
      </c>
      <c r="L34" s="15"/>
    </row>
    <row r="35" spans="1:12" ht="11.25" customHeight="1">
      <c r="A35" s="884" t="s">
        <v>665</v>
      </c>
      <c r="B35" s="881" t="s">
        <v>546</v>
      </c>
      <c r="C35" s="879">
        <v>6303.9332000000004</v>
      </c>
      <c r="D35" s="879">
        <v>0</v>
      </c>
      <c r="E35" s="879">
        <v>0</v>
      </c>
      <c r="F35" s="879">
        <v>6303.9332000000004</v>
      </c>
      <c r="G35" s="881" t="s">
        <v>483</v>
      </c>
      <c r="H35" s="879">
        <v>6442.68372</v>
      </c>
      <c r="I35" s="879">
        <v>0</v>
      </c>
      <c r="J35" s="879">
        <v>0</v>
      </c>
      <c r="K35" s="879">
        <v>6442.68372</v>
      </c>
      <c r="L35" s="15"/>
    </row>
    <row r="36" spans="1:12" ht="11.25" customHeight="1">
      <c r="A36" s="884" t="s">
        <v>666</v>
      </c>
      <c r="B36" s="881" t="s">
        <v>546</v>
      </c>
      <c r="C36" s="879">
        <v>6300.9124300000003</v>
      </c>
      <c r="D36" s="879">
        <v>0</v>
      </c>
      <c r="E36" s="879">
        <v>0</v>
      </c>
      <c r="F36" s="879">
        <v>6300.9124300000003</v>
      </c>
      <c r="G36" s="881" t="s">
        <v>450</v>
      </c>
      <c r="H36" s="879">
        <v>6397.4414900000002</v>
      </c>
      <c r="I36" s="879">
        <v>0</v>
      </c>
      <c r="J36" s="879">
        <v>0</v>
      </c>
      <c r="K36" s="879">
        <v>6397.4414900000002</v>
      </c>
      <c r="L36" s="22"/>
    </row>
    <row r="37" spans="1:12" ht="11.25" customHeight="1">
      <c r="A37" s="884" t="s">
        <v>667</v>
      </c>
      <c r="B37" s="881" t="s">
        <v>546</v>
      </c>
      <c r="C37" s="879">
        <v>6400.5898200000001</v>
      </c>
      <c r="D37" s="879">
        <v>0</v>
      </c>
      <c r="E37" s="879">
        <v>0</v>
      </c>
      <c r="F37" s="879">
        <v>6400.5898200000001</v>
      </c>
      <c r="G37" s="881" t="s">
        <v>484</v>
      </c>
      <c r="H37" s="879">
        <v>6414.2177600000005</v>
      </c>
      <c r="I37" s="879">
        <v>0</v>
      </c>
      <c r="J37" s="879">
        <v>0</v>
      </c>
      <c r="K37" s="879">
        <v>6414.2177600000005</v>
      </c>
      <c r="L37" s="22"/>
    </row>
    <row r="38" spans="1:12" ht="11.25" customHeight="1">
      <c r="A38" s="884" t="s">
        <v>668</v>
      </c>
      <c r="B38" s="881" t="s">
        <v>546</v>
      </c>
      <c r="C38" s="879">
        <v>6477.2875400000003</v>
      </c>
      <c r="D38" s="879">
        <v>0</v>
      </c>
      <c r="E38" s="879">
        <v>0</v>
      </c>
      <c r="F38" s="879">
        <v>6477.2875400000003</v>
      </c>
      <c r="G38" s="881" t="s">
        <v>450</v>
      </c>
      <c r="H38" s="879">
        <v>6525.7299700000003</v>
      </c>
      <c r="I38" s="879">
        <v>0</v>
      </c>
      <c r="J38" s="879">
        <v>0</v>
      </c>
      <c r="K38" s="879">
        <v>6525.7299700000003</v>
      </c>
      <c r="L38" s="22"/>
    </row>
    <row r="39" spans="1:12" ht="11.25" customHeight="1">
      <c r="A39" s="884" t="s">
        <v>669</v>
      </c>
      <c r="B39" s="881" t="s">
        <v>548</v>
      </c>
      <c r="C39" s="879">
        <v>6527.1938300000002</v>
      </c>
      <c r="D39" s="879">
        <v>0</v>
      </c>
      <c r="E39" s="879">
        <v>0</v>
      </c>
      <c r="F39" s="879">
        <v>6527.1938300000002</v>
      </c>
      <c r="G39" s="882" t="s">
        <v>484</v>
      </c>
      <c r="H39" s="880">
        <v>6550.7330899999997</v>
      </c>
      <c r="I39" s="880">
        <v>0</v>
      </c>
      <c r="J39" s="880">
        <v>0</v>
      </c>
      <c r="K39" s="880">
        <v>6550.7330899999997</v>
      </c>
      <c r="L39" s="22"/>
    </row>
    <row r="40" spans="1:12" ht="11.25" customHeight="1">
      <c r="A40" s="884" t="s">
        <v>670</v>
      </c>
      <c r="B40" s="881" t="s">
        <v>546</v>
      </c>
      <c r="C40" s="879">
        <v>6352.9902000000002</v>
      </c>
      <c r="D40" s="879">
        <v>0</v>
      </c>
      <c r="E40" s="879">
        <v>0</v>
      </c>
      <c r="F40" s="879">
        <v>6352.9902000000002</v>
      </c>
      <c r="G40" s="881" t="s">
        <v>484</v>
      </c>
      <c r="H40" s="879">
        <v>6380.2662300000002</v>
      </c>
      <c r="I40" s="879">
        <v>0</v>
      </c>
      <c r="J40" s="879">
        <v>0</v>
      </c>
      <c r="K40" s="879">
        <v>6380.2662300000002</v>
      </c>
      <c r="L40" s="22"/>
    </row>
    <row r="41" spans="1:12" ht="11.25" customHeight="1">
      <c r="A41" s="884" t="s">
        <v>671</v>
      </c>
      <c r="B41" s="881" t="s">
        <v>550</v>
      </c>
      <c r="C41" s="879">
        <v>5645.0307599999996</v>
      </c>
      <c r="D41" s="879">
        <v>0</v>
      </c>
      <c r="E41" s="879">
        <v>0</v>
      </c>
      <c r="F41" s="879">
        <v>5645.0307599999996</v>
      </c>
      <c r="G41" s="881" t="s">
        <v>450</v>
      </c>
      <c r="H41" s="879">
        <v>6013.71317</v>
      </c>
      <c r="I41" s="879">
        <v>0</v>
      </c>
      <c r="J41" s="879">
        <v>0</v>
      </c>
      <c r="K41" s="879">
        <v>6013.71317</v>
      </c>
      <c r="L41" s="22"/>
    </row>
    <row r="42" spans="1:12" s="730" customFormat="1" ht="11.25" customHeight="1">
      <c r="A42" s="884" t="s">
        <v>672</v>
      </c>
      <c r="B42" s="881" t="s">
        <v>546</v>
      </c>
      <c r="C42" s="879">
        <v>6212.2921900000001</v>
      </c>
      <c r="D42" s="879">
        <v>0</v>
      </c>
      <c r="E42" s="879">
        <v>0</v>
      </c>
      <c r="F42" s="879">
        <v>6212.2921900000001</v>
      </c>
      <c r="G42" s="881" t="s">
        <v>577</v>
      </c>
      <c r="H42" s="879">
        <v>6347.4656299999997</v>
      </c>
      <c r="I42" s="879">
        <v>0</v>
      </c>
      <c r="J42" s="879">
        <v>0</v>
      </c>
      <c r="K42" s="879">
        <v>6347.4656299999997</v>
      </c>
      <c r="L42" s="22"/>
    </row>
    <row r="43" spans="1:12" ht="11.25" customHeight="1">
      <c r="A43" s="883"/>
      <c r="B43" s="883"/>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2.75">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11"/>
      <c r="C53" s="111"/>
      <c r="D53" s="111"/>
      <c r="E53" s="111"/>
      <c r="F53" s="111"/>
      <c r="G53" s="111"/>
      <c r="H53" s="111"/>
      <c r="I53" s="111"/>
      <c r="J53" s="111"/>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97"/>
      <c r="C58" s="197"/>
      <c r="D58" s="197"/>
      <c r="E58" s="197"/>
      <c r="F58" s="197"/>
      <c r="G58" s="197"/>
      <c r="H58" s="197"/>
      <c r="I58" s="197"/>
      <c r="J58" s="197"/>
      <c r="K58" s="198"/>
    </row>
    <row r="59" spans="1:11" ht="12.75">
      <c r="A59" s="196"/>
      <c r="B59" s="197"/>
      <c r="C59" s="197"/>
      <c r="D59" s="197"/>
      <c r="E59" s="197"/>
      <c r="F59" s="197"/>
      <c r="G59" s="197"/>
      <c r="H59" s="197"/>
      <c r="I59" s="197"/>
      <c r="J59" s="197"/>
      <c r="K59" s="198"/>
    </row>
    <row r="60" spans="1:11" ht="12.75">
      <c r="A60" s="196"/>
      <c r="B60" s="200"/>
      <c r="C60" s="198"/>
      <c r="D60" s="198"/>
      <c r="E60" s="198"/>
      <c r="F60" s="198"/>
      <c r="G60" s="197"/>
      <c r="H60" s="197"/>
      <c r="I60" s="197"/>
      <c r="J60" s="197"/>
      <c r="K60" s="198"/>
    </row>
    <row r="61" spans="1:11" ht="12.75">
      <c r="A61" s="201"/>
      <c r="B61" s="202"/>
      <c r="C61" s="202"/>
      <c r="D61" s="202"/>
      <c r="E61" s="202"/>
      <c r="F61" s="202"/>
      <c r="G61" s="202"/>
      <c r="H61" s="197"/>
      <c r="I61" s="197"/>
      <c r="J61" s="197"/>
      <c r="K61" s="198"/>
    </row>
    <row r="62" spans="1:11" ht="12.75">
      <c r="A62" s="201"/>
      <c r="B62" s="202"/>
      <c r="C62" s="202"/>
      <c r="D62" s="202"/>
      <c r="E62" s="202"/>
      <c r="F62" s="202"/>
      <c r="G62" s="202"/>
      <c r="H62" s="197"/>
      <c r="I62" s="197"/>
      <c r="J62" s="197"/>
      <c r="K62" s="197"/>
    </row>
    <row r="63" spans="1:11" ht="12.75">
      <c r="A63" s="201"/>
      <c r="B63" s="202"/>
      <c r="C63" s="202"/>
      <c r="D63" s="202"/>
      <c r="E63" s="202"/>
      <c r="F63" s="202"/>
      <c r="G63" s="202"/>
      <c r="H63" s="197"/>
      <c r="I63" s="197"/>
      <c r="J63" s="197"/>
      <c r="K63"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3"/>
  <sheetViews>
    <sheetView showGridLines="0" view="pageBreakPreview" zoomScale="130" zoomScaleNormal="100" zoomScaleSheetLayoutView="130" workbookViewId="0">
      <selection activeCell="N25" sqref="N25"/>
    </sheetView>
  </sheetViews>
  <sheetFormatPr defaultColWidth="9.33203125" defaultRowHeight="9"/>
  <cols>
    <col min="1" max="1" width="16.1640625" style="808" customWidth="1"/>
    <col min="2" max="2" width="19.6640625" style="808" customWidth="1"/>
    <col min="3" max="3" width="12.83203125" style="808" bestFit="1" customWidth="1"/>
    <col min="4" max="4" width="57.5" style="808" customWidth="1"/>
    <col min="5" max="5" width="12.5" style="808" customWidth="1"/>
    <col min="6" max="6" width="10.5" style="808" customWidth="1"/>
    <col min="7" max="8" width="9.33203125" style="808" customWidth="1"/>
    <col min="9" max="16384" width="9.332031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53.25" customHeight="1">
      <c r="A3" s="818" t="s">
        <v>587</v>
      </c>
      <c r="B3" s="818" t="s">
        <v>588</v>
      </c>
      <c r="C3" s="816">
        <v>44045.504166666666</v>
      </c>
      <c r="D3" s="817" t="s">
        <v>611</v>
      </c>
      <c r="E3" s="818">
        <v>13</v>
      </c>
      <c r="F3" s="818"/>
      <c r="H3" s="813"/>
      <c r="I3" s="815"/>
    </row>
    <row r="4" spans="1:9" ht="96" customHeight="1">
      <c r="A4" s="818" t="s">
        <v>589</v>
      </c>
      <c r="B4" s="818" t="s">
        <v>590</v>
      </c>
      <c r="C4" s="816">
        <v>44046.762499999997</v>
      </c>
      <c r="D4" s="817" t="s">
        <v>612</v>
      </c>
      <c r="E4" s="818">
        <v>2.1</v>
      </c>
      <c r="F4" s="818"/>
      <c r="G4" s="819"/>
      <c r="H4" s="819"/>
      <c r="I4" s="820"/>
    </row>
    <row r="5" spans="1:9" ht="61.5" customHeight="1">
      <c r="A5" s="818" t="s">
        <v>591</v>
      </c>
      <c r="B5" s="818" t="s">
        <v>592</v>
      </c>
      <c r="C5" s="816">
        <v>44047.30972222222</v>
      </c>
      <c r="D5" s="817" t="s">
        <v>613</v>
      </c>
      <c r="E5" s="818">
        <v>25.83</v>
      </c>
      <c r="F5" s="818"/>
      <c r="G5" s="819"/>
      <c r="H5" s="819"/>
      <c r="I5" s="821"/>
    </row>
    <row r="6" spans="1:9" ht="61.5" customHeight="1">
      <c r="A6" s="818" t="s">
        <v>591</v>
      </c>
      <c r="B6" s="818" t="s">
        <v>593</v>
      </c>
      <c r="C6" s="816">
        <v>44047.883333333331</v>
      </c>
      <c r="D6" s="817" t="s">
        <v>614</v>
      </c>
      <c r="E6" s="818">
        <v>24.63</v>
      </c>
      <c r="F6" s="818"/>
      <c r="G6" s="819"/>
      <c r="H6" s="819"/>
      <c r="I6" s="822"/>
    </row>
    <row r="7" spans="1:9" ht="61.5" customHeight="1">
      <c r="A7" s="818" t="s">
        <v>591</v>
      </c>
      <c r="B7" s="818" t="s">
        <v>593</v>
      </c>
      <c r="C7" s="816">
        <v>44048.070138888892</v>
      </c>
      <c r="D7" s="817" t="s">
        <v>615</v>
      </c>
      <c r="E7" s="818">
        <v>18.46</v>
      </c>
      <c r="F7" s="818"/>
      <c r="G7" s="819"/>
      <c r="H7" s="819"/>
      <c r="I7" s="823"/>
    </row>
    <row r="8" spans="1:9" ht="61.5" customHeight="1">
      <c r="A8" s="818" t="s">
        <v>594</v>
      </c>
      <c r="B8" s="818" t="s">
        <v>595</v>
      </c>
      <c r="C8" s="816">
        <v>44049.720833333333</v>
      </c>
      <c r="D8" s="817" t="s">
        <v>616</v>
      </c>
      <c r="E8" s="818">
        <v>4.4000000000000004</v>
      </c>
      <c r="F8" s="818"/>
      <c r="G8" s="819"/>
      <c r="H8" s="819"/>
      <c r="I8" s="822"/>
    </row>
    <row r="9" spans="1:9" ht="111.75" customHeight="1">
      <c r="A9" s="818" t="s">
        <v>91</v>
      </c>
      <c r="B9" s="818" t="s">
        <v>596</v>
      </c>
      <c r="C9" s="816">
        <v>44049.899305555555</v>
      </c>
      <c r="D9" s="817" t="s">
        <v>631</v>
      </c>
      <c r="E9" s="824">
        <v>6.72</v>
      </c>
      <c r="F9" s="824"/>
      <c r="G9" s="819"/>
      <c r="H9" s="819"/>
      <c r="I9" s="822"/>
    </row>
    <row r="10" spans="1:9" ht="87" customHeight="1">
      <c r="A10" s="818" t="s">
        <v>597</v>
      </c>
      <c r="B10" s="818" t="s">
        <v>598</v>
      </c>
      <c r="C10" s="816">
        <v>44051.465277777781</v>
      </c>
      <c r="D10" s="817" t="s">
        <v>617</v>
      </c>
      <c r="E10" s="824"/>
      <c r="F10" s="824">
        <v>34.61</v>
      </c>
    </row>
    <row r="11" spans="1:9" ht="68.25" customHeight="1">
      <c r="A11" s="818" t="s">
        <v>599</v>
      </c>
      <c r="B11" s="818" t="s">
        <v>600</v>
      </c>
      <c r="C11" s="816">
        <v>44054.267361111109</v>
      </c>
      <c r="D11" s="817" t="s">
        <v>618</v>
      </c>
      <c r="E11" s="818">
        <v>5.4</v>
      </c>
      <c r="F11" s="818"/>
    </row>
    <row r="12" spans="1:9" ht="59.25" customHeight="1">
      <c r="A12" s="818" t="s">
        <v>594</v>
      </c>
      <c r="B12" s="818" t="s">
        <v>601</v>
      </c>
      <c r="C12" s="816">
        <v>44056.245138888888</v>
      </c>
      <c r="D12" s="817" t="s">
        <v>619</v>
      </c>
      <c r="E12" s="818">
        <v>10.87</v>
      </c>
      <c r="F12" s="818"/>
    </row>
    <row r="13" spans="1:9" ht="59.25" customHeight="1">
      <c r="A13" s="818" t="s">
        <v>591</v>
      </c>
      <c r="B13" s="818" t="s">
        <v>593</v>
      </c>
      <c r="C13" s="816">
        <v>44056.322222222225</v>
      </c>
      <c r="D13" s="817" t="s">
        <v>620</v>
      </c>
      <c r="E13" s="818">
        <v>27.79</v>
      </c>
      <c r="F13" s="818"/>
    </row>
    <row r="14" spans="1:9" ht="58.5" customHeight="1">
      <c r="A14" s="818" t="s">
        <v>591</v>
      </c>
      <c r="B14" s="818" t="s">
        <v>593</v>
      </c>
      <c r="C14" s="816">
        <v>44056.414583333331</v>
      </c>
      <c r="D14" s="817" t="s">
        <v>621</v>
      </c>
      <c r="E14" s="818">
        <v>31.31</v>
      </c>
      <c r="F14" s="818"/>
    </row>
    <row r="15" spans="1:9" ht="58.5" customHeight="1">
      <c r="A15" s="818" t="s">
        <v>101</v>
      </c>
      <c r="B15" s="818" t="s">
        <v>602</v>
      </c>
      <c r="C15" s="816">
        <v>44057.616666666669</v>
      </c>
      <c r="D15" s="817" t="s">
        <v>622</v>
      </c>
      <c r="E15" s="818">
        <v>0.25</v>
      </c>
      <c r="F15" s="818"/>
    </row>
    <row r="16" spans="1:9">
      <c r="C16" s="825"/>
      <c r="E16" s="826"/>
      <c r="F16" s="826"/>
    </row>
    <row r="17" spans="3:6">
      <c r="C17" s="825"/>
      <c r="E17" s="826"/>
      <c r="F17" s="826"/>
    </row>
    <row r="18" spans="3:6">
      <c r="C18" s="825"/>
      <c r="E18" s="826"/>
      <c r="F18" s="826"/>
    </row>
    <row r="19" spans="3:6">
      <c r="C19" s="825"/>
      <c r="E19" s="826"/>
      <c r="F19" s="826"/>
    </row>
    <row r="20" spans="3:6">
      <c r="C20" s="825"/>
      <c r="E20" s="826"/>
      <c r="F20" s="826"/>
    </row>
    <row r="21" spans="3:6">
      <c r="C21" s="825"/>
      <c r="E21" s="826"/>
      <c r="F21" s="826"/>
    </row>
    <row r="22" spans="3:6">
      <c r="C22" s="825"/>
      <c r="E22" s="826"/>
      <c r="F22" s="826"/>
    </row>
    <row r="23" spans="3:6">
      <c r="C23" s="825"/>
      <c r="E23" s="826"/>
      <c r="F23" s="826"/>
    </row>
    <row r="24" spans="3:6">
      <c r="C24" s="825"/>
      <c r="E24" s="826"/>
      <c r="F24" s="826"/>
    </row>
    <row r="25" spans="3:6">
      <c r="C25" s="825"/>
      <c r="E25" s="826"/>
      <c r="F25" s="826"/>
    </row>
    <row r="26" spans="3:6">
      <c r="C26" s="825"/>
      <c r="E26" s="826"/>
      <c r="F26" s="826"/>
    </row>
    <row r="27" spans="3:6">
      <c r="C27" s="825"/>
      <c r="E27" s="826"/>
      <c r="F27" s="826"/>
    </row>
    <row r="28" spans="3:6">
      <c r="C28" s="825"/>
      <c r="E28" s="826"/>
      <c r="F28" s="826"/>
    </row>
    <row r="29" spans="3:6">
      <c r="C29" s="825"/>
      <c r="E29" s="826"/>
      <c r="F29" s="826"/>
    </row>
    <row r="30" spans="3:6">
      <c r="C30" s="825"/>
      <c r="E30" s="826"/>
      <c r="F30" s="826"/>
    </row>
    <row r="31" spans="3:6">
      <c r="C31" s="825"/>
      <c r="E31" s="826"/>
      <c r="F31" s="826"/>
    </row>
    <row r="32" spans="3:6">
      <c r="C32" s="825"/>
      <c r="E32" s="826"/>
      <c r="F32" s="826"/>
    </row>
    <row r="33" spans="3:6">
      <c r="C33" s="825"/>
      <c r="E33" s="826"/>
      <c r="F33" s="826"/>
    </row>
    <row r="34" spans="3:6">
      <c r="C34" s="825"/>
      <c r="E34" s="826"/>
      <c r="F34" s="826"/>
    </row>
    <row r="35" spans="3:6">
      <c r="C35" s="825"/>
      <c r="E35" s="826"/>
      <c r="F35" s="826"/>
    </row>
    <row r="36" spans="3:6">
      <c r="C36" s="825"/>
      <c r="E36" s="826"/>
      <c r="F36" s="826"/>
    </row>
    <row r="37" spans="3:6">
      <c r="C37" s="825"/>
      <c r="E37" s="826"/>
      <c r="F37" s="826"/>
    </row>
    <row r="38" spans="3:6">
      <c r="C38" s="825"/>
      <c r="E38" s="826"/>
      <c r="F38" s="826"/>
    </row>
    <row r="39" spans="3:6">
      <c r="C39" s="825"/>
      <c r="E39" s="826"/>
      <c r="F39" s="826"/>
    </row>
    <row r="40" spans="3:6">
      <c r="C40" s="825"/>
      <c r="E40" s="826"/>
      <c r="F40" s="826"/>
    </row>
    <row r="41" spans="3:6">
      <c r="E41" s="826"/>
      <c r="F41" s="826"/>
    </row>
    <row r="42" spans="3:6">
      <c r="E42" s="826"/>
      <c r="F42" s="826"/>
    </row>
    <row r="43" spans="3:6">
      <c r="E43" s="826"/>
      <c r="F43" s="826"/>
    </row>
    <row r="44" spans="3:6">
      <c r="E44" s="826"/>
      <c r="F44" s="826"/>
    </row>
    <row r="45" spans="3:6">
      <c r="E45" s="826"/>
      <c r="F45" s="826"/>
    </row>
    <row r="46" spans="3:6">
      <c r="E46" s="826"/>
      <c r="F46" s="826"/>
    </row>
    <row r="47" spans="3:6">
      <c r="E47" s="826"/>
      <c r="F47" s="826"/>
    </row>
    <row r="48" spans="3:6">
      <c r="E48" s="826"/>
      <c r="F48" s="826"/>
    </row>
    <row r="49" spans="5:6">
      <c r="E49" s="826"/>
      <c r="F49" s="826"/>
    </row>
    <row r="50" spans="5:6">
      <c r="E50" s="826"/>
      <c r="F50" s="826"/>
    </row>
    <row r="51" spans="5:6">
      <c r="E51" s="826"/>
      <c r="F51" s="826"/>
    </row>
    <row r="52" spans="5:6">
      <c r="E52" s="826"/>
      <c r="F52" s="826"/>
    </row>
    <row r="53" spans="5:6">
      <c r="E53" s="826"/>
      <c r="F53" s="826"/>
    </row>
    <row r="54" spans="5:6">
      <c r="E54" s="826"/>
      <c r="F54" s="826"/>
    </row>
    <row r="55" spans="5:6">
      <c r="E55" s="826"/>
      <c r="F55" s="826"/>
    </row>
    <row r="56" spans="5:6">
      <c r="E56" s="826"/>
      <c r="F56" s="826"/>
    </row>
    <row r="57" spans="5:6">
      <c r="E57" s="826"/>
      <c r="F57" s="826"/>
    </row>
    <row r="58" spans="5:6">
      <c r="E58" s="826"/>
      <c r="F58" s="826"/>
    </row>
    <row r="59" spans="5:6">
      <c r="E59" s="826"/>
      <c r="F59" s="826"/>
    </row>
    <row r="60" spans="5:6">
      <c r="E60" s="826"/>
      <c r="F60" s="826"/>
    </row>
    <row r="61" spans="5:6">
      <c r="E61" s="826"/>
      <c r="F61" s="826"/>
    </row>
    <row r="62" spans="5:6">
      <c r="E62" s="826"/>
      <c r="F62" s="826"/>
    </row>
    <row r="63" spans="5:6">
      <c r="E63" s="826"/>
      <c r="F63" s="826"/>
    </row>
    <row r="64" spans="5:6">
      <c r="E64" s="826"/>
      <c r="F64" s="826"/>
    </row>
    <row r="65" spans="5:6">
      <c r="E65" s="826"/>
      <c r="F65" s="826"/>
    </row>
    <row r="66" spans="5:6">
      <c r="E66" s="826"/>
      <c r="F66" s="826"/>
    </row>
    <row r="67" spans="5:6">
      <c r="E67" s="826"/>
      <c r="F67" s="826"/>
    </row>
    <row r="68" spans="5:6">
      <c r="E68" s="826"/>
      <c r="F68" s="826"/>
    </row>
    <row r="69" spans="5:6">
      <c r="E69" s="826"/>
      <c r="F69" s="826"/>
    </row>
    <row r="70" spans="5:6">
      <c r="E70" s="826"/>
      <c r="F70" s="826"/>
    </row>
    <row r="71" spans="5:6">
      <c r="E71" s="826"/>
      <c r="F71" s="826"/>
    </row>
    <row r="72" spans="5:6">
      <c r="E72" s="826"/>
      <c r="F72" s="826"/>
    </row>
    <row r="73" spans="5:6">
      <c r="E73" s="826"/>
      <c r="F73" s="826"/>
    </row>
    <row r="74" spans="5:6">
      <c r="E74" s="826"/>
      <c r="F74" s="826"/>
    </row>
    <row r="75" spans="5:6">
      <c r="E75" s="826"/>
      <c r="F75" s="826"/>
    </row>
    <row r="76" spans="5:6">
      <c r="E76" s="826"/>
      <c r="F76" s="826"/>
    </row>
    <row r="77" spans="5:6">
      <c r="E77" s="826"/>
      <c r="F77" s="826"/>
    </row>
    <row r="78" spans="5:6">
      <c r="E78" s="826"/>
      <c r="F78" s="826"/>
    </row>
    <row r="79" spans="5:6">
      <c r="E79" s="826"/>
      <c r="F79" s="826"/>
    </row>
    <row r="80" spans="5:6">
      <c r="E80" s="826"/>
      <c r="F80" s="826"/>
    </row>
    <row r="81" spans="5:6">
      <c r="E81" s="826"/>
      <c r="F81" s="826"/>
    </row>
    <row r="82" spans="5:6">
      <c r="E82" s="826"/>
      <c r="F82" s="826"/>
    </row>
    <row r="83" spans="5:6">
      <c r="E83" s="826"/>
      <c r="F83" s="826"/>
    </row>
    <row r="84" spans="5:6">
      <c r="E84" s="826"/>
      <c r="F84" s="826"/>
    </row>
    <row r="85" spans="5:6">
      <c r="E85" s="826"/>
      <c r="F85" s="826"/>
    </row>
    <row r="86" spans="5:6">
      <c r="E86" s="826"/>
      <c r="F86" s="826"/>
    </row>
    <row r="87" spans="5:6">
      <c r="E87" s="826"/>
      <c r="F87" s="826"/>
    </row>
    <row r="88" spans="5:6">
      <c r="E88" s="826"/>
      <c r="F88" s="826"/>
    </row>
    <row r="89" spans="5:6">
      <c r="E89" s="826"/>
      <c r="F89" s="826"/>
    </row>
    <row r="90" spans="5:6">
      <c r="E90" s="826"/>
      <c r="F90" s="826"/>
    </row>
    <row r="91" spans="5:6">
      <c r="E91" s="826"/>
      <c r="F91" s="826"/>
    </row>
    <row r="92" spans="5:6">
      <c r="E92" s="826"/>
      <c r="F92" s="826"/>
    </row>
    <row r="93" spans="5:6">
      <c r="E93" s="826"/>
      <c r="F93" s="826"/>
    </row>
    <row r="94" spans="5:6">
      <c r="E94" s="826"/>
      <c r="F94" s="826"/>
    </row>
    <row r="95" spans="5:6">
      <c r="E95" s="826"/>
      <c r="F95" s="826"/>
    </row>
    <row r="96" spans="5:6">
      <c r="E96" s="826"/>
      <c r="F96" s="826"/>
    </row>
    <row r="97" spans="5:6">
      <c r="E97" s="826"/>
      <c r="F97" s="826"/>
    </row>
    <row r="98" spans="5:6">
      <c r="E98" s="826"/>
      <c r="F98" s="826"/>
    </row>
    <row r="99" spans="5:6">
      <c r="E99" s="826"/>
      <c r="F99" s="826"/>
    </row>
    <row r="100" spans="5:6">
      <c r="E100" s="826"/>
      <c r="F100" s="826"/>
    </row>
    <row r="101" spans="5:6">
      <c r="E101" s="826"/>
      <c r="F101" s="826"/>
    </row>
    <row r="102" spans="5:6">
      <c r="E102" s="826"/>
      <c r="F102" s="826"/>
    </row>
    <row r="103" spans="5:6">
      <c r="E103" s="826"/>
      <c r="F103" s="826"/>
    </row>
    <row r="104" spans="5:6">
      <c r="E104" s="826"/>
      <c r="F104" s="826"/>
    </row>
    <row r="105" spans="5:6">
      <c r="E105" s="826"/>
      <c r="F105" s="826"/>
    </row>
    <row r="106" spans="5:6">
      <c r="E106" s="826"/>
      <c r="F106" s="826"/>
    </row>
    <row r="107" spans="5:6">
      <c r="E107" s="826"/>
      <c r="F107" s="826"/>
    </row>
    <row r="108" spans="5:6">
      <c r="E108" s="826"/>
      <c r="F108" s="826"/>
    </row>
    <row r="109" spans="5:6">
      <c r="E109" s="826"/>
      <c r="F109" s="826"/>
    </row>
    <row r="110" spans="5:6">
      <c r="E110" s="826"/>
      <c r="F110" s="826"/>
    </row>
    <row r="111" spans="5:6">
      <c r="E111" s="826"/>
      <c r="F111" s="826"/>
    </row>
    <row r="112" spans="5:6">
      <c r="E112" s="826"/>
      <c r="F112" s="826"/>
    </row>
    <row r="113" spans="5:6">
      <c r="E113" s="826"/>
      <c r="F113" s="826"/>
    </row>
    <row r="114" spans="5:6">
      <c r="E114" s="826"/>
      <c r="F114" s="826"/>
    </row>
    <row r="115" spans="5:6">
      <c r="E115" s="826"/>
      <c r="F115" s="826"/>
    </row>
    <row r="116" spans="5:6">
      <c r="E116" s="826"/>
      <c r="F116" s="826"/>
    </row>
    <row r="117" spans="5:6">
      <c r="E117" s="826"/>
      <c r="F117" s="826"/>
    </row>
    <row r="118" spans="5:6">
      <c r="E118" s="826"/>
      <c r="F118" s="826"/>
    </row>
    <row r="119" spans="5:6">
      <c r="E119" s="826"/>
      <c r="F119" s="826"/>
    </row>
    <row r="120" spans="5:6">
      <c r="E120" s="826"/>
      <c r="F120" s="826"/>
    </row>
    <row r="121" spans="5:6">
      <c r="E121" s="826"/>
      <c r="F121" s="826"/>
    </row>
    <row r="122" spans="5:6">
      <c r="E122" s="826"/>
      <c r="F122" s="826"/>
    </row>
    <row r="123" spans="5:6">
      <c r="E123" s="826"/>
      <c r="F123" s="826"/>
    </row>
    <row r="124" spans="5:6">
      <c r="E124" s="826"/>
      <c r="F124" s="826"/>
    </row>
    <row r="125" spans="5:6">
      <c r="E125" s="826"/>
      <c r="F125" s="826"/>
    </row>
    <row r="126" spans="5:6">
      <c r="E126" s="826"/>
      <c r="F126" s="826"/>
    </row>
    <row r="127" spans="5:6">
      <c r="E127" s="826"/>
      <c r="F127" s="826"/>
    </row>
    <row r="128" spans="5:6">
      <c r="E128" s="826"/>
      <c r="F128" s="826"/>
    </row>
    <row r="129" spans="5:6">
      <c r="E129" s="826"/>
      <c r="F129" s="826"/>
    </row>
    <row r="130" spans="5:6">
      <c r="E130" s="826"/>
      <c r="F130" s="826"/>
    </row>
    <row r="131" spans="5:6">
      <c r="E131" s="826"/>
      <c r="F131" s="826"/>
    </row>
    <row r="132" spans="5:6">
      <c r="E132" s="826"/>
      <c r="F132" s="826"/>
    </row>
    <row r="133" spans="5:6">
      <c r="E133" s="826"/>
      <c r="F133" s="82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Agosto 2020
INFSGI-MES-08-2020
14/09/2020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0"/>
  <sheetViews>
    <sheetView showGridLines="0" view="pageBreakPreview" zoomScale="130" zoomScaleNormal="100" zoomScaleSheetLayoutView="130" workbookViewId="0">
      <selection activeCell="N25" sqref="N25"/>
    </sheetView>
  </sheetViews>
  <sheetFormatPr defaultColWidth="9.33203125" defaultRowHeight="9"/>
  <cols>
    <col min="1" max="1" width="16.1640625" style="808" customWidth="1"/>
    <col min="2" max="2" width="19.6640625" style="808" customWidth="1"/>
    <col min="3" max="3" width="12.83203125" style="808" bestFit="1" customWidth="1"/>
    <col min="4" max="4" width="59.83203125" style="808" customWidth="1"/>
    <col min="5" max="5" width="11.6640625" style="808" customWidth="1"/>
    <col min="6" max="6" width="10.5" style="808" customWidth="1"/>
    <col min="7" max="8" width="9.33203125" style="808" customWidth="1"/>
    <col min="9" max="16384" width="9.332031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66" customHeight="1">
      <c r="A3" s="818" t="s">
        <v>101</v>
      </c>
      <c r="B3" s="818" t="s">
        <v>602</v>
      </c>
      <c r="C3" s="816">
        <v>44057.711111111108</v>
      </c>
      <c r="D3" s="817" t="s">
        <v>623</v>
      </c>
      <c r="E3" s="818">
        <v>0.3</v>
      </c>
      <c r="F3" s="818"/>
      <c r="G3" s="819"/>
      <c r="H3" s="819"/>
      <c r="I3" s="821"/>
    </row>
    <row r="4" spans="1:9" ht="57.75" customHeight="1">
      <c r="A4" s="818" t="s">
        <v>101</v>
      </c>
      <c r="B4" s="818" t="s">
        <v>602</v>
      </c>
      <c r="C4" s="816">
        <v>44057.716666666667</v>
      </c>
      <c r="D4" s="817" t="s">
        <v>624</v>
      </c>
      <c r="E4" s="818">
        <v>0.3</v>
      </c>
      <c r="F4" s="818"/>
      <c r="G4" s="819"/>
      <c r="H4" s="819"/>
      <c r="I4" s="822"/>
    </row>
    <row r="5" spans="1:9" ht="68.25" customHeight="1">
      <c r="A5" s="818" t="s">
        <v>92</v>
      </c>
      <c r="B5" s="818" t="s">
        <v>603</v>
      </c>
      <c r="C5" s="816">
        <v>44058.538194444445</v>
      </c>
      <c r="D5" s="817" t="s">
        <v>625</v>
      </c>
      <c r="E5" s="818"/>
      <c r="F5" s="818">
        <v>1.65</v>
      </c>
      <c r="G5" s="819"/>
      <c r="H5" s="819"/>
      <c r="I5" s="823"/>
    </row>
    <row r="6" spans="1:9" ht="63.75" customHeight="1">
      <c r="A6" s="818" t="s">
        <v>604</v>
      </c>
      <c r="B6" s="818" t="s">
        <v>605</v>
      </c>
      <c r="C6" s="816">
        <v>44059.259027777778</v>
      </c>
      <c r="D6" s="817" t="s">
        <v>626</v>
      </c>
      <c r="E6" s="818"/>
      <c r="F6" s="818">
        <v>15</v>
      </c>
      <c r="G6" s="819"/>
      <c r="H6" s="819"/>
      <c r="I6" s="822"/>
    </row>
    <row r="7" spans="1:9" ht="60" customHeight="1">
      <c r="A7" s="818" t="s">
        <v>594</v>
      </c>
      <c r="B7" s="818" t="s">
        <v>606</v>
      </c>
      <c r="C7" s="816">
        <v>44061.353472222225</v>
      </c>
      <c r="D7" s="817" t="s">
        <v>627</v>
      </c>
      <c r="E7" s="818">
        <v>4.5</v>
      </c>
      <c r="F7" s="818"/>
      <c r="G7" s="819"/>
      <c r="H7" s="819"/>
      <c r="I7" s="822"/>
    </row>
    <row r="8" spans="1:9" ht="70.5" customHeight="1">
      <c r="A8" s="818" t="s">
        <v>597</v>
      </c>
      <c r="B8" s="818" t="s">
        <v>607</v>
      </c>
      <c r="C8" s="816">
        <v>44069.35833333333</v>
      </c>
      <c r="D8" s="817" t="s">
        <v>628</v>
      </c>
      <c r="E8" s="818">
        <v>17.170000000000002</v>
      </c>
      <c r="F8" s="818"/>
      <c r="G8" s="819"/>
      <c r="H8" s="819"/>
      <c r="I8" s="822"/>
    </row>
    <row r="9" spans="1:9" ht="64.5" customHeight="1">
      <c r="A9" s="818" t="s">
        <v>589</v>
      </c>
      <c r="B9" s="818" t="s">
        <v>608</v>
      </c>
      <c r="C9" s="816">
        <v>44069.512499999997</v>
      </c>
      <c r="D9" s="817" t="s">
        <v>629</v>
      </c>
      <c r="E9" s="818">
        <v>0.31</v>
      </c>
      <c r="F9" s="818"/>
      <c r="G9" s="819"/>
      <c r="H9" s="819"/>
      <c r="I9" s="822"/>
    </row>
    <row r="10" spans="1:9" ht="76.5" customHeight="1">
      <c r="A10" s="818" t="s">
        <v>609</v>
      </c>
      <c r="B10" s="818" t="s">
        <v>610</v>
      </c>
      <c r="C10" s="816">
        <v>44070.415972222225</v>
      </c>
      <c r="D10" s="817" t="s">
        <v>630</v>
      </c>
      <c r="E10" s="818">
        <v>60</v>
      </c>
      <c r="F10" s="818"/>
      <c r="G10" s="819"/>
      <c r="H10" s="819"/>
      <c r="I10" s="822"/>
    </row>
    <row r="11" spans="1:9">
      <c r="E11" s="826"/>
      <c r="F11" s="826"/>
    </row>
    <row r="12" spans="1:9">
      <c r="E12" s="826"/>
      <c r="F12" s="826"/>
    </row>
    <row r="13" spans="1:9">
      <c r="E13" s="826"/>
      <c r="F13" s="826"/>
    </row>
    <row r="14" spans="1:9">
      <c r="E14" s="826"/>
      <c r="F14" s="826"/>
    </row>
    <row r="15" spans="1:9">
      <c r="E15" s="826"/>
      <c r="F15" s="826"/>
    </row>
    <row r="16" spans="1:9">
      <c r="E16" s="826"/>
      <c r="F16" s="826"/>
    </row>
    <row r="17" spans="5:6">
      <c r="E17" s="826"/>
      <c r="F17" s="826"/>
    </row>
    <row r="18" spans="5:6">
      <c r="E18" s="826"/>
      <c r="F18" s="826"/>
    </row>
    <row r="19" spans="5:6">
      <c r="E19" s="826"/>
      <c r="F19" s="826"/>
    </row>
    <row r="20" spans="5:6">
      <c r="E20" s="826"/>
      <c r="F20" s="826"/>
    </row>
    <row r="21" spans="5:6">
      <c r="E21" s="826"/>
      <c r="F21" s="826"/>
    </row>
    <row r="22" spans="5:6">
      <c r="E22" s="826"/>
      <c r="F22" s="826"/>
    </row>
    <row r="23" spans="5:6">
      <c r="E23" s="826"/>
      <c r="F23" s="826"/>
    </row>
    <row r="24" spans="5:6">
      <c r="E24" s="826"/>
      <c r="F24" s="826"/>
    </row>
    <row r="25" spans="5:6">
      <c r="E25" s="826"/>
      <c r="F25" s="826"/>
    </row>
    <row r="26" spans="5:6">
      <c r="E26" s="826"/>
      <c r="F26" s="826"/>
    </row>
    <row r="27" spans="5:6">
      <c r="E27" s="826"/>
      <c r="F27" s="826"/>
    </row>
    <row r="28" spans="5:6">
      <c r="E28" s="826"/>
      <c r="F28" s="826"/>
    </row>
    <row r="29" spans="5:6">
      <c r="E29" s="826"/>
      <c r="F29" s="826"/>
    </row>
    <row r="30" spans="5:6">
      <c r="E30" s="826"/>
      <c r="F30" s="826"/>
    </row>
    <row r="31" spans="5:6">
      <c r="E31" s="826"/>
      <c r="F31" s="826"/>
    </row>
    <row r="32" spans="5:6">
      <c r="E32" s="826"/>
      <c r="F32" s="826"/>
    </row>
    <row r="33" spans="5:6">
      <c r="E33" s="826"/>
      <c r="F33" s="826"/>
    </row>
    <row r="34" spans="5:6">
      <c r="E34" s="826"/>
      <c r="F34" s="826"/>
    </row>
    <row r="35" spans="5:6">
      <c r="E35" s="826"/>
      <c r="F35" s="826"/>
    </row>
    <row r="36" spans="5:6">
      <c r="E36" s="826"/>
      <c r="F36" s="826"/>
    </row>
    <row r="37" spans="5:6">
      <c r="E37" s="826"/>
      <c r="F37" s="826"/>
    </row>
    <row r="38" spans="5:6">
      <c r="E38" s="826"/>
      <c r="F38" s="826"/>
    </row>
    <row r="39" spans="5:6">
      <c r="E39" s="826"/>
      <c r="F39" s="826"/>
    </row>
    <row r="40" spans="5:6">
      <c r="E40" s="826"/>
      <c r="F40" s="826"/>
    </row>
    <row r="41" spans="5:6">
      <c r="E41" s="826"/>
      <c r="F41" s="826"/>
    </row>
    <row r="42" spans="5:6">
      <c r="E42" s="826"/>
      <c r="F42" s="826"/>
    </row>
    <row r="43" spans="5:6">
      <c r="E43" s="826"/>
      <c r="F43" s="826"/>
    </row>
    <row r="44" spans="5:6">
      <c r="E44" s="826"/>
      <c r="F44" s="826"/>
    </row>
    <row r="45" spans="5:6">
      <c r="E45" s="826"/>
      <c r="F45" s="826"/>
    </row>
    <row r="46" spans="5:6">
      <c r="E46" s="826"/>
      <c r="F46" s="826"/>
    </row>
    <row r="47" spans="5:6">
      <c r="E47" s="826"/>
      <c r="F47" s="826"/>
    </row>
    <row r="48" spans="5:6">
      <c r="E48" s="826"/>
      <c r="F48" s="826"/>
    </row>
    <row r="49" spans="5:6">
      <c r="E49" s="826"/>
      <c r="F49" s="826"/>
    </row>
    <row r="50" spans="5:6">
      <c r="E50" s="826"/>
      <c r="F50" s="826"/>
    </row>
    <row r="51" spans="5:6">
      <c r="E51" s="826"/>
      <c r="F51" s="826"/>
    </row>
    <row r="52" spans="5:6">
      <c r="E52" s="826"/>
      <c r="F52" s="826"/>
    </row>
    <row r="53" spans="5:6">
      <c r="E53" s="826"/>
      <c r="F53" s="826"/>
    </row>
    <row r="54" spans="5:6">
      <c r="E54" s="826"/>
      <c r="F54" s="826"/>
    </row>
    <row r="55" spans="5:6">
      <c r="E55" s="826"/>
      <c r="F55" s="826"/>
    </row>
    <row r="56" spans="5:6">
      <c r="E56" s="826"/>
      <c r="F56" s="826"/>
    </row>
    <row r="57" spans="5:6">
      <c r="E57" s="826"/>
      <c r="F57" s="826"/>
    </row>
    <row r="58" spans="5:6">
      <c r="E58" s="826"/>
      <c r="F58" s="826"/>
    </row>
    <row r="59" spans="5:6">
      <c r="E59" s="826"/>
      <c r="F59" s="826"/>
    </row>
    <row r="60" spans="5:6">
      <c r="E60" s="826"/>
      <c r="F60" s="826"/>
    </row>
    <row r="61" spans="5:6">
      <c r="E61" s="826"/>
      <c r="F61" s="826"/>
    </row>
    <row r="62" spans="5:6">
      <c r="E62" s="826"/>
      <c r="F62" s="826"/>
    </row>
    <row r="63" spans="5:6">
      <c r="E63" s="826"/>
      <c r="F63" s="826"/>
    </row>
    <row r="64" spans="5:6">
      <c r="E64" s="826"/>
      <c r="F64" s="826"/>
    </row>
    <row r="65" spans="5:6">
      <c r="E65" s="826"/>
      <c r="F65" s="826"/>
    </row>
    <row r="66" spans="5:6">
      <c r="E66" s="826"/>
      <c r="F66" s="826"/>
    </row>
    <row r="67" spans="5:6">
      <c r="E67" s="826"/>
      <c r="F67" s="826"/>
    </row>
    <row r="68" spans="5:6">
      <c r="E68" s="826"/>
      <c r="F68" s="826"/>
    </row>
    <row r="69" spans="5:6">
      <c r="E69" s="826"/>
      <c r="F69" s="826"/>
    </row>
    <row r="70" spans="5:6">
      <c r="E70" s="826"/>
      <c r="F70" s="826"/>
    </row>
    <row r="71" spans="5:6">
      <c r="E71" s="826"/>
      <c r="F71" s="826"/>
    </row>
    <row r="72" spans="5:6">
      <c r="E72" s="826"/>
      <c r="F72" s="826"/>
    </row>
    <row r="73" spans="5:6">
      <c r="E73" s="826"/>
      <c r="F73" s="826"/>
    </row>
    <row r="74" spans="5:6">
      <c r="E74" s="826"/>
      <c r="F74" s="826"/>
    </row>
    <row r="75" spans="5:6">
      <c r="E75" s="826"/>
      <c r="F75" s="826"/>
    </row>
    <row r="76" spans="5:6">
      <c r="E76" s="826"/>
      <c r="F76" s="826"/>
    </row>
    <row r="77" spans="5:6">
      <c r="E77" s="826"/>
      <c r="F77" s="826"/>
    </row>
    <row r="78" spans="5:6">
      <c r="E78" s="826"/>
      <c r="F78" s="826"/>
    </row>
    <row r="79" spans="5:6">
      <c r="E79" s="826"/>
      <c r="F79" s="826"/>
    </row>
    <row r="80" spans="5:6">
      <c r="E80" s="826"/>
      <c r="F80" s="826"/>
    </row>
    <row r="81" spans="5:6">
      <c r="E81" s="826"/>
      <c r="F81" s="826"/>
    </row>
    <row r="82" spans="5:6">
      <c r="E82" s="826"/>
      <c r="F82" s="826"/>
    </row>
    <row r="83" spans="5:6">
      <c r="E83" s="826"/>
      <c r="F83" s="826"/>
    </row>
    <row r="84" spans="5:6">
      <c r="E84" s="826"/>
      <c r="F84" s="826"/>
    </row>
    <row r="85" spans="5:6">
      <c r="E85" s="826"/>
      <c r="F85" s="826"/>
    </row>
    <row r="86" spans="5:6">
      <c r="E86" s="826"/>
      <c r="F86" s="826"/>
    </row>
    <row r="87" spans="5:6">
      <c r="E87" s="826"/>
      <c r="F87" s="826"/>
    </row>
    <row r="88" spans="5:6">
      <c r="E88" s="826"/>
      <c r="F88" s="826"/>
    </row>
    <row r="89" spans="5:6">
      <c r="E89" s="826"/>
      <c r="F89" s="826"/>
    </row>
    <row r="90" spans="5:6">
      <c r="E90" s="826"/>
      <c r="F90" s="826"/>
    </row>
    <row r="91" spans="5:6">
      <c r="E91" s="826"/>
      <c r="F91" s="826"/>
    </row>
    <row r="92" spans="5:6">
      <c r="E92" s="826"/>
      <c r="F92" s="826"/>
    </row>
    <row r="93" spans="5:6">
      <c r="E93" s="826"/>
      <c r="F93" s="826"/>
    </row>
    <row r="94" spans="5:6">
      <c r="E94" s="826"/>
      <c r="F94" s="826"/>
    </row>
    <row r="95" spans="5:6">
      <c r="E95" s="826"/>
      <c r="F95" s="826"/>
    </row>
    <row r="96" spans="5:6">
      <c r="E96" s="826"/>
      <c r="F96" s="826"/>
    </row>
    <row r="97" spans="5:6">
      <c r="E97" s="826"/>
      <c r="F97" s="826"/>
    </row>
    <row r="98" spans="5:6">
      <c r="E98" s="826"/>
      <c r="F98" s="826"/>
    </row>
    <row r="99" spans="5:6">
      <c r="E99" s="826"/>
      <c r="F99" s="826"/>
    </row>
    <row r="100" spans="5:6">
      <c r="E100" s="826"/>
      <c r="F100" s="82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 Agosto 2020
INFSGI-MES-08-2020
14/09/2020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N25" sqref="N25"/>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9"/>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zoomScalePageLayoutView="145" workbookViewId="0">
      <selection activeCell="N25" sqref="N25"/>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281"/>
    <col min="15" max="16" width="10.1640625" style="307" bestFit="1" customWidth="1"/>
    <col min="17" max="17" width="11.5" style="307" customWidth="1"/>
    <col min="18" max="23" width="9.33203125" style="307"/>
    <col min="24" max="16384" width="9.33203125" style="46"/>
  </cols>
  <sheetData>
    <row r="1" spans="1:17" ht="27.75" customHeight="1">
      <c r="A1" s="888" t="s">
        <v>22</v>
      </c>
      <c r="B1" s="888"/>
      <c r="C1" s="888"/>
      <c r="D1" s="888"/>
      <c r="E1" s="888"/>
      <c r="F1" s="888"/>
      <c r="G1" s="888"/>
      <c r="H1" s="888"/>
      <c r="I1" s="888"/>
      <c r="J1" s="888"/>
      <c r="K1" s="888"/>
      <c r="L1" s="888"/>
      <c r="M1" s="888"/>
      <c r="N1" s="280"/>
      <c r="O1" s="306"/>
      <c r="P1" s="306"/>
      <c r="Q1" s="306"/>
    </row>
    <row r="2" spans="1:17" ht="11.25" customHeight="1">
      <c r="A2" s="41"/>
      <c r="B2" s="40"/>
      <c r="C2" s="65"/>
      <c r="D2" s="65"/>
      <c r="E2" s="65"/>
      <c r="F2" s="65"/>
      <c r="G2" s="65"/>
      <c r="H2" s="65"/>
      <c r="I2" s="65"/>
      <c r="J2" s="65"/>
      <c r="K2" s="40"/>
      <c r="L2" s="40"/>
      <c r="M2" s="40"/>
      <c r="N2" s="280"/>
      <c r="O2" s="306"/>
      <c r="P2" s="306"/>
      <c r="Q2" s="306"/>
    </row>
    <row r="3" spans="1:17" ht="21.75" customHeight="1">
      <c r="A3" s="40"/>
      <c r="B3" s="42"/>
      <c r="C3" s="895" t="str">
        <f>+UPPER(Q4)&amp;" "&amp;Q5</f>
        <v>AGOSTO 2020</v>
      </c>
      <c r="D3" s="888"/>
      <c r="E3" s="888"/>
      <c r="F3" s="888"/>
      <c r="G3" s="888"/>
      <c r="H3" s="888"/>
      <c r="I3" s="888"/>
      <c r="J3" s="888"/>
      <c r="K3" s="40"/>
      <c r="L3" s="40"/>
      <c r="M3" s="40"/>
      <c r="N3" s="280"/>
      <c r="O3" s="306"/>
      <c r="P3" s="306"/>
      <c r="Q3" s="306"/>
    </row>
    <row r="4" spans="1:17" ht="11.25" customHeight="1">
      <c r="A4" s="40"/>
      <c r="B4" s="42"/>
      <c r="C4" s="40"/>
      <c r="D4" s="40"/>
      <c r="E4" s="40"/>
      <c r="F4" s="40"/>
      <c r="G4" s="40"/>
      <c r="H4" s="40"/>
      <c r="I4" s="40"/>
      <c r="J4" s="40"/>
      <c r="K4" s="40"/>
      <c r="L4" s="40"/>
      <c r="M4" s="40"/>
      <c r="N4" s="282"/>
      <c r="O4" s="308"/>
      <c r="P4" s="306" t="s">
        <v>212</v>
      </c>
      <c r="Q4" s="309" t="s">
        <v>678</v>
      </c>
    </row>
    <row r="5" spans="1:17" ht="11.25" customHeight="1">
      <c r="A5" s="47"/>
      <c r="B5" s="48"/>
      <c r="C5" s="49"/>
      <c r="D5" s="49"/>
      <c r="E5" s="49"/>
      <c r="F5" s="49"/>
      <c r="G5" s="49"/>
      <c r="H5" s="49"/>
      <c r="I5" s="49"/>
      <c r="J5" s="49"/>
      <c r="K5" s="49"/>
      <c r="L5" s="49"/>
      <c r="M5" s="40"/>
      <c r="N5" s="282"/>
      <c r="O5" s="308"/>
      <c r="P5" s="306" t="s">
        <v>213</v>
      </c>
      <c r="Q5" s="308">
        <v>2020</v>
      </c>
    </row>
    <row r="6" spans="1:17" ht="17.25" customHeight="1">
      <c r="A6" s="60" t="s">
        <v>401</v>
      </c>
      <c r="B6" s="40"/>
      <c r="C6" s="40"/>
      <c r="D6" s="40"/>
      <c r="E6" s="40"/>
      <c r="F6" s="40"/>
      <c r="G6" s="40"/>
      <c r="H6" s="40"/>
      <c r="I6" s="40"/>
      <c r="J6" s="40"/>
      <c r="K6" s="40"/>
      <c r="L6" s="40"/>
      <c r="M6" s="40"/>
      <c r="N6" s="280"/>
      <c r="O6" s="306"/>
      <c r="P6" s="306"/>
      <c r="Q6" s="315">
        <v>44044</v>
      </c>
    </row>
    <row r="7" spans="1:17" ht="11.25" customHeight="1">
      <c r="A7" s="40"/>
      <c r="B7" s="40"/>
      <c r="C7" s="40"/>
      <c r="D7" s="40"/>
      <c r="E7" s="40"/>
      <c r="F7" s="40"/>
      <c r="G7" s="40"/>
      <c r="H7" s="40"/>
      <c r="I7" s="40"/>
      <c r="J7" s="40"/>
      <c r="K7" s="40"/>
      <c r="L7" s="40"/>
      <c r="M7" s="40"/>
      <c r="N7" s="280"/>
      <c r="O7" s="306"/>
      <c r="P7" s="306"/>
      <c r="Q7" s="306">
        <v>31</v>
      </c>
    </row>
    <row r="8" spans="1:17" ht="11.25" customHeight="1">
      <c r="A8" s="43"/>
      <c r="B8" s="43"/>
      <c r="C8" s="43"/>
      <c r="D8" s="43"/>
      <c r="E8" s="43"/>
      <c r="F8" s="43"/>
      <c r="G8" s="43"/>
      <c r="H8" s="43"/>
      <c r="I8" s="43"/>
      <c r="J8" s="43"/>
      <c r="K8" s="43"/>
      <c r="L8" s="43"/>
      <c r="M8" s="43"/>
      <c r="N8" s="283"/>
      <c r="O8" s="310"/>
      <c r="P8" s="310"/>
      <c r="Q8" s="310"/>
    </row>
    <row r="9" spans="1:17" ht="14.25" customHeight="1">
      <c r="A9" s="40" t="str">
        <f>"1.1. Producción de energía eléctrica en "&amp;LOWER(Q4)&amp;" "&amp;Q5&amp;" en comparación al mismo mes del año anterior"</f>
        <v>1.1. Producción de energía eléctrica en agosto 2020 en comparación al mismo mes del año anterior</v>
      </c>
      <c r="B9" s="40"/>
      <c r="C9" s="40"/>
      <c r="D9" s="40"/>
      <c r="E9" s="40"/>
      <c r="F9" s="40"/>
      <c r="G9" s="40"/>
      <c r="H9" s="40"/>
      <c r="I9" s="40"/>
      <c r="J9" s="40"/>
      <c r="K9" s="40"/>
      <c r="L9" s="40"/>
      <c r="M9" s="40"/>
      <c r="N9" s="280"/>
      <c r="O9" s="306"/>
      <c r="P9" s="306"/>
      <c r="Q9" s="306"/>
    </row>
    <row r="10" spans="1:17" ht="11.25" customHeight="1">
      <c r="A10" s="47"/>
      <c r="B10" s="44"/>
      <c r="C10" s="44"/>
      <c r="D10" s="44"/>
      <c r="E10" s="44"/>
      <c r="F10" s="44"/>
      <c r="G10" s="44"/>
      <c r="H10" s="44"/>
      <c r="I10" s="44"/>
      <c r="J10" s="44"/>
      <c r="K10" s="44"/>
      <c r="L10" s="44"/>
      <c r="M10" s="44"/>
      <c r="N10" s="282"/>
      <c r="O10" s="308"/>
      <c r="P10" s="308"/>
      <c r="Q10" s="308"/>
    </row>
    <row r="11" spans="1:17" ht="11.25" customHeight="1">
      <c r="A11" s="50"/>
      <c r="B11" s="50"/>
      <c r="C11" s="50"/>
      <c r="D11" s="50"/>
      <c r="E11" s="50"/>
      <c r="F11" s="50"/>
      <c r="G11" s="50"/>
      <c r="H11" s="50"/>
      <c r="I11" s="50"/>
      <c r="J11" s="50"/>
      <c r="K11" s="50"/>
      <c r="L11" s="50"/>
      <c r="M11" s="50"/>
      <c r="N11" s="284"/>
      <c r="O11" s="311"/>
      <c r="P11" s="311"/>
      <c r="Q11" s="311"/>
    </row>
    <row r="12" spans="1:17" ht="26.25" customHeight="1">
      <c r="A12" s="62" t="s">
        <v>23</v>
      </c>
      <c r="B12" s="894" t="s">
        <v>680</v>
      </c>
      <c r="C12" s="894"/>
      <c r="D12" s="894"/>
      <c r="E12" s="894"/>
      <c r="F12" s="894"/>
      <c r="G12" s="894"/>
      <c r="H12" s="894"/>
      <c r="I12" s="894"/>
      <c r="J12" s="894"/>
      <c r="K12" s="894"/>
      <c r="L12" s="894"/>
      <c r="M12" s="894"/>
      <c r="N12" s="282"/>
      <c r="O12" s="308"/>
      <c r="P12" s="308"/>
      <c r="Q12" s="308"/>
    </row>
    <row r="13" spans="1:17" ht="12.75" customHeight="1">
      <c r="A13" s="40"/>
      <c r="B13" s="64"/>
      <c r="C13" s="64"/>
      <c r="D13" s="64"/>
      <c r="E13" s="64"/>
      <c r="F13" s="64"/>
      <c r="G13" s="64"/>
      <c r="H13" s="64"/>
      <c r="I13" s="64"/>
      <c r="J13" s="64"/>
      <c r="K13" s="64"/>
      <c r="L13" s="64"/>
      <c r="M13" s="44"/>
      <c r="N13" s="282"/>
      <c r="O13" s="308"/>
      <c r="P13" s="308"/>
      <c r="Q13" s="308"/>
    </row>
    <row r="14" spans="1:17" ht="28.5" customHeight="1">
      <c r="A14" s="62" t="s">
        <v>23</v>
      </c>
      <c r="B14" s="894" t="s">
        <v>681</v>
      </c>
      <c r="C14" s="894"/>
      <c r="D14" s="894"/>
      <c r="E14" s="894"/>
      <c r="F14" s="894"/>
      <c r="G14" s="894"/>
      <c r="H14" s="894"/>
      <c r="I14" s="894"/>
      <c r="J14" s="894"/>
      <c r="K14" s="894"/>
      <c r="L14" s="894"/>
      <c r="M14" s="894"/>
      <c r="N14" s="282"/>
      <c r="O14" s="308"/>
      <c r="P14" s="308"/>
      <c r="Q14" s="308"/>
    </row>
    <row r="15" spans="1:17" ht="15" customHeight="1">
      <c r="A15" s="63"/>
      <c r="B15" s="64"/>
      <c r="C15" s="64"/>
      <c r="D15" s="64"/>
      <c r="E15" s="64"/>
      <c r="F15" s="64"/>
      <c r="G15" s="64"/>
      <c r="H15" s="64"/>
      <c r="I15" s="64"/>
      <c r="J15" s="64"/>
      <c r="K15" s="64"/>
      <c r="L15" s="64"/>
      <c r="M15" s="44"/>
      <c r="N15" s="282"/>
      <c r="O15" s="308"/>
      <c r="P15" s="308"/>
      <c r="Q15" s="308"/>
    </row>
    <row r="16" spans="1:17" ht="59.25" customHeight="1">
      <c r="A16" s="62" t="s">
        <v>23</v>
      </c>
      <c r="B16" s="894" t="s">
        <v>682</v>
      </c>
      <c r="C16" s="894"/>
      <c r="D16" s="894"/>
      <c r="E16" s="894"/>
      <c r="F16" s="894"/>
      <c r="G16" s="894"/>
      <c r="H16" s="894"/>
      <c r="I16" s="894"/>
      <c r="J16" s="894"/>
      <c r="K16" s="894"/>
      <c r="L16" s="894"/>
      <c r="M16" s="894"/>
      <c r="N16" s="282"/>
      <c r="O16" s="308"/>
      <c r="P16" s="308"/>
      <c r="Q16" s="308"/>
    </row>
    <row r="17" spans="1:18" ht="17.25" customHeight="1">
      <c r="A17" s="44"/>
      <c r="B17" s="44"/>
      <c r="C17" s="44"/>
      <c r="D17" s="44"/>
      <c r="E17" s="44"/>
      <c r="F17" s="44"/>
      <c r="G17" s="44"/>
      <c r="H17" s="44"/>
      <c r="I17" s="44"/>
      <c r="J17" s="44"/>
      <c r="K17" s="44"/>
      <c r="L17" s="44"/>
      <c r="M17" s="44"/>
      <c r="N17" s="282"/>
      <c r="O17" s="308"/>
      <c r="P17" s="308"/>
      <c r="Q17" s="308"/>
    </row>
    <row r="18" spans="1:18" ht="25.5" customHeight="1">
      <c r="A18" s="61" t="s">
        <v>23</v>
      </c>
      <c r="B18" s="893" t="s">
        <v>683</v>
      </c>
      <c r="C18" s="893"/>
      <c r="D18" s="893"/>
      <c r="E18" s="893"/>
      <c r="F18" s="893"/>
      <c r="G18" s="893"/>
      <c r="H18" s="893"/>
      <c r="I18" s="893"/>
      <c r="J18" s="893"/>
      <c r="K18" s="893"/>
      <c r="L18" s="893"/>
      <c r="M18" s="893"/>
      <c r="N18" s="282"/>
      <c r="O18" s="308"/>
      <c r="P18" s="308"/>
      <c r="Q18" s="308"/>
    </row>
    <row r="19" spans="1:18" ht="11.25" customHeight="1">
      <c r="A19" s="44"/>
      <c r="B19" s="44"/>
      <c r="C19" s="44"/>
      <c r="D19" s="44"/>
      <c r="E19" s="44"/>
      <c r="F19" s="44"/>
      <c r="G19" s="44"/>
      <c r="H19" s="44"/>
      <c r="I19" s="44"/>
      <c r="J19" s="44"/>
      <c r="K19" s="44"/>
      <c r="L19" s="44"/>
      <c r="M19" s="44"/>
      <c r="N19" s="282"/>
      <c r="O19" s="308"/>
      <c r="P19" s="308"/>
      <c r="Q19" s="308"/>
    </row>
    <row r="20" spans="1:18" ht="15.75" customHeight="1">
      <c r="A20" s="44"/>
      <c r="B20" s="44"/>
      <c r="C20" s="892" t="str">
        <f>+UPPER(Q4)&amp;" "&amp;Q5</f>
        <v>AGOSTO 2020</v>
      </c>
      <c r="D20" s="892"/>
      <c r="E20" s="892"/>
      <c r="F20" s="40"/>
      <c r="G20" s="40"/>
      <c r="H20" s="40"/>
      <c r="I20" s="892" t="str">
        <f>+UPPER(Q4)&amp;" "&amp;Q5-1</f>
        <v>AGOSTO 2019</v>
      </c>
      <c r="J20" s="892"/>
      <c r="K20" s="892"/>
      <c r="L20" s="44"/>
      <c r="M20" s="44"/>
      <c r="Q20" s="308"/>
    </row>
    <row r="21" spans="1:18" ht="11.25" customHeight="1">
      <c r="A21" s="44"/>
      <c r="B21" s="44"/>
      <c r="C21" s="44"/>
      <c r="D21" s="44"/>
      <c r="E21" s="44"/>
      <c r="F21" s="44"/>
      <c r="G21" s="44"/>
      <c r="H21" s="44"/>
      <c r="I21" s="44"/>
      <c r="J21" s="44"/>
      <c r="K21" s="44"/>
      <c r="L21" s="44"/>
      <c r="M21" s="44"/>
      <c r="Q21" s="308"/>
    </row>
    <row r="22" spans="1:18" ht="11.25" customHeight="1">
      <c r="A22" s="51"/>
      <c r="B22" s="52"/>
      <c r="C22" s="52"/>
      <c r="D22" s="52"/>
      <c r="E22" s="52"/>
      <c r="F22" s="52"/>
      <c r="G22" s="52"/>
      <c r="H22" s="52"/>
      <c r="I22" s="52"/>
      <c r="J22" s="52"/>
      <c r="K22" s="52"/>
      <c r="L22" s="52"/>
      <c r="M22" s="52"/>
      <c r="N22" s="340" t="s">
        <v>31</v>
      </c>
      <c r="O22" s="735"/>
      <c r="P22" s="735"/>
    </row>
    <row r="23" spans="1:18" ht="11.25" customHeight="1">
      <c r="A23" s="51"/>
      <c r="B23" s="52"/>
      <c r="C23" s="52"/>
      <c r="D23" s="52"/>
      <c r="E23" s="52"/>
      <c r="F23" s="52"/>
      <c r="G23" s="52"/>
      <c r="H23" s="52"/>
      <c r="I23" s="52"/>
      <c r="J23" s="52"/>
      <c r="K23" s="52"/>
      <c r="L23" s="52"/>
      <c r="M23" s="52"/>
      <c r="N23" s="340" t="s">
        <v>24</v>
      </c>
      <c r="O23" s="736">
        <v>1903.0458479450001</v>
      </c>
      <c r="P23" s="736">
        <v>1894.8579691774999</v>
      </c>
      <c r="Q23" s="313"/>
    </row>
    <row r="24" spans="1:18" ht="11.25" customHeight="1">
      <c r="A24" s="44"/>
      <c r="B24" s="44"/>
      <c r="C24" s="44"/>
      <c r="D24" s="44"/>
      <c r="E24" s="43"/>
      <c r="F24" s="44"/>
      <c r="G24" s="44"/>
      <c r="H24" s="44"/>
      <c r="I24" s="44"/>
      <c r="J24" s="44"/>
      <c r="K24" s="44"/>
      <c r="L24" s="44"/>
      <c r="M24" s="43"/>
      <c r="N24" s="341" t="s">
        <v>25</v>
      </c>
      <c r="O24" s="737">
        <v>2102.6797259975001</v>
      </c>
      <c r="P24" s="737">
        <v>2292.94144164</v>
      </c>
      <c r="Q24" s="312"/>
      <c r="R24" s="312"/>
    </row>
    <row r="25" spans="1:18" ht="11.25" customHeight="1">
      <c r="A25" s="44"/>
      <c r="B25" s="44"/>
      <c r="C25" s="44"/>
      <c r="D25" s="44"/>
      <c r="E25" s="44"/>
      <c r="F25" s="44"/>
      <c r="G25" s="44"/>
      <c r="H25" s="44"/>
      <c r="I25" s="44"/>
      <c r="J25" s="53"/>
      <c r="K25" s="53"/>
      <c r="L25" s="44"/>
      <c r="M25" s="44"/>
      <c r="N25" s="341" t="s">
        <v>26</v>
      </c>
      <c r="O25" s="737">
        <v>0</v>
      </c>
      <c r="P25" s="737">
        <v>0</v>
      </c>
      <c r="Q25" s="314"/>
    </row>
    <row r="26" spans="1:18" ht="11.25" customHeight="1">
      <c r="A26" s="44"/>
      <c r="B26" s="44"/>
      <c r="C26" s="44"/>
      <c r="D26" s="44"/>
      <c r="E26" s="44"/>
      <c r="F26" s="44"/>
      <c r="G26" s="44"/>
      <c r="H26" s="44"/>
      <c r="I26" s="44"/>
      <c r="J26" s="53"/>
      <c r="K26" s="53"/>
      <c r="L26" s="44"/>
      <c r="M26" s="44"/>
      <c r="N26" s="340" t="s">
        <v>27</v>
      </c>
      <c r="O26" s="736">
        <v>2.9898623575000003</v>
      </c>
      <c r="P26" s="736">
        <v>1.1711547050000002</v>
      </c>
      <c r="Q26" s="314"/>
    </row>
    <row r="27" spans="1:18" ht="11.25" customHeight="1">
      <c r="A27" s="44"/>
      <c r="B27" s="44"/>
      <c r="C27" s="44"/>
      <c r="D27" s="44"/>
      <c r="E27" s="44"/>
      <c r="F27" s="44"/>
      <c r="G27" s="44"/>
      <c r="H27" s="44"/>
      <c r="I27" s="44"/>
      <c r="J27" s="53"/>
      <c r="K27" s="44"/>
      <c r="L27" s="44"/>
      <c r="M27" s="44"/>
      <c r="N27" s="340" t="s">
        <v>28</v>
      </c>
      <c r="O27" s="736">
        <v>23.10479591</v>
      </c>
      <c r="P27" s="736">
        <v>21.908682495000001</v>
      </c>
      <c r="Q27" s="314"/>
    </row>
    <row r="28" spans="1:18" ht="11.25" customHeight="1">
      <c r="A28" s="44"/>
      <c r="B28" s="44"/>
      <c r="C28" s="53"/>
      <c r="D28" s="53"/>
      <c r="E28" s="53"/>
      <c r="F28" s="53"/>
      <c r="G28" s="53"/>
      <c r="H28" s="53"/>
      <c r="I28" s="53"/>
      <c r="J28" s="53"/>
      <c r="K28" s="53"/>
      <c r="L28" s="44"/>
      <c r="M28" s="44"/>
      <c r="N28" s="340" t="s">
        <v>29</v>
      </c>
      <c r="O28" s="736">
        <v>183.26538812499999</v>
      </c>
      <c r="P28" s="736">
        <v>124.6546490225</v>
      </c>
      <c r="Q28" s="314"/>
    </row>
    <row r="29" spans="1:18" ht="11.25" customHeight="1">
      <c r="A29" s="44"/>
      <c r="B29" s="44"/>
      <c r="C29" s="53"/>
      <c r="D29" s="53"/>
      <c r="E29" s="53"/>
      <c r="F29" s="53"/>
      <c r="G29" s="53"/>
      <c r="H29" s="53"/>
      <c r="I29" s="53"/>
      <c r="J29" s="53"/>
      <c r="K29" s="53"/>
      <c r="L29" s="44"/>
      <c r="M29" s="44"/>
      <c r="N29" s="340" t="s">
        <v>30</v>
      </c>
      <c r="O29" s="736">
        <v>64.267350870000001</v>
      </c>
      <c r="P29" s="736">
        <v>66.063445387499982</v>
      </c>
      <c r="Q29" s="314"/>
    </row>
    <row r="30" spans="1:18" ht="11.25" customHeight="1">
      <c r="A30" s="44"/>
      <c r="B30" s="44"/>
      <c r="C30" s="53"/>
      <c r="D30" s="53"/>
      <c r="E30" s="53"/>
      <c r="F30" s="53"/>
      <c r="G30" s="53"/>
      <c r="H30" s="53"/>
      <c r="I30" s="53"/>
      <c r="J30" s="53"/>
      <c r="K30" s="53"/>
      <c r="L30" s="44"/>
      <c r="M30" s="44"/>
      <c r="N30" s="340"/>
      <c r="O30" s="314"/>
      <c r="P30" s="314"/>
      <c r="Q30" s="314"/>
    </row>
    <row r="31" spans="1:18" ht="11.25" customHeight="1">
      <c r="A31" s="44"/>
      <c r="B31" s="44"/>
      <c r="C31" s="53"/>
      <c r="D31" s="53"/>
      <c r="E31" s="53"/>
      <c r="F31" s="53"/>
      <c r="G31" s="53"/>
      <c r="H31" s="53"/>
      <c r="I31" s="53"/>
      <c r="J31" s="53"/>
      <c r="K31" s="53"/>
      <c r="L31" s="44"/>
      <c r="M31" s="44"/>
      <c r="O31" s="362"/>
      <c r="P31" s="362"/>
      <c r="Q31" s="363"/>
    </row>
    <row r="32" spans="1:18" ht="11.25" customHeight="1">
      <c r="A32" s="44"/>
      <c r="B32" s="44"/>
      <c r="C32" s="53"/>
      <c r="D32" s="53"/>
      <c r="E32" s="53"/>
      <c r="F32" s="53"/>
      <c r="G32" s="53"/>
      <c r="H32" s="53"/>
      <c r="I32" s="53"/>
      <c r="J32" s="53"/>
      <c r="K32" s="53"/>
      <c r="L32" s="44"/>
      <c r="M32" s="44"/>
      <c r="Q32" s="308"/>
    </row>
    <row r="33" spans="1:17" ht="11.25" customHeight="1">
      <c r="A33" s="44"/>
      <c r="B33" s="44"/>
      <c r="C33" s="53"/>
      <c r="D33" s="53"/>
      <c r="E33" s="53"/>
      <c r="F33" s="53"/>
      <c r="G33" s="53"/>
      <c r="H33" s="53"/>
      <c r="I33" s="53"/>
      <c r="J33" s="53"/>
      <c r="K33" s="53"/>
      <c r="L33" s="44"/>
      <c r="M33" s="44"/>
      <c r="Q33" s="308"/>
    </row>
    <row r="34" spans="1:17" ht="11.25" customHeight="1">
      <c r="A34" s="44"/>
      <c r="B34" s="44"/>
      <c r="C34" s="53"/>
      <c r="D34" s="53"/>
      <c r="E34" s="53"/>
      <c r="F34" s="53"/>
      <c r="G34" s="53"/>
      <c r="H34" s="53"/>
      <c r="I34" s="53"/>
      <c r="J34" s="53"/>
      <c r="K34" s="53"/>
      <c r="L34" s="44"/>
      <c r="M34" s="44"/>
      <c r="Q34" s="308"/>
    </row>
    <row r="35" spans="1:17" ht="11.25" customHeight="1">
      <c r="A35" s="54"/>
      <c r="B35" s="54"/>
      <c r="C35" s="55"/>
      <c r="D35" s="55"/>
      <c r="E35" s="55"/>
      <c r="F35" s="55"/>
      <c r="G35" s="55"/>
      <c r="H35" s="55"/>
      <c r="I35" s="55"/>
      <c r="J35" s="54"/>
      <c r="K35" s="54"/>
      <c r="L35" s="54"/>
      <c r="M35" s="54"/>
      <c r="Q35" s="308"/>
    </row>
    <row r="36" spans="1:17" ht="11.25" customHeight="1">
      <c r="A36" s="54"/>
      <c r="B36" s="54"/>
      <c r="C36" s="55"/>
      <c r="D36" s="55"/>
      <c r="E36" s="55"/>
      <c r="F36" s="55"/>
      <c r="G36" s="55"/>
      <c r="H36" s="55"/>
      <c r="I36" s="55"/>
      <c r="J36" s="54"/>
      <c r="K36" s="54"/>
      <c r="L36" s="54"/>
      <c r="M36" s="54"/>
      <c r="Q36" s="308"/>
    </row>
    <row r="37" spans="1:17" ht="11.25" customHeight="1">
      <c r="A37" s="54"/>
      <c r="B37" s="54"/>
      <c r="C37" s="55"/>
      <c r="D37" s="55"/>
      <c r="E37" s="55"/>
      <c r="F37" s="55"/>
      <c r="G37" s="55"/>
      <c r="H37" s="55"/>
      <c r="I37" s="55"/>
      <c r="J37" s="54"/>
      <c r="K37" s="54"/>
      <c r="L37" s="54"/>
      <c r="M37" s="54"/>
      <c r="N37" s="282"/>
      <c r="O37" s="308"/>
      <c r="P37" s="308"/>
      <c r="Q37" s="308"/>
    </row>
    <row r="38" spans="1:17" ht="11.25" customHeight="1">
      <c r="A38" s="54"/>
      <c r="B38" s="54"/>
      <c r="C38" s="55"/>
      <c r="D38" s="55"/>
      <c r="E38" s="55"/>
      <c r="F38" s="55"/>
      <c r="G38" s="55"/>
      <c r="H38" s="55"/>
      <c r="I38" s="55"/>
      <c r="J38" s="54"/>
      <c r="K38" s="54"/>
      <c r="L38" s="54"/>
      <c r="M38" s="54"/>
      <c r="N38" s="282"/>
      <c r="O38" s="308"/>
      <c r="P38" s="308"/>
      <c r="Q38" s="308"/>
    </row>
    <row r="39" spans="1:17" ht="11.25" customHeight="1">
      <c r="A39" s="54"/>
      <c r="B39" s="54"/>
      <c r="C39" s="55"/>
      <c r="D39" s="55"/>
      <c r="E39" s="55"/>
      <c r="F39" s="55"/>
      <c r="G39" s="55"/>
      <c r="H39" s="55"/>
      <c r="I39" s="55"/>
      <c r="J39" s="54"/>
      <c r="K39" s="54"/>
      <c r="L39" s="54"/>
      <c r="M39" s="54"/>
      <c r="N39" s="282"/>
      <c r="O39" s="308"/>
      <c r="P39" s="308"/>
      <c r="Q39" s="308"/>
    </row>
    <row r="40" spans="1:17" ht="11.25" customHeight="1">
      <c r="A40" s="54"/>
      <c r="B40" s="54"/>
      <c r="C40" s="55"/>
      <c r="D40" s="55"/>
      <c r="E40" s="55"/>
      <c r="F40" s="55"/>
      <c r="G40" s="55"/>
      <c r="H40" s="55"/>
      <c r="I40" s="55"/>
      <c r="J40" s="54"/>
      <c r="K40" s="54"/>
      <c r="L40" s="54"/>
      <c r="M40" s="54"/>
      <c r="N40" s="282"/>
      <c r="O40" s="308"/>
      <c r="P40" s="308"/>
      <c r="Q40" s="308"/>
    </row>
    <row r="41" spans="1:17" ht="11.25" customHeight="1">
      <c r="A41" s="54"/>
      <c r="B41" s="54"/>
      <c r="C41" s="54"/>
      <c r="D41" s="55"/>
      <c r="E41" s="55"/>
      <c r="F41" s="55"/>
      <c r="G41" s="55"/>
      <c r="H41" s="54"/>
      <c r="I41" s="54"/>
      <c r="J41" s="54"/>
      <c r="K41" s="54"/>
      <c r="L41" s="54"/>
      <c r="M41" s="54"/>
      <c r="N41" s="282"/>
      <c r="O41" s="308"/>
      <c r="P41" s="308"/>
      <c r="Q41" s="308"/>
    </row>
    <row r="42" spans="1:17" ht="11.25" customHeight="1">
      <c r="A42" s="54"/>
      <c r="B42" s="54"/>
      <c r="C42" s="55"/>
      <c r="D42" s="55"/>
      <c r="E42" s="55"/>
      <c r="F42" s="55"/>
      <c r="G42" s="55"/>
      <c r="H42" s="55"/>
      <c r="I42" s="55"/>
      <c r="J42" s="54"/>
      <c r="K42" s="54"/>
      <c r="L42" s="54"/>
      <c r="M42" s="54"/>
      <c r="N42" s="282"/>
      <c r="O42" s="308"/>
      <c r="P42" s="308"/>
      <c r="Q42" s="308"/>
    </row>
    <row r="43" spans="1:17" ht="11.25" customHeight="1">
      <c r="A43" s="54"/>
      <c r="B43" s="54"/>
      <c r="C43" s="55"/>
      <c r="D43" s="55"/>
      <c r="E43" s="55"/>
      <c r="F43" s="55"/>
      <c r="G43" s="55"/>
      <c r="H43" s="55"/>
      <c r="I43" s="55"/>
      <c r="J43" s="54"/>
      <c r="K43" s="54"/>
      <c r="L43" s="54"/>
      <c r="M43" s="54"/>
      <c r="N43" s="282"/>
      <c r="O43" s="308"/>
      <c r="P43" s="308"/>
      <c r="Q43" s="308"/>
    </row>
    <row r="44" spans="1:17" ht="11.25" customHeight="1">
      <c r="A44" s="54"/>
      <c r="B44" s="54"/>
      <c r="C44" s="55"/>
      <c r="D44" s="55"/>
      <c r="E44" s="55"/>
      <c r="F44" s="55"/>
      <c r="G44" s="55"/>
      <c r="H44" s="55"/>
      <c r="I44" s="55"/>
      <c r="J44" s="54"/>
      <c r="K44" s="54"/>
      <c r="L44" s="54"/>
      <c r="M44" s="54"/>
      <c r="N44" s="282"/>
      <c r="O44" s="308"/>
      <c r="P44" s="308"/>
      <c r="Q44" s="308"/>
    </row>
    <row r="45" spans="1:17" ht="11.25" customHeight="1">
      <c r="A45" s="54"/>
      <c r="B45" s="54"/>
      <c r="C45" s="55"/>
      <c r="D45" s="55"/>
      <c r="E45" s="55"/>
      <c r="F45" s="55"/>
      <c r="G45" s="55"/>
      <c r="H45" s="55"/>
      <c r="I45" s="55"/>
      <c r="J45" s="54"/>
      <c r="K45" s="54"/>
      <c r="L45" s="54"/>
      <c r="M45" s="54"/>
      <c r="N45" s="282"/>
      <c r="O45" s="308"/>
      <c r="P45" s="308"/>
      <c r="Q45" s="308"/>
    </row>
    <row r="46" spans="1:17" ht="11.25" customHeight="1">
      <c r="A46" s="54"/>
      <c r="B46" s="54"/>
      <c r="C46" s="54"/>
      <c r="D46" s="54"/>
      <c r="E46" s="54"/>
      <c r="F46" s="54"/>
      <c r="G46" s="54"/>
      <c r="H46" s="54"/>
      <c r="I46" s="54"/>
      <c r="J46" s="54"/>
      <c r="K46" s="54"/>
      <c r="L46" s="54"/>
      <c r="M46" s="54"/>
      <c r="N46" s="282"/>
      <c r="O46" s="308"/>
      <c r="P46" s="308"/>
      <c r="Q46" s="308"/>
    </row>
    <row r="47" spans="1:17" ht="16.5" customHeight="1">
      <c r="A47" s="54"/>
      <c r="B47" s="891" t="str">
        <f>"Total = "&amp;TEXT(ROUND(SUM(O23:O29),2),"0 000,00")&amp;" GWh"</f>
        <v>Total = 4 279,35 GWh</v>
      </c>
      <c r="C47" s="891"/>
      <c r="D47" s="891"/>
      <c r="E47" s="891"/>
      <c r="F47" s="54"/>
      <c r="G47" s="54"/>
      <c r="H47" s="890" t="str">
        <f>"Total = "&amp;TEXT(ROUND(SUM(P23:P29),2),"0 000,00")&amp;" GWh"</f>
        <v>Total = 4 401,60 GWh</v>
      </c>
      <c r="I47" s="890"/>
      <c r="J47" s="890"/>
      <c r="K47" s="890"/>
      <c r="L47" s="54"/>
      <c r="M47" s="54"/>
      <c r="N47" s="282"/>
      <c r="O47" s="308"/>
      <c r="P47" s="308"/>
      <c r="Q47" s="308"/>
    </row>
    <row r="48" spans="1:17" ht="11.25" customHeight="1">
      <c r="H48" s="54"/>
      <c r="I48" s="54"/>
      <c r="J48" s="54"/>
      <c r="K48" s="54"/>
      <c r="L48" s="54"/>
      <c r="M48" s="54"/>
      <c r="N48" s="282"/>
      <c r="O48" s="308"/>
      <c r="P48" s="308"/>
      <c r="Q48" s="308"/>
    </row>
    <row r="49" spans="1:17" ht="11.25" customHeight="1">
      <c r="B49" s="889" t="str">
        <f>"Gráfico 1: Comparación de producción mensual de electricidad en "&amp;Q4&amp;" por tipo de recurso energético."</f>
        <v>Gráfico 1: Comparación de producción mensual de electricidad en agosto por tipo de recurso energético.</v>
      </c>
      <c r="C49" s="889"/>
      <c r="D49" s="889"/>
      <c r="E49" s="889"/>
      <c r="F49" s="889"/>
      <c r="G49" s="889"/>
      <c r="H49" s="889"/>
      <c r="I49" s="889"/>
      <c r="J49" s="889"/>
      <c r="K49" s="889"/>
      <c r="L49" s="889"/>
      <c r="M49" s="231"/>
      <c r="N49" s="285"/>
      <c r="O49" s="308"/>
      <c r="P49" s="308"/>
      <c r="Q49" s="308"/>
    </row>
    <row r="50" spans="1:17" ht="11.25" customHeight="1">
      <c r="B50" s="805"/>
      <c r="C50" s="805"/>
      <c r="D50" s="805"/>
      <c r="E50" s="805"/>
      <c r="F50" s="805"/>
      <c r="G50" s="805"/>
      <c r="H50" s="805"/>
      <c r="I50" s="805"/>
      <c r="J50" s="805"/>
      <c r="K50" s="805"/>
      <c r="L50" s="805"/>
      <c r="M50" s="231"/>
      <c r="N50" s="285"/>
      <c r="O50" s="308"/>
      <c r="P50" s="308"/>
      <c r="Q50" s="308"/>
    </row>
    <row r="51" spans="1:17" ht="21.75" customHeight="1">
      <c r="B51" s="886"/>
      <c r="C51" s="887"/>
      <c r="D51" s="887"/>
      <c r="E51" s="887"/>
      <c r="F51" s="887"/>
      <c r="G51" s="887"/>
      <c r="H51" s="887"/>
      <c r="I51" s="887"/>
      <c r="J51" s="887"/>
      <c r="K51" s="887"/>
      <c r="L51" s="887"/>
      <c r="M51" s="887"/>
      <c r="N51" s="285"/>
      <c r="O51" s="308"/>
      <c r="P51" s="308"/>
      <c r="Q51" s="308"/>
    </row>
    <row r="52" spans="1:17" ht="11.25" customHeight="1">
      <c r="A52" s="54"/>
      <c r="B52" s="54"/>
      <c r="C52" s="45"/>
      <c r="D52" s="45"/>
      <c r="E52" s="54"/>
      <c r="F52" s="54"/>
      <c r="G52" s="54"/>
      <c r="H52" s="54"/>
      <c r="I52" s="54"/>
      <c r="J52" s="54"/>
      <c r="K52" s="54"/>
      <c r="L52" s="54"/>
      <c r="M52" s="54"/>
      <c r="N52" s="282"/>
      <c r="O52" s="308"/>
      <c r="P52" s="308"/>
      <c r="Q52" s="308"/>
    </row>
    <row r="53" spans="1:17" ht="11.25" customHeight="1">
      <c r="A53" s="54"/>
      <c r="B53" s="54"/>
      <c r="C53" s="54"/>
      <c r="D53" s="54"/>
      <c r="E53" s="54"/>
      <c r="F53" s="54"/>
      <c r="G53" s="54"/>
      <c r="H53" s="54"/>
      <c r="I53" s="54"/>
      <c r="J53" s="54"/>
      <c r="K53" s="54"/>
      <c r="L53" s="54"/>
      <c r="M53" s="54"/>
      <c r="N53" s="282"/>
      <c r="O53" s="308"/>
      <c r="P53" s="308"/>
      <c r="Q53" s="308"/>
    </row>
    <row r="54" spans="1:17" ht="11.25" customHeight="1">
      <c r="A54" s="54"/>
      <c r="B54" s="54"/>
      <c r="C54" s="54"/>
      <c r="D54" s="54"/>
      <c r="E54" s="54"/>
      <c r="F54" s="54"/>
      <c r="G54" s="54"/>
      <c r="H54" s="54"/>
      <c r="I54" s="54"/>
      <c r="J54" s="54"/>
      <c r="K54" s="54"/>
      <c r="L54" s="54"/>
      <c r="M54" s="54"/>
      <c r="N54" s="282"/>
      <c r="O54" s="308"/>
      <c r="P54" s="308"/>
      <c r="Q54" s="308"/>
    </row>
    <row r="55" spans="1:17" ht="11.25" customHeight="1">
      <c r="A55" s="54"/>
      <c r="B55" s="54"/>
      <c r="C55" s="54"/>
      <c r="D55" s="54"/>
      <c r="E55" s="54"/>
      <c r="F55" s="54"/>
      <c r="G55" s="54"/>
      <c r="H55" s="54"/>
      <c r="I55" s="54"/>
      <c r="J55" s="54"/>
      <c r="K55" s="54"/>
      <c r="L55" s="54"/>
      <c r="M55" s="54"/>
      <c r="N55" s="282"/>
      <c r="O55" s="308"/>
      <c r="P55" s="308"/>
      <c r="Q55" s="308"/>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 Agosto 2020
INFSGI-MES-08-2020
14/09/2020
Versión: 01</oddHeader>
    <oddFooter>&amp;LCOES, 2020&amp;C1&amp;RDirección Ejecutiva
Sub Dirección de Gestión de Información</oddFooter>
  </headerFooter>
  <ignoredErrors>
    <ignoredError sqref="C47:G47 I47:K47"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49"/>
  <sheetViews>
    <sheetView showGridLines="0" view="pageBreakPreview" zoomScaleNormal="100" zoomScaleSheetLayoutView="100" zoomScalePageLayoutView="110" workbookViewId="0">
      <selection activeCell="N25" sqref="N25"/>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3" ht="16.5" customHeight="1">
      <c r="A2" s="901" t="s">
        <v>468</v>
      </c>
      <c r="B2" s="901"/>
      <c r="C2" s="901"/>
      <c r="D2" s="901"/>
      <c r="E2" s="901"/>
      <c r="F2" s="901"/>
      <c r="G2" s="901"/>
      <c r="H2" s="901"/>
      <c r="I2" s="901"/>
      <c r="J2" s="901"/>
      <c r="K2" s="523"/>
    </row>
    <row r="3" spans="1:13" ht="12" customHeight="1">
      <c r="A3" s="137"/>
      <c r="B3" s="209"/>
      <c r="C3" s="219"/>
      <c r="D3" s="220"/>
      <c r="E3" s="220"/>
      <c r="F3" s="221"/>
      <c r="G3" s="222"/>
      <c r="H3" s="222"/>
      <c r="I3" s="172"/>
      <c r="J3" s="221"/>
    </row>
    <row r="4" spans="1:13" ht="11.25" customHeight="1">
      <c r="A4" s="187" t="s">
        <v>448</v>
      </c>
      <c r="B4" s="209"/>
      <c r="C4" s="219"/>
      <c r="D4" s="220"/>
      <c r="E4" s="220"/>
      <c r="F4" s="221"/>
      <c r="G4" s="222"/>
      <c r="H4" s="222"/>
      <c r="I4" s="172"/>
      <c r="J4" s="221"/>
      <c r="K4" s="329"/>
    </row>
    <row r="5" spans="1:13" ht="11.25" customHeight="1">
      <c r="A5" s="187"/>
      <c r="B5" s="209"/>
      <c r="C5" s="219"/>
      <c r="D5" s="220"/>
      <c r="E5" s="220"/>
      <c r="F5" s="221"/>
      <c r="G5" s="222"/>
      <c r="H5" s="222"/>
      <c r="I5" s="172"/>
      <c r="J5" s="221"/>
      <c r="K5" s="329"/>
    </row>
    <row r="6" spans="1:13" ht="15" customHeight="1">
      <c r="A6" s="137"/>
      <c r="B6" s="209"/>
      <c r="C6" s="219"/>
      <c r="D6" s="220"/>
      <c r="E6" s="220"/>
      <c r="F6" s="221"/>
      <c r="G6" s="222"/>
      <c r="H6" s="222"/>
      <c r="I6" s="172"/>
      <c r="J6" s="221"/>
      <c r="K6" s="329"/>
    </row>
    <row r="7" spans="1:13" ht="20.25" customHeight="1">
      <c r="A7" s="858" t="s">
        <v>551</v>
      </c>
      <c r="B7" s="859" t="s">
        <v>214</v>
      </c>
      <c r="C7" s="859" t="s">
        <v>552</v>
      </c>
      <c r="D7" s="859" t="s">
        <v>553</v>
      </c>
      <c r="E7" s="859" t="s">
        <v>554</v>
      </c>
      <c r="F7" s="860" t="s">
        <v>555</v>
      </c>
      <c r="G7" s="861" t="s">
        <v>556</v>
      </c>
      <c r="H7" s="860" t="s">
        <v>557</v>
      </c>
      <c r="I7" s="861" t="s">
        <v>558</v>
      </c>
      <c r="J7" s="862" t="s">
        <v>559</v>
      </c>
      <c r="K7" s="524"/>
    </row>
    <row r="8" spans="1:13" s="223" customFormat="1" ht="39" customHeight="1">
      <c r="A8" s="870" t="s">
        <v>411</v>
      </c>
      <c r="B8" s="871" t="s">
        <v>37</v>
      </c>
      <c r="C8" s="871" t="s">
        <v>49</v>
      </c>
      <c r="D8" s="871" t="s">
        <v>565</v>
      </c>
      <c r="E8" s="871" t="s">
        <v>566</v>
      </c>
      <c r="F8" s="872" t="s">
        <v>567</v>
      </c>
      <c r="G8" s="873">
        <v>0.48</v>
      </c>
      <c r="H8" s="874">
        <v>2.4</v>
      </c>
      <c r="I8" s="874">
        <v>2.4</v>
      </c>
      <c r="J8" s="875" t="s">
        <v>568</v>
      </c>
      <c r="K8" s="525"/>
    </row>
    <row r="9" spans="1:13" s="223" customFormat="1" ht="39" customHeight="1">
      <c r="A9" s="870" t="s">
        <v>569</v>
      </c>
      <c r="B9" s="871" t="s">
        <v>36</v>
      </c>
      <c r="C9" s="871" t="s">
        <v>44</v>
      </c>
      <c r="D9" s="871" t="s">
        <v>572</v>
      </c>
      <c r="E9" s="871" t="s">
        <v>571</v>
      </c>
      <c r="F9" s="872" t="s">
        <v>567</v>
      </c>
      <c r="G9" s="873">
        <v>6.3</v>
      </c>
      <c r="H9" s="874">
        <v>20</v>
      </c>
      <c r="I9" s="874">
        <v>20</v>
      </c>
      <c r="J9" s="875" t="s">
        <v>570</v>
      </c>
      <c r="K9" s="525"/>
      <c r="L9" s="877" t="s">
        <v>560</v>
      </c>
      <c r="M9" s="877"/>
    </row>
    <row r="10" spans="1:13" s="223" customFormat="1" ht="28.5" customHeight="1">
      <c r="A10" s="863" t="s">
        <v>42</v>
      </c>
      <c r="B10" s="864"/>
      <c r="C10" s="864"/>
      <c r="D10" s="864"/>
      <c r="E10" s="865"/>
      <c r="F10" s="866"/>
      <c r="G10" s="867"/>
      <c r="H10" s="868">
        <f>+H8+H9</f>
        <v>22.4</v>
      </c>
      <c r="I10" s="868">
        <f>+I8+I9</f>
        <v>22.4</v>
      </c>
      <c r="J10" s="869"/>
      <c r="K10" s="525"/>
      <c r="L10" s="877" t="s">
        <v>561</v>
      </c>
      <c r="M10" s="877">
        <v>20</v>
      </c>
    </row>
    <row r="11" spans="1:13" s="223" customFormat="1" ht="28.5" customHeight="1">
      <c r="A11" s="876" t="s">
        <v>573</v>
      </c>
      <c r="K11" s="525"/>
      <c r="L11" s="877" t="s">
        <v>562</v>
      </c>
      <c r="M11" s="877">
        <v>0</v>
      </c>
    </row>
    <row r="12" spans="1:13" s="223" customFormat="1" ht="36.75" customHeight="1">
      <c r="A12" s="772"/>
      <c r="B12" s="773"/>
      <c r="C12" s="773"/>
      <c r="D12" s="773"/>
      <c r="E12" s="773"/>
      <c r="F12" s="774"/>
      <c r="G12" s="775"/>
      <c r="H12" s="776"/>
      <c r="I12" s="776"/>
      <c r="J12" s="777"/>
      <c r="K12" s="525"/>
      <c r="L12" s="877" t="s">
        <v>563</v>
      </c>
      <c r="M12" s="877">
        <v>0</v>
      </c>
    </row>
    <row r="13" spans="1:13" s="223" customFormat="1" ht="24.75" customHeight="1">
      <c r="A13" s="772"/>
      <c r="B13" s="773"/>
      <c r="C13" s="773"/>
      <c r="D13" s="773"/>
      <c r="E13" s="773"/>
      <c r="F13" s="774"/>
      <c r="G13" s="775"/>
      <c r="H13" s="776"/>
      <c r="I13" s="776"/>
      <c r="J13" s="777"/>
      <c r="K13" s="525"/>
      <c r="L13" s="877" t="s">
        <v>564</v>
      </c>
      <c r="M13" s="877">
        <v>2.4</v>
      </c>
    </row>
    <row r="14" spans="1:13" s="223" customFormat="1" ht="24.75" customHeight="1">
      <c r="A14" s="772"/>
      <c r="B14" s="773"/>
      <c r="C14" s="773"/>
      <c r="D14" s="773"/>
      <c r="E14" s="773"/>
      <c r="F14" s="774"/>
      <c r="G14" s="775"/>
      <c r="H14" s="776"/>
      <c r="I14" s="776"/>
      <c r="J14" s="777"/>
      <c r="K14" s="525"/>
    </row>
    <row r="15" spans="1:13" s="223" customFormat="1" ht="30.75" customHeight="1">
      <c r="A15" s="772"/>
      <c r="B15" s="773"/>
      <c r="C15" s="773"/>
      <c r="D15" s="773"/>
      <c r="E15" s="773"/>
      <c r="F15" s="774"/>
      <c r="G15" s="775"/>
      <c r="H15" s="776"/>
      <c r="I15" s="776"/>
      <c r="J15" s="777"/>
      <c r="K15" s="525"/>
    </row>
    <row r="16" spans="1:13" s="223" customFormat="1" ht="30.75" customHeight="1">
      <c r="A16" s="772"/>
      <c r="B16" s="773"/>
      <c r="C16" s="773"/>
      <c r="D16" s="773"/>
      <c r="E16" s="773"/>
      <c r="F16" s="774"/>
      <c r="G16" s="775"/>
      <c r="H16" s="776"/>
      <c r="I16" s="776"/>
      <c r="J16" s="777"/>
      <c r="K16" s="525"/>
    </row>
    <row r="17" spans="1:15" ht="11.25" customHeight="1">
      <c r="A17" s="778"/>
      <c r="B17" s="779"/>
      <c r="C17" s="779"/>
      <c r="D17" s="779"/>
      <c r="E17" s="780"/>
      <c r="F17" s="781"/>
      <c r="G17" s="782"/>
      <c r="H17" s="783"/>
      <c r="I17" s="783"/>
      <c r="J17" s="784"/>
      <c r="K17" s="526"/>
      <c r="L17" s="527"/>
    </row>
    <row r="18" spans="1:15" ht="13.5" customHeight="1">
      <c r="A18" s="654"/>
      <c r="B18" s="132"/>
      <c r="C18" s="132"/>
      <c r="D18" s="132"/>
      <c r="E18" s="132"/>
      <c r="F18" s="132"/>
      <c r="G18" s="132"/>
      <c r="H18" s="132"/>
      <c r="I18" s="132"/>
      <c r="J18" s="132"/>
      <c r="K18" s="526"/>
    </row>
    <row r="19" spans="1:15" ht="11.25" customHeight="1">
      <c r="A19" s="910"/>
      <c r="B19" s="910"/>
      <c r="C19" s="910"/>
      <c r="D19" s="910"/>
      <c r="E19" s="910"/>
      <c r="F19" s="910"/>
      <c r="G19" s="910"/>
      <c r="H19" s="910"/>
      <c r="I19" s="910"/>
      <c r="J19" s="910"/>
      <c r="K19" s="526"/>
    </row>
    <row r="20" spans="1:15" ht="11.25" customHeight="1">
      <c r="A20" s="402"/>
      <c r="B20" s="402"/>
      <c r="C20" s="402"/>
      <c r="D20" s="402"/>
      <c r="E20" s="402"/>
      <c r="F20" s="402"/>
      <c r="G20" s="402"/>
      <c r="H20" s="402"/>
      <c r="I20" s="402"/>
      <c r="J20" s="402"/>
      <c r="K20" s="526"/>
      <c r="M20" s="527"/>
    </row>
    <row r="21" spans="1:15" ht="12.75" customHeight="1">
      <c r="A21" s="911"/>
      <c r="B21" s="911"/>
      <c r="C21" s="911"/>
      <c r="D21" s="911"/>
      <c r="E21" s="911"/>
      <c r="F21" s="911"/>
      <c r="G21" s="911"/>
      <c r="H21" s="911"/>
      <c r="I21" s="911"/>
      <c r="J21" s="911"/>
      <c r="K21" s="526"/>
      <c r="M21" s="527"/>
    </row>
    <row r="22" spans="1:15" ht="11.25" customHeight="1">
      <c r="A22" s="911"/>
      <c r="B22" s="911"/>
      <c r="C22" s="911"/>
      <c r="D22" s="911"/>
      <c r="E22" s="911"/>
      <c r="F22" s="911"/>
      <c r="G22" s="911"/>
      <c r="H22" s="911"/>
      <c r="I22" s="911"/>
      <c r="J22" s="911"/>
      <c r="K22" s="526"/>
      <c r="M22" s="527"/>
    </row>
    <row r="23" spans="1:15" ht="15" customHeight="1">
      <c r="A23" s="226"/>
      <c r="B23" s="224"/>
      <c r="C23" s="224"/>
      <c r="D23" s="224"/>
      <c r="E23" s="224"/>
      <c r="F23" s="224"/>
      <c r="G23" s="224"/>
      <c r="H23" s="227"/>
      <c r="I23" s="227"/>
      <c r="J23" s="227"/>
      <c r="K23" s="526"/>
    </row>
    <row r="24" spans="1:15" ht="11.25" customHeight="1">
      <c r="A24" s="17"/>
      <c r="B24" s="900"/>
      <c r="C24" s="900"/>
      <c r="D24" s="900"/>
      <c r="E24" s="900"/>
      <c r="F24" s="900"/>
      <c r="G24" s="900"/>
      <c r="H24" s="900"/>
      <c r="I24" s="900"/>
      <c r="J24" s="900"/>
      <c r="K24" s="900"/>
    </row>
    <row r="25" spans="1:15" ht="36" customHeight="1">
      <c r="B25" s="912"/>
      <c r="C25" s="912"/>
      <c r="D25" s="912"/>
      <c r="E25" s="912"/>
      <c r="F25" s="912"/>
      <c r="G25" s="912"/>
      <c r="H25" s="912"/>
    </row>
    <row r="26" spans="1:15" ht="11.25" customHeight="1">
      <c r="A26" s="17"/>
      <c r="B26" s="17"/>
      <c r="C26" s="17"/>
      <c r="D26" s="17"/>
      <c r="E26" s="17"/>
      <c r="F26" s="17"/>
      <c r="G26" s="17"/>
      <c r="H26" s="17"/>
      <c r="I26" s="17"/>
      <c r="J26" s="17"/>
      <c r="K26" s="526"/>
    </row>
    <row r="27" spans="1:15" ht="11.25" customHeight="1">
      <c r="A27" s="176" t="s">
        <v>382</v>
      </c>
      <c r="B27" s="132"/>
      <c r="C27" s="225"/>
      <c r="D27" s="132"/>
      <c r="E27" s="132"/>
      <c r="F27" s="132"/>
      <c r="G27" s="132"/>
      <c r="H27" s="132"/>
      <c r="I27" s="132"/>
      <c r="J27" s="132"/>
      <c r="K27" s="526"/>
    </row>
    <row r="28" spans="1:15" ht="11.25" customHeight="1">
      <c r="B28" s="132"/>
      <c r="C28" s="225"/>
      <c r="D28" s="132"/>
      <c r="E28" s="132"/>
      <c r="F28" s="132"/>
      <c r="G28" s="132"/>
      <c r="H28" s="132"/>
      <c r="I28" s="132"/>
      <c r="J28" s="132"/>
      <c r="K28" s="526"/>
    </row>
    <row r="29" spans="1:15" ht="21" customHeight="1">
      <c r="B29" s="898" t="s">
        <v>218</v>
      </c>
      <c r="C29" s="899"/>
      <c r="D29" s="469" t="str">
        <f>UPPER('1. Resumen'!Q4)&amp;" "&amp;'1. Resumen'!Q5</f>
        <v>AGOSTO 2020</v>
      </c>
      <c r="E29" s="469" t="str">
        <f>UPPER('1. Resumen'!Q4)&amp;" "&amp;'1. Resumen'!Q5-1</f>
        <v>AGOSTO 2019</v>
      </c>
      <c r="F29" s="470" t="s">
        <v>219</v>
      </c>
      <c r="G29" s="228"/>
      <c r="H29" s="228"/>
      <c r="I29" s="132"/>
      <c r="J29" s="132"/>
    </row>
    <row r="30" spans="1:15" ht="9.75" customHeight="1">
      <c r="B30" s="902" t="s">
        <v>215</v>
      </c>
      <c r="C30" s="903"/>
      <c r="D30" s="453">
        <f>5163.1192475+I9</f>
        <v>5183.1192474999998</v>
      </c>
      <c r="E30" s="454">
        <v>5122.3492474999994</v>
      </c>
      <c r="F30" s="455">
        <f>+D30/E30-1</f>
        <v>1.1863697117032723E-2</v>
      </c>
      <c r="G30" s="228"/>
      <c r="H30" s="228"/>
      <c r="I30" s="132"/>
      <c r="J30" s="132"/>
      <c r="K30" s="526"/>
    </row>
    <row r="31" spans="1:15" ht="9.75" customHeight="1">
      <c r="B31" s="904" t="s">
        <v>216</v>
      </c>
      <c r="C31" s="905"/>
      <c r="D31" s="456">
        <f>7395.9645+I8</f>
        <v>7398.3644999999997</v>
      </c>
      <c r="E31" s="457">
        <v>7417.6745000000001</v>
      </c>
      <c r="F31" s="458">
        <f>+D31/E31-1</f>
        <v>-2.6032417572381394E-3</v>
      </c>
      <c r="G31" s="229"/>
      <c r="H31" s="229"/>
      <c r="M31" s="528"/>
      <c r="N31" s="528"/>
      <c r="O31" s="529"/>
    </row>
    <row r="32" spans="1:15" ht="9.75" customHeight="1">
      <c r="B32" s="906" t="s">
        <v>217</v>
      </c>
      <c r="C32" s="907"/>
      <c r="D32" s="459">
        <v>375.46</v>
      </c>
      <c r="E32" s="460">
        <v>375.46</v>
      </c>
      <c r="F32" s="461">
        <f>+D32/E32-1</f>
        <v>0</v>
      </c>
      <c r="G32" s="229"/>
      <c r="H32" s="229"/>
    </row>
    <row r="33" spans="1:11" ht="9.75" customHeight="1">
      <c r="B33" s="908" t="s">
        <v>80</v>
      </c>
      <c r="C33" s="909"/>
      <c r="D33" s="462">
        <v>285.02</v>
      </c>
      <c r="E33" s="463">
        <v>285.02</v>
      </c>
      <c r="F33" s="464">
        <f>+D33/E33-1</f>
        <v>0</v>
      </c>
      <c r="G33" s="229"/>
      <c r="H33" s="229"/>
    </row>
    <row r="34" spans="1:11" ht="10.5" customHeight="1">
      <c r="B34" s="896" t="s">
        <v>199</v>
      </c>
      <c r="C34" s="897"/>
      <c r="D34" s="465">
        <f>+D30+D31+D32+D33</f>
        <v>13241.963747499998</v>
      </c>
      <c r="E34" s="466">
        <f>+E30+E31+E32+E33</f>
        <v>13200.503747499999</v>
      </c>
      <c r="F34" s="467">
        <f>+D34/E34-1</f>
        <v>3.1407892299450957E-3</v>
      </c>
      <c r="G34" s="401"/>
      <c r="H34" s="229"/>
    </row>
    <row r="35" spans="1:11" ht="11.25" customHeight="1">
      <c r="B35" s="271" t="str">
        <f>"Cuadro N° 2: Comparación de la potencia instalada en el SEIN al término de "&amp;'1. Resumen'!Q4&amp;" "&amp;'1. Resumen'!Q5-1&amp;" y "&amp;'1. Resumen'!Q4&amp;" "&amp;'1. Resumen'!Q5</f>
        <v>Cuadro N° 2: Comparación de la potencia instalada en el SEIN al término de agosto 2019 y agosto 2020</v>
      </c>
      <c r="C35" s="228"/>
      <c r="D35" s="228"/>
      <c r="E35" s="228"/>
      <c r="F35" s="228"/>
      <c r="G35" s="228"/>
      <c r="H35" s="228"/>
      <c r="I35" s="132"/>
      <c r="J35" s="132"/>
      <c r="K35" s="526"/>
    </row>
    <row r="36" spans="1:11" ht="9" customHeight="1">
      <c r="B36" s="271"/>
      <c r="C36" s="228"/>
      <c r="D36" s="228"/>
      <c r="E36" s="228"/>
      <c r="F36" s="228"/>
      <c r="G36" s="228"/>
      <c r="H36" s="228"/>
      <c r="I36" s="132"/>
      <c r="J36" s="132"/>
      <c r="K36" s="526"/>
    </row>
    <row r="37" spans="1:11" ht="25.5" customHeight="1">
      <c r="B37" s="271"/>
      <c r="C37" s="228"/>
      <c r="D37" s="228"/>
      <c r="E37" s="228"/>
      <c r="F37" s="228"/>
      <c r="G37" s="228"/>
      <c r="H37" s="228"/>
      <c r="I37" s="132"/>
      <c r="J37" s="132"/>
      <c r="K37" s="526"/>
    </row>
    <row r="38" spans="1:11" ht="11.25" customHeight="1">
      <c r="B38" s="271"/>
      <c r="C38" s="228"/>
      <c r="D38" s="228"/>
      <c r="E38" s="228"/>
      <c r="F38" s="228"/>
      <c r="G38" s="228"/>
      <c r="H38" s="228"/>
      <c r="I38" s="132"/>
      <c r="J38" s="132"/>
      <c r="K38" s="526"/>
    </row>
    <row r="39" spans="1:11" ht="11.25" customHeight="1">
      <c r="A39" s="132"/>
      <c r="C39" s="229"/>
      <c r="D39" s="228"/>
      <c r="E39" s="228"/>
      <c r="F39" s="228"/>
      <c r="G39" s="228"/>
      <c r="H39" s="228"/>
      <c r="I39" s="132"/>
      <c r="J39" s="132"/>
      <c r="K39" s="526"/>
    </row>
    <row r="40" spans="1:11" ht="11.25" customHeight="1">
      <c r="A40" s="132"/>
      <c r="B40" s="132"/>
      <c r="C40" s="132"/>
      <c r="D40" s="132"/>
      <c r="E40" s="132"/>
      <c r="F40" s="132"/>
      <c r="G40" s="132"/>
      <c r="H40" s="132"/>
      <c r="I40" s="132"/>
      <c r="J40" s="132"/>
      <c r="K40" s="526"/>
    </row>
    <row r="41" spans="1:11" ht="11.25" customHeight="1">
      <c r="A41" s="132"/>
      <c r="B41" s="132"/>
      <c r="C41" s="132"/>
      <c r="D41" s="132"/>
      <c r="E41" s="132"/>
      <c r="F41" s="132"/>
      <c r="G41" s="132"/>
      <c r="H41" s="132"/>
      <c r="I41" s="132"/>
      <c r="J41" s="132"/>
      <c r="K41" s="526"/>
    </row>
    <row r="42" spans="1:11">
      <c r="A42" s="137"/>
      <c r="B42" s="132"/>
      <c r="C42" s="132"/>
      <c r="D42" s="132"/>
      <c r="E42" s="132"/>
      <c r="F42" s="132"/>
      <c r="G42" s="132"/>
      <c r="H42" s="132"/>
      <c r="I42" s="132"/>
      <c r="J42" s="132"/>
    </row>
    <row r="43" spans="1:11">
      <c r="A43" s="132"/>
      <c r="B43" s="132"/>
      <c r="C43" s="132"/>
      <c r="D43" s="132"/>
      <c r="E43" s="132"/>
      <c r="F43" s="132"/>
      <c r="G43" s="132"/>
      <c r="H43" s="132"/>
      <c r="I43" s="132"/>
      <c r="J43" s="132"/>
    </row>
    <row r="44" spans="1:11">
      <c r="A44" s="132"/>
      <c r="B44" s="132"/>
      <c r="C44" s="132"/>
      <c r="D44" s="132"/>
      <c r="E44" s="132"/>
      <c r="F44" s="132"/>
      <c r="G44" s="132"/>
      <c r="H44" s="132"/>
      <c r="I44" s="132"/>
      <c r="J44" s="132"/>
    </row>
    <row r="45" spans="1:11">
      <c r="A45" s="132"/>
      <c r="B45" s="132"/>
      <c r="C45" s="132"/>
      <c r="D45" s="132"/>
      <c r="E45" s="132"/>
      <c r="F45" s="132"/>
      <c r="G45" s="132"/>
      <c r="H45" s="132"/>
      <c r="I45" s="132"/>
      <c r="J45" s="132"/>
    </row>
    <row r="46" spans="1:11">
      <c r="A46" s="132"/>
      <c r="B46" s="132"/>
      <c r="C46" s="132"/>
      <c r="D46" s="132"/>
      <c r="E46" s="132"/>
      <c r="F46" s="132"/>
      <c r="G46" s="132"/>
      <c r="H46" s="132"/>
      <c r="I46" s="132"/>
      <c r="J46" s="132"/>
    </row>
    <row r="47" spans="1:11" ht="13.5" customHeight="1">
      <c r="A47" s="132"/>
      <c r="B47" s="132"/>
      <c r="C47" s="132"/>
      <c r="D47" s="132"/>
      <c r="E47" s="132"/>
      <c r="F47" s="132"/>
      <c r="G47" s="132"/>
      <c r="H47" s="132"/>
      <c r="I47" s="132"/>
      <c r="J47" s="132"/>
    </row>
    <row r="48" spans="1:11" ht="19.5" customHeight="1">
      <c r="A48" s="132"/>
      <c r="B48" s="132"/>
      <c r="C48" s="132"/>
      <c r="D48" s="132"/>
      <c r="E48" s="132"/>
      <c r="F48" s="132"/>
      <c r="G48" s="132"/>
      <c r="H48" s="132"/>
      <c r="I48" s="132"/>
      <c r="J48" s="132"/>
    </row>
    <row r="49" spans="1:10" ht="24" customHeight="1">
      <c r="A49" s="400" t="str">
        <f>"Gráfico N° 3: Comparación de la potencia instalada en el SEIN al término de "&amp;'1. Resumen'!Q4&amp;" "&amp;'1. Resumen'!Q5-1&amp;" y "&amp;'1. Resumen'!Q4&amp;" "&amp;'1. Resumen'!Q5</f>
        <v>Gráfico N° 3: Comparación de la potencia instalada en el SEIN al término de agosto 2019 y agosto 2020</v>
      </c>
      <c r="C49" s="132"/>
      <c r="D49" s="132"/>
      <c r="E49" s="132"/>
      <c r="F49" s="132"/>
      <c r="G49" s="132"/>
      <c r="H49" s="132"/>
      <c r="I49" s="132"/>
      <c r="J49" s="132"/>
    </row>
  </sheetData>
  <mergeCells count="12">
    <mergeCell ref="B34:C34"/>
    <mergeCell ref="B29:C29"/>
    <mergeCell ref="B24:K24"/>
    <mergeCell ref="A2:J2"/>
    <mergeCell ref="B30:C30"/>
    <mergeCell ref="B31:C31"/>
    <mergeCell ref="B32:C32"/>
    <mergeCell ref="B33:C33"/>
    <mergeCell ref="A19:J19"/>
    <mergeCell ref="A21:J21"/>
    <mergeCell ref="B25:H25"/>
    <mergeCell ref="A22:J22"/>
  </mergeCells>
  <conditionalFormatting sqref="A23">
    <cfRule type="containsText" dxfId="1" priority="3" stopIfTrue="1" operator="containsText" text=" 0%">
      <formula>NOT(ISERROR(SEARCH(" 0%",A23)))</formula>
    </cfRule>
    <cfRule type="containsText" dxfId="0" priority="4" stopIfTrue="1" operator="containsText" text="0.0%">
      <formula>NOT(ISERROR(SEARCH("0.0%",A23)))</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topLeftCell="A4" zoomScaleNormal="100" zoomScaleSheetLayoutView="100" zoomScalePageLayoutView="130" workbookViewId="0">
      <selection activeCell="N25" sqref="N25"/>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17" t="s">
        <v>221</v>
      </c>
      <c r="B2" s="917"/>
      <c r="C2" s="917"/>
      <c r="D2" s="917"/>
      <c r="E2" s="917"/>
      <c r="F2" s="917"/>
      <c r="G2" s="917"/>
      <c r="H2" s="917"/>
      <c r="I2" s="917"/>
      <c r="J2" s="917"/>
      <c r="K2" s="917"/>
    </row>
    <row r="3" spans="1:11" ht="11.25" customHeight="1">
      <c r="A3" s="83"/>
      <c r="B3" s="84"/>
      <c r="C3" s="85"/>
      <c r="D3" s="86"/>
      <c r="E3" s="86"/>
      <c r="F3" s="86"/>
      <c r="G3" s="86"/>
      <c r="H3" s="83"/>
      <c r="I3" s="83"/>
      <c r="J3" s="83"/>
      <c r="K3" s="87"/>
    </row>
    <row r="4" spans="1:11" ht="11.25" customHeight="1">
      <c r="A4" s="918" t="str">
        <f>+"3.1. PRODUCCIÓN POR TIPO DE GENERACIÓN (GWh)"</f>
        <v>3.1. PRODUCCIÓN POR TIPO DE GENERACIÓN (GWh)</v>
      </c>
      <c r="B4" s="918"/>
      <c r="C4" s="918"/>
      <c r="D4" s="918"/>
      <c r="E4" s="918"/>
      <c r="F4" s="918"/>
      <c r="G4" s="918"/>
      <c r="H4" s="918"/>
      <c r="I4" s="918"/>
      <c r="J4" s="918"/>
      <c r="K4" s="918"/>
    </row>
    <row r="5" spans="1:11" ht="11.25" customHeight="1">
      <c r="A5" s="54"/>
      <c r="B5" s="88"/>
      <c r="C5" s="89"/>
      <c r="D5" s="90"/>
      <c r="E5" s="90"/>
      <c r="F5" s="90"/>
      <c r="G5" s="90"/>
      <c r="H5" s="91"/>
      <c r="I5" s="83"/>
      <c r="J5" s="83"/>
      <c r="K5" s="92"/>
    </row>
    <row r="6" spans="1:11" ht="18" customHeight="1">
      <c r="A6" s="915" t="s">
        <v>32</v>
      </c>
      <c r="B6" s="919" t="s">
        <v>33</v>
      </c>
      <c r="C6" s="920"/>
      <c r="D6" s="920"/>
      <c r="E6" s="920" t="s">
        <v>34</v>
      </c>
      <c r="F6" s="920"/>
      <c r="G6" s="921" t="str">
        <f>"Generación Acumulada a "&amp;'1. Resumen'!Q4</f>
        <v>Generación Acumulada a agosto</v>
      </c>
      <c r="H6" s="921"/>
      <c r="I6" s="921"/>
      <c r="J6" s="921"/>
      <c r="K6" s="922"/>
    </row>
    <row r="7" spans="1:11" ht="32.25" customHeight="1">
      <c r="A7" s="916"/>
      <c r="B7" s="471">
        <f>+C7-30</f>
        <v>43986</v>
      </c>
      <c r="C7" s="471">
        <f>+D7-28</f>
        <v>44016</v>
      </c>
      <c r="D7" s="471">
        <f>+'1. Resumen'!Q6</f>
        <v>44044</v>
      </c>
      <c r="E7" s="471">
        <f>+D7-365</f>
        <v>43679</v>
      </c>
      <c r="F7" s="472" t="s">
        <v>35</v>
      </c>
      <c r="G7" s="473">
        <v>2020</v>
      </c>
      <c r="H7" s="473">
        <v>2019</v>
      </c>
      <c r="I7" s="472" t="s">
        <v>476</v>
      </c>
      <c r="J7" s="473">
        <v>2018</v>
      </c>
      <c r="K7" s="474" t="s">
        <v>423</v>
      </c>
    </row>
    <row r="8" spans="1:11" ht="15" customHeight="1">
      <c r="A8" s="116" t="s">
        <v>36</v>
      </c>
      <c r="B8" s="346">
        <v>2153.3551646150004</v>
      </c>
      <c r="C8" s="342">
        <v>2043.4385303474994</v>
      </c>
      <c r="D8" s="347">
        <v>1903.0458479450001</v>
      </c>
      <c r="E8" s="346">
        <v>1894.8579691774999</v>
      </c>
      <c r="F8" s="237">
        <f>IF(E8=0,"",D8/E8-1)</f>
        <v>4.321104220309735E-3</v>
      </c>
      <c r="G8" s="354">
        <v>20914.593822667495</v>
      </c>
      <c r="H8" s="342">
        <v>20558.883479897508</v>
      </c>
      <c r="I8" s="241">
        <f>IF(H8=0,"",G8/H8-1)</f>
        <v>1.7302026304969464E-2</v>
      </c>
      <c r="J8" s="346">
        <v>20299.991030210003</v>
      </c>
      <c r="K8" s="237">
        <f t="shared" ref="K8:K15" si="0">IF(J8=0,"",H8/J8-1)</f>
        <v>1.2753328279910381E-2</v>
      </c>
    </row>
    <row r="9" spans="1:11" ht="15" customHeight="1">
      <c r="A9" s="117" t="s">
        <v>37</v>
      </c>
      <c r="B9" s="348">
        <v>1386.4079513500005</v>
      </c>
      <c r="C9" s="247">
        <v>1865.480717445</v>
      </c>
      <c r="D9" s="349">
        <v>2128.7743842650002</v>
      </c>
      <c r="E9" s="348">
        <v>2316.0212788399999</v>
      </c>
      <c r="F9" s="238">
        <f t="shared" ref="F9:F15" si="1">IF(E9=0,"",D9/E9-1)</f>
        <v>-8.0848520817038416E-2</v>
      </c>
      <c r="G9" s="355">
        <v>9018.2275393599994</v>
      </c>
      <c r="H9" s="247">
        <v>13047.126807712501</v>
      </c>
      <c r="I9" s="242">
        <f t="shared" ref="I9:I15" si="2">IF(H9=0,"",G9/H9-1)</f>
        <v>-0.30879590025682224</v>
      </c>
      <c r="J9" s="348">
        <v>11874.844318445003</v>
      </c>
      <c r="K9" s="238">
        <f t="shared" si="0"/>
        <v>9.8719819631370775E-2</v>
      </c>
    </row>
    <row r="10" spans="1:11" ht="15" customHeight="1">
      <c r="A10" s="118" t="s">
        <v>38</v>
      </c>
      <c r="B10" s="350">
        <v>161.8844647825</v>
      </c>
      <c r="C10" s="248">
        <v>169.46536025500001</v>
      </c>
      <c r="D10" s="351">
        <v>183.26538812499999</v>
      </c>
      <c r="E10" s="350">
        <v>124.6546490225</v>
      </c>
      <c r="F10" s="239">
        <f>IF(E10=0,"",D10/E10-1)</f>
        <v>0.47018494345863382</v>
      </c>
      <c r="G10" s="356">
        <v>1153.7259404475001</v>
      </c>
      <c r="H10" s="248">
        <v>1076.90664021</v>
      </c>
      <c r="I10" s="243">
        <f t="shared" si="2"/>
        <v>7.1333296099390875E-2</v>
      </c>
      <c r="J10" s="350">
        <v>923.2971126525</v>
      </c>
      <c r="K10" s="239">
        <f t="shared" si="0"/>
        <v>0.16637063568432686</v>
      </c>
    </row>
    <row r="11" spans="1:11" ht="15" customHeight="1">
      <c r="A11" s="117" t="s">
        <v>30</v>
      </c>
      <c r="B11" s="348">
        <v>55.064190197499997</v>
      </c>
      <c r="C11" s="247">
        <v>61.040101507499998</v>
      </c>
      <c r="D11" s="349">
        <v>64.267350870000001</v>
      </c>
      <c r="E11" s="348">
        <v>66.063445387499982</v>
      </c>
      <c r="F11" s="238">
        <f>IF(E11=0,"",D11/E11-1)</f>
        <v>-2.7187418200259716E-2</v>
      </c>
      <c r="G11" s="355">
        <v>475.93649637499999</v>
      </c>
      <c r="H11" s="247">
        <v>464.76524110249994</v>
      </c>
      <c r="I11" s="242">
        <f t="shared" si="2"/>
        <v>2.4036339821799091E-2</v>
      </c>
      <c r="J11" s="348">
        <v>445.21042083750001</v>
      </c>
      <c r="K11" s="238">
        <f t="shared" si="0"/>
        <v>4.392264724669892E-2</v>
      </c>
    </row>
    <row r="12" spans="1:11" ht="15" customHeight="1">
      <c r="A12" s="145" t="s">
        <v>42</v>
      </c>
      <c r="B12" s="352">
        <f>+SUM(B8:B11)</f>
        <v>3756.7117709450008</v>
      </c>
      <c r="C12" s="343">
        <f t="shared" ref="C12:E12" si="3">+SUM(C8:C11)</f>
        <v>4139.4247095549999</v>
      </c>
      <c r="D12" s="353">
        <f t="shared" si="3"/>
        <v>4279.3529712050004</v>
      </c>
      <c r="E12" s="352">
        <f t="shared" si="3"/>
        <v>4401.5973424274998</v>
      </c>
      <c r="F12" s="240">
        <f>IF(E12=0,"",D12/E12-1)</f>
        <v>-2.7772729241762328E-2</v>
      </c>
      <c r="G12" s="352">
        <f t="shared" ref="G12:J12" si="4">+SUM(G8:G11)</f>
        <v>31562.483798849997</v>
      </c>
      <c r="H12" s="343">
        <f t="shared" si="4"/>
        <v>35147.682168922503</v>
      </c>
      <c r="I12" s="244">
        <f>IF(H12=0,"",G12/H12-1)</f>
        <v>-0.10200383492833931</v>
      </c>
      <c r="J12" s="352">
        <f t="shared" si="4"/>
        <v>33543.342882145007</v>
      </c>
      <c r="K12" s="240">
        <f t="shared" si="0"/>
        <v>4.7828843189969605E-2</v>
      </c>
    </row>
    <row r="13" spans="1:11" ht="15" customHeight="1">
      <c r="A13" s="112"/>
      <c r="B13" s="112"/>
      <c r="C13" s="112"/>
      <c r="D13" s="112"/>
      <c r="E13" s="112"/>
      <c r="F13" s="114"/>
      <c r="G13" s="112"/>
      <c r="H13" s="112"/>
      <c r="I13" s="832"/>
      <c r="J13" s="113"/>
      <c r="K13" s="114" t="str">
        <f t="shared" si="0"/>
        <v/>
      </c>
    </row>
    <row r="14" spans="1:11" ht="15" customHeight="1">
      <c r="A14" s="119" t="s">
        <v>39</v>
      </c>
      <c r="B14" s="235">
        <v>16.997148410000005</v>
      </c>
      <c r="C14" s="236">
        <v>11.404668589999995</v>
      </c>
      <c r="D14" s="345">
        <v>2.9197444899999985</v>
      </c>
      <c r="E14" s="235">
        <v>19.613563159999973</v>
      </c>
      <c r="F14" s="120">
        <f t="shared" si="1"/>
        <v>-0.85113645765525436</v>
      </c>
      <c r="G14" s="235">
        <v>36.940887689999997</v>
      </c>
      <c r="H14" s="236">
        <v>57.917815239999996</v>
      </c>
      <c r="I14" s="123">
        <f t="shared" si="2"/>
        <v>-0.36218437216728139</v>
      </c>
      <c r="J14" s="235">
        <v>14.28379191</v>
      </c>
      <c r="K14" s="120">
        <f t="shared" si="0"/>
        <v>3.0547927052516126</v>
      </c>
    </row>
    <row r="15" spans="1:11" ht="15" customHeight="1">
      <c r="A15" s="118" t="s">
        <v>40</v>
      </c>
      <c r="B15" s="232">
        <v>0</v>
      </c>
      <c r="C15" s="233">
        <v>0</v>
      </c>
      <c r="D15" s="234">
        <v>0</v>
      </c>
      <c r="E15" s="232">
        <v>0</v>
      </c>
      <c r="F15" s="121" t="str">
        <f t="shared" si="1"/>
        <v/>
      </c>
      <c r="G15" s="232">
        <v>0</v>
      </c>
      <c r="H15" s="233">
        <v>0</v>
      </c>
      <c r="I15" s="115" t="str">
        <f t="shared" si="2"/>
        <v/>
      </c>
      <c r="J15" s="232">
        <v>0</v>
      </c>
      <c r="K15" s="121" t="str">
        <f t="shared" si="0"/>
        <v/>
      </c>
    </row>
    <row r="16" spans="1:11" ht="23.25" customHeight="1">
      <c r="A16" s="125" t="s">
        <v>41</v>
      </c>
      <c r="B16" s="245">
        <f>+B15-B14</f>
        <v>-16.997148410000005</v>
      </c>
      <c r="C16" s="246">
        <f t="shared" ref="C16:E16" si="5">+C15-C14</f>
        <v>-11.404668589999995</v>
      </c>
      <c r="D16" s="406">
        <f t="shared" si="5"/>
        <v>-2.9197444899999985</v>
      </c>
      <c r="E16" s="245">
        <f t="shared" si="5"/>
        <v>-19.613563159999973</v>
      </c>
      <c r="F16" s="122"/>
      <c r="G16" s="245">
        <f t="shared" ref="G16:H16" si="6">+G15-G14</f>
        <v>-36.940887689999997</v>
      </c>
      <c r="H16" s="246">
        <f t="shared" si="6"/>
        <v>-57.917815239999996</v>
      </c>
      <c r="I16" s="124"/>
      <c r="J16" s="245">
        <f>+J15-J14</f>
        <v>-14.28379191</v>
      </c>
      <c r="K16" s="122"/>
    </row>
    <row r="17" spans="1:11" ht="11.25" customHeight="1">
      <c r="A17" s="231" t="s">
        <v>220</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13"/>
      <c r="C42" s="913"/>
      <c r="D42" s="913"/>
      <c r="E42" s="93"/>
      <c r="F42" s="93"/>
      <c r="G42" s="914"/>
      <c r="H42" s="914"/>
      <c r="I42" s="914"/>
      <c r="J42" s="914"/>
      <c r="K42" s="914"/>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1" t="str">
        <f>"Gráfico N° 4: Comparación de la producción de energía eléctrica por tipo de generación acumulada a "&amp;'1. Resumen'!Q4</f>
        <v>Gráfico N° 4: Comparación de la producción de energía eléctrica por tipo de generación acumulada a agosto</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 Agosto 2020
INFSGI-MES-08-2020
14/09/2020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zoomScalePageLayoutView="145" workbookViewId="0">
      <selection activeCell="N25" sqref="N25"/>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33203125" customWidth="1"/>
    <col min="10" max="10" width="10.5" customWidth="1"/>
    <col min="11" max="11" width="9.33203125" customWidth="1"/>
  </cols>
  <sheetData>
    <row r="1" spans="1:12" ht="11.25" customHeight="1"/>
    <row r="2" spans="1:12" ht="11.25" customHeight="1">
      <c r="A2" s="923" t="str">
        <f>+"3.2. PRODUCCIÓN POR TIPO DE RECURSO ENERGÉTICO (GWh)"</f>
        <v>3.2. PRODUCCIÓN POR TIPO DE RECURSO ENERGÉTICO (GWh)</v>
      </c>
      <c r="B2" s="923"/>
      <c r="C2" s="923"/>
      <c r="D2" s="923"/>
      <c r="E2" s="923"/>
      <c r="F2" s="923"/>
      <c r="G2" s="923"/>
      <c r="H2" s="923"/>
      <c r="I2" s="923"/>
      <c r="J2" s="923"/>
      <c r="K2" s="923"/>
    </row>
    <row r="3" spans="1:12" ht="18.75" customHeight="1">
      <c r="A3" s="126"/>
      <c r="B3" s="127"/>
      <c r="C3" s="128"/>
      <c r="D3" s="129"/>
      <c r="E3" s="129"/>
      <c r="F3" s="129"/>
      <c r="G3" s="130"/>
      <c r="H3" s="130"/>
      <c r="I3" s="130"/>
      <c r="J3" s="126"/>
      <c r="K3" s="126"/>
      <c r="L3" s="36"/>
    </row>
    <row r="4" spans="1:12" ht="14.25" customHeight="1">
      <c r="A4" s="927" t="s">
        <v>43</v>
      </c>
      <c r="B4" s="924" t="s">
        <v>33</v>
      </c>
      <c r="C4" s="925"/>
      <c r="D4" s="925"/>
      <c r="E4" s="925" t="s">
        <v>34</v>
      </c>
      <c r="F4" s="925"/>
      <c r="G4" s="926" t="str">
        <f>+'3. Tipo Generación'!G6:K6</f>
        <v>Generación Acumulada a agosto</v>
      </c>
      <c r="H4" s="926"/>
      <c r="I4" s="926"/>
      <c r="J4" s="926"/>
      <c r="K4" s="926"/>
      <c r="L4" s="131"/>
    </row>
    <row r="5" spans="1:12" ht="26.25" customHeight="1">
      <c r="A5" s="927"/>
      <c r="B5" s="475">
        <f>+'3. Tipo Generación'!B7</f>
        <v>43986</v>
      </c>
      <c r="C5" s="475">
        <f>+'3. Tipo Generación'!C7</f>
        <v>44016</v>
      </c>
      <c r="D5" s="475">
        <f>+'3. Tipo Generación'!D7</f>
        <v>44044</v>
      </c>
      <c r="E5" s="475">
        <f>+'3. Tipo Generación'!E7</f>
        <v>43679</v>
      </c>
      <c r="F5" s="476" t="s">
        <v>35</v>
      </c>
      <c r="G5" s="477">
        <v>2020</v>
      </c>
      <c r="H5" s="477">
        <v>2019</v>
      </c>
      <c r="I5" s="476" t="s">
        <v>476</v>
      </c>
      <c r="J5" s="477">
        <v>2018</v>
      </c>
      <c r="K5" s="476" t="s">
        <v>423</v>
      </c>
      <c r="L5" s="19"/>
    </row>
    <row r="6" spans="1:12" ht="11.25" customHeight="1">
      <c r="A6" s="139" t="s">
        <v>44</v>
      </c>
      <c r="B6" s="287">
        <v>2153.3551646150004</v>
      </c>
      <c r="C6" s="288">
        <v>2043.4385303474994</v>
      </c>
      <c r="D6" s="289">
        <v>1903.0458479450001</v>
      </c>
      <c r="E6" s="287">
        <v>1894.8579691774999</v>
      </c>
      <c r="F6" s="252">
        <f>IF(E6=0,"",D6/E6-1)</f>
        <v>4.321104220309735E-3</v>
      </c>
      <c r="G6" s="287">
        <v>20914.593822667495</v>
      </c>
      <c r="H6" s="288">
        <v>20558.883479897508</v>
      </c>
      <c r="I6" s="252">
        <f t="shared" ref="I6:I16" si="0">IF(H6=0,"",G6/H6-1)</f>
        <v>1.7302026304969464E-2</v>
      </c>
      <c r="J6" s="287">
        <v>20299.991030210003</v>
      </c>
      <c r="K6" s="252">
        <f>IF(J6=0,"",H6/J6-1)</f>
        <v>1.2753328279910381E-2</v>
      </c>
      <c r="L6" s="24"/>
    </row>
    <row r="7" spans="1:12" ht="11.25" customHeight="1">
      <c r="A7" s="140" t="s">
        <v>50</v>
      </c>
      <c r="B7" s="290">
        <v>1303.3500004725004</v>
      </c>
      <c r="C7" s="247">
        <v>1784.8507810725</v>
      </c>
      <c r="D7" s="291">
        <v>2036.6954341275</v>
      </c>
      <c r="E7" s="290">
        <v>2158.4746670975001</v>
      </c>
      <c r="F7" s="253">
        <f t="shared" ref="F7:F18" si="1">IF(E7=0,"",D7/E7-1)</f>
        <v>-5.6419116159355465E-2</v>
      </c>
      <c r="G7" s="290">
        <v>8465.5435898100004</v>
      </c>
      <c r="H7" s="247">
        <v>12145.097014982031</v>
      </c>
      <c r="I7" s="253">
        <f t="shared" si="0"/>
        <v>-0.3029661616233269</v>
      </c>
      <c r="J7" s="290">
        <v>11039.305630004999</v>
      </c>
      <c r="K7" s="253">
        <f t="shared" ref="K7:K19" si="2">IF(J7=0,"",H7/J7-1)</f>
        <v>0.10016856331719581</v>
      </c>
      <c r="L7" s="22"/>
    </row>
    <row r="8" spans="1:12" ht="11.25" customHeight="1">
      <c r="A8" s="141" t="s">
        <v>51</v>
      </c>
      <c r="B8" s="292">
        <v>61.168153509999996</v>
      </c>
      <c r="C8" s="248">
        <v>66.205388729999996</v>
      </c>
      <c r="D8" s="293">
        <v>65.984291870000007</v>
      </c>
      <c r="E8" s="292">
        <v>61.765361412499999</v>
      </c>
      <c r="F8" s="404">
        <f t="shared" si="1"/>
        <v>6.8305768168729353E-2</v>
      </c>
      <c r="G8" s="292">
        <v>359.62798358750001</v>
      </c>
      <c r="H8" s="248">
        <v>376.94619801249996</v>
      </c>
      <c r="I8" s="404">
        <f t="shared" si="0"/>
        <v>-4.5943464919695698E-2</v>
      </c>
      <c r="J8" s="292">
        <v>359.9173524775</v>
      </c>
      <c r="K8" s="404">
        <f t="shared" si="2"/>
        <v>4.7313210707351283E-2</v>
      </c>
      <c r="L8" s="22"/>
    </row>
    <row r="9" spans="1:12" ht="11.25" customHeight="1">
      <c r="A9" s="140" t="s">
        <v>52</v>
      </c>
      <c r="B9" s="290">
        <v>1.3787250000000002E-4</v>
      </c>
      <c r="C9" s="247">
        <v>0</v>
      </c>
      <c r="D9" s="291">
        <v>0</v>
      </c>
      <c r="E9" s="290">
        <v>72.701413130000006</v>
      </c>
      <c r="F9" s="253">
        <f t="shared" si="1"/>
        <v>-1</v>
      </c>
      <c r="G9" s="290">
        <v>15.849400752499999</v>
      </c>
      <c r="H9" s="247">
        <v>206.7862373175</v>
      </c>
      <c r="I9" s="253">
        <f t="shared" si="0"/>
        <v>-0.92335369627058494</v>
      </c>
      <c r="J9" s="290">
        <v>240.61071660500002</v>
      </c>
      <c r="K9" s="253">
        <f t="shared" si="2"/>
        <v>-0.1405776091969676</v>
      </c>
      <c r="L9" s="22"/>
    </row>
    <row r="10" spans="1:12" ht="11.25" customHeight="1">
      <c r="A10" s="141" t="s">
        <v>53</v>
      </c>
      <c r="B10" s="292">
        <v>0</v>
      </c>
      <c r="C10" s="248">
        <v>0</v>
      </c>
      <c r="D10" s="293">
        <v>0</v>
      </c>
      <c r="E10" s="292">
        <v>0</v>
      </c>
      <c r="F10" s="404" t="str">
        <f t="shared" si="1"/>
        <v/>
      </c>
      <c r="G10" s="292">
        <v>0</v>
      </c>
      <c r="H10" s="248">
        <v>0</v>
      </c>
      <c r="I10" s="404" t="str">
        <f t="shared" si="0"/>
        <v/>
      </c>
      <c r="J10" s="292">
        <v>0</v>
      </c>
      <c r="K10" s="404" t="str">
        <f t="shared" si="2"/>
        <v/>
      </c>
      <c r="L10" s="22"/>
    </row>
    <row r="11" spans="1:12" ht="11.25" customHeight="1">
      <c r="A11" s="140" t="s">
        <v>26</v>
      </c>
      <c r="B11" s="290">
        <v>0</v>
      </c>
      <c r="C11" s="247">
        <v>0</v>
      </c>
      <c r="D11" s="291">
        <v>0</v>
      </c>
      <c r="E11" s="290">
        <v>0</v>
      </c>
      <c r="F11" s="253" t="str">
        <f t="shared" si="1"/>
        <v/>
      </c>
      <c r="G11" s="290">
        <v>0</v>
      </c>
      <c r="H11" s="247">
        <v>22.387534665</v>
      </c>
      <c r="I11" s="253">
        <f t="shared" si="0"/>
        <v>-1</v>
      </c>
      <c r="J11" s="290">
        <v>43.120710160000002</v>
      </c>
      <c r="K11" s="253">
        <f t="shared" si="2"/>
        <v>-0.48081711590716525</v>
      </c>
      <c r="L11" s="24"/>
    </row>
    <row r="12" spans="1:12" ht="11.25" customHeight="1">
      <c r="A12" s="141" t="s">
        <v>45</v>
      </c>
      <c r="B12" s="292">
        <v>0</v>
      </c>
      <c r="C12" s="248">
        <v>0</v>
      </c>
      <c r="D12" s="293">
        <v>2.9531145150000002</v>
      </c>
      <c r="E12" s="292">
        <v>0.18967064750000001</v>
      </c>
      <c r="F12" s="404">
        <f t="shared" si="1"/>
        <v>14.569697019144726</v>
      </c>
      <c r="G12" s="292">
        <v>4.1767558875000006</v>
      </c>
      <c r="H12" s="248">
        <v>42.214006862499993</v>
      </c>
      <c r="I12" s="404">
        <f t="shared" si="0"/>
        <v>-0.90105758259090207</v>
      </c>
      <c r="J12" s="292">
        <v>5.0606056925000003</v>
      </c>
      <c r="K12" s="404">
        <f t="shared" si="2"/>
        <v>7.3416905855879406</v>
      </c>
      <c r="L12" s="22"/>
    </row>
    <row r="13" spans="1:12" ht="11.25" customHeight="1">
      <c r="A13" s="140" t="s">
        <v>46</v>
      </c>
      <c r="B13" s="290">
        <v>0</v>
      </c>
      <c r="C13" s="247">
        <v>0</v>
      </c>
      <c r="D13" s="291">
        <v>0</v>
      </c>
      <c r="E13" s="290">
        <v>0</v>
      </c>
      <c r="F13" s="253" t="str">
        <f>IF(E13=0,"",D13/E13-1)</f>
        <v/>
      </c>
      <c r="G13" s="290">
        <v>0</v>
      </c>
      <c r="H13" s="247">
        <v>0.226881735</v>
      </c>
      <c r="I13" s="253">
        <f t="shared" si="0"/>
        <v>-1</v>
      </c>
      <c r="J13" s="290">
        <v>2.4329590024999996</v>
      </c>
      <c r="K13" s="253">
        <f t="shared" si="2"/>
        <v>-0.90674658522117857</v>
      </c>
      <c r="L13" s="22"/>
    </row>
    <row r="14" spans="1:12" ht="11.25" customHeight="1">
      <c r="A14" s="141" t="s">
        <v>47</v>
      </c>
      <c r="B14" s="292">
        <v>2.45639E-2</v>
      </c>
      <c r="C14" s="248">
        <v>0.21856425000000002</v>
      </c>
      <c r="D14" s="293">
        <v>3.6747842499999996E-2</v>
      </c>
      <c r="E14" s="292">
        <v>0.98148405750000012</v>
      </c>
      <c r="F14" s="404">
        <f>IF(E14=0,"",D14/E14-1)</f>
        <v>-0.96255890024989021</v>
      </c>
      <c r="G14" s="292">
        <v>8.3157298025000017</v>
      </c>
      <c r="H14" s="248">
        <v>97.993125672968773</v>
      </c>
      <c r="I14" s="404">
        <f t="shared" si="0"/>
        <v>-0.91513966163042926</v>
      </c>
      <c r="J14" s="292">
        <v>97.969963682499994</v>
      </c>
      <c r="K14" s="404">
        <f t="shared" si="2"/>
        <v>2.3641930238782471E-4</v>
      </c>
      <c r="L14" s="22"/>
    </row>
    <row r="15" spans="1:12" ht="11.25" customHeight="1">
      <c r="A15" s="140" t="s">
        <v>48</v>
      </c>
      <c r="B15" s="290">
        <v>19.396027994999997</v>
      </c>
      <c r="C15" s="247">
        <v>9.6006175975000012</v>
      </c>
      <c r="D15" s="291">
        <v>16.739497122500001</v>
      </c>
      <c r="E15" s="290">
        <v>16.094884632500001</v>
      </c>
      <c r="F15" s="253">
        <f t="shared" si="1"/>
        <v>4.0050767974959545E-2</v>
      </c>
      <c r="G15" s="290">
        <v>132.72310942250002</v>
      </c>
      <c r="H15" s="247">
        <v>111.8116964925</v>
      </c>
      <c r="I15" s="253">
        <f>IF(H15=0,"",G15/H15-1)</f>
        <v>0.18702348310583661</v>
      </c>
      <c r="J15" s="290">
        <v>57.940617664999998</v>
      </c>
      <c r="K15" s="253">
        <f t="shared" si="2"/>
        <v>0.92976362694251602</v>
      </c>
      <c r="L15" s="22"/>
    </row>
    <row r="16" spans="1:12" ht="11.25" customHeight="1">
      <c r="A16" s="141" t="s">
        <v>49</v>
      </c>
      <c r="B16" s="292">
        <v>2.4690675999999998</v>
      </c>
      <c r="C16" s="248">
        <v>4.605365795</v>
      </c>
      <c r="D16" s="293">
        <v>6.3652987874999996</v>
      </c>
      <c r="E16" s="292">
        <v>5.8137978624999995</v>
      </c>
      <c r="F16" s="404">
        <f t="shared" si="1"/>
        <v>9.4860698297970725E-2</v>
      </c>
      <c r="G16" s="292">
        <v>31.990970097499996</v>
      </c>
      <c r="H16" s="248">
        <v>43.664111972500002</v>
      </c>
      <c r="I16" s="404">
        <f t="shared" si="0"/>
        <v>-0.26733950028233355</v>
      </c>
      <c r="J16" s="292">
        <v>28.485763154999997</v>
      </c>
      <c r="K16" s="404">
        <f t="shared" si="2"/>
        <v>0.5328398166799968</v>
      </c>
      <c r="L16" s="22"/>
    </row>
    <row r="17" spans="1:12" ht="11.25" customHeight="1">
      <c r="A17" s="140" t="s">
        <v>30</v>
      </c>
      <c r="B17" s="290">
        <v>55.064190197499997</v>
      </c>
      <c r="C17" s="247">
        <v>61.040101507499998</v>
      </c>
      <c r="D17" s="291">
        <v>64.267350870000001</v>
      </c>
      <c r="E17" s="290">
        <v>66.063445387499982</v>
      </c>
      <c r="F17" s="253">
        <f t="shared" si="1"/>
        <v>-2.7187418200259716E-2</v>
      </c>
      <c r="G17" s="290">
        <v>475.93649637499999</v>
      </c>
      <c r="H17" s="247">
        <v>464.76524110249994</v>
      </c>
      <c r="I17" s="253">
        <f>IF(H17=0,"",G17/H17-1)</f>
        <v>2.4036339821799091E-2</v>
      </c>
      <c r="J17" s="290">
        <v>445.21042083750001</v>
      </c>
      <c r="K17" s="253">
        <f t="shared" si="2"/>
        <v>4.392264724669892E-2</v>
      </c>
      <c r="L17" s="22"/>
    </row>
    <row r="18" spans="1:12" ht="11.25" customHeight="1">
      <c r="A18" s="141" t="s">
        <v>29</v>
      </c>
      <c r="B18" s="292">
        <v>161.8844647825</v>
      </c>
      <c r="C18" s="248">
        <v>169.46536025500001</v>
      </c>
      <c r="D18" s="293">
        <v>183.26538812499999</v>
      </c>
      <c r="E18" s="292">
        <v>124.6546490225</v>
      </c>
      <c r="F18" s="404">
        <f t="shared" si="1"/>
        <v>0.47018494345863382</v>
      </c>
      <c r="G18" s="292">
        <v>1153.7259404475001</v>
      </c>
      <c r="H18" s="248">
        <v>1076.90664021</v>
      </c>
      <c r="I18" s="404">
        <f>IF(H18=0,"",G18/H18-1)</f>
        <v>7.1333296099390875E-2</v>
      </c>
      <c r="J18" s="292">
        <v>923.2971126525</v>
      </c>
      <c r="K18" s="404">
        <f t="shared" si="2"/>
        <v>0.16637063568432686</v>
      </c>
      <c r="L18" s="22"/>
    </row>
    <row r="19" spans="1:12" ht="11.25" customHeight="1">
      <c r="A19" s="146" t="s">
        <v>42</v>
      </c>
      <c r="B19" s="294">
        <f>SUM(B6:B18)</f>
        <v>3756.7117709450013</v>
      </c>
      <c r="C19" s="295">
        <f>SUM(C6:C18)</f>
        <v>4139.424709554999</v>
      </c>
      <c r="D19" s="739">
        <f>SUM(D6:D18)</f>
        <v>4279.3529712050004</v>
      </c>
      <c r="E19" s="294">
        <f>SUM(E6:E18)</f>
        <v>4401.5973424274998</v>
      </c>
      <c r="F19" s="405">
        <f>IF(E19=0,"",D19/E19-1)</f>
        <v>-2.7772729241762328E-2</v>
      </c>
      <c r="G19" s="294">
        <f>SUM(G6:G18)</f>
        <v>31562.483798849997</v>
      </c>
      <c r="H19" s="295">
        <f>SUM(H6:H18)</f>
        <v>35147.682168922511</v>
      </c>
      <c r="I19" s="405">
        <f>IF(H19=0,"",G19/H19-1)</f>
        <v>-0.10200383492833953</v>
      </c>
      <c r="J19" s="294">
        <f>SUM(J6:J18)</f>
        <v>33543.342882145</v>
      </c>
      <c r="K19" s="405">
        <f t="shared" si="2"/>
        <v>4.7828843189970049E-2</v>
      </c>
      <c r="L19" s="30"/>
    </row>
    <row r="20" spans="1:12" ht="11.25" customHeight="1">
      <c r="A20" s="22"/>
      <c r="B20" s="22"/>
      <c r="C20" s="22"/>
      <c r="D20" s="22"/>
      <c r="E20" s="22"/>
      <c r="F20" s="22"/>
      <c r="G20" s="22"/>
      <c r="H20" s="22"/>
      <c r="I20" s="22"/>
      <c r="J20" s="22"/>
      <c r="K20" s="22"/>
      <c r="L20" s="22"/>
    </row>
    <row r="21" spans="1:12" ht="11.25" customHeight="1">
      <c r="A21" s="142" t="s">
        <v>39</v>
      </c>
      <c r="B21" s="235">
        <v>16.997148410000005</v>
      </c>
      <c r="C21" s="236">
        <v>11.404668589999995</v>
      </c>
      <c r="D21" s="345">
        <v>2.9197444899999985</v>
      </c>
      <c r="E21" s="696">
        <v>19.613563159999973</v>
      </c>
      <c r="F21" s="120">
        <f>IF(E21=0,"",D21/E21-1)</f>
        <v>-0.85113645765525436</v>
      </c>
      <c r="G21" s="235">
        <v>36.940887689999997</v>
      </c>
      <c r="H21" s="344">
        <v>57.917815239999996</v>
      </c>
      <c r="I21" s="123">
        <f>IF(H21=0,"",G21/H21-1)</f>
        <v>-0.36218437216728139</v>
      </c>
      <c r="J21" s="235">
        <v>14.28379191</v>
      </c>
      <c r="K21" s="120">
        <f>IF(J21=0,"",H21/J21-1)</f>
        <v>3.0547927052516126</v>
      </c>
      <c r="L21" s="22"/>
    </row>
    <row r="22" spans="1:12" ht="11.25" customHeight="1">
      <c r="A22" s="143" t="s">
        <v>40</v>
      </c>
      <c r="B22" s="232">
        <v>0</v>
      </c>
      <c r="C22" s="233">
        <v>0</v>
      </c>
      <c r="D22" s="234">
        <v>0</v>
      </c>
      <c r="E22" s="697">
        <v>0</v>
      </c>
      <c r="F22" s="695" t="str">
        <f>IF(E22=0,"",D22/E22-1)</f>
        <v/>
      </c>
      <c r="G22" s="232">
        <v>0</v>
      </c>
      <c r="H22" s="233">
        <v>0</v>
      </c>
      <c r="I22" s="115" t="str">
        <f>IF(H22=0,"",G22/H22-1)</f>
        <v/>
      </c>
      <c r="J22" s="232">
        <v>0</v>
      </c>
      <c r="K22" s="121" t="str">
        <f>IF(J22=0,"",H22/J22-1)</f>
        <v/>
      </c>
      <c r="L22" s="22"/>
    </row>
    <row r="23" spans="1:12" ht="23.25" customHeight="1">
      <c r="A23" s="144" t="s">
        <v>41</v>
      </c>
      <c r="B23" s="245">
        <f>+B22-B21</f>
        <v>-16.997148410000005</v>
      </c>
      <c r="C23" s="246">
        <f>+C22-C21</f>
        <v>-11.404668589999995</v>
      </c>
      <c r="D23" s="406">
        <f>+D22-D21</f>
        <v>-2.9197444899999985</v>
      </c>
      <c r="E23" s="698">
        <f>+E22-E21</f>
        <v>-19.613563159999973</v>
      </c>
      <c r="F23" s="246"/>
      <c r="G23" s="245">
        <f>+G22-G21</f>
        <v>-36.940887689999997</v>
      </c>
      <c r="H23" s="246">
        <f>+H22-H21</f>
        <v>-57.917815239999996</v>
      </c>
      <c r="I23" s="124"/>
      <c r="J23" s="245">
        <f>+J22-J21</f>
        <v>-14.28379191</v>
      </c>
      <c r="K23" s="122"/>
      <c r="L23" s="30"/>
    </row>
    <row r="24" spans="1:12" ht="11.25" customHeight="1">
      <c r="A24" s="230" t="s">
        <v>222</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0" t="str">
        <f>"Gráfico N° 5: Comparación de la producción de energía eléctrica (GWh) por tipo de recurso energético acumulado a "&amp;'1. Resumen'!Q4&amp;"."</f>
        <v>Gráfico N° 5: Comparación de la producción de energía eléctrica (GWh) por tipo de recurso energético acumulado a agosto.</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 Agosto 2020
INFSGI-MES-08-2020
14/09/2020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45" workbookViewId="0">
      <selection activeCell="N25" sqref="N25"/>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558"/>
  </cols>
  <sheetData>
    <row r="1" spans="1:12" ht="11.25" customHeight="1"/>
    <row r="2" spans="1:12" ht="11.25" customHeight="1">
      <c r="A2" s="929" t="s">
        <v>230</v>
      </c>
      <c r="B2" s="929"/>
      <c r="C2" s="929"/>
      <c r="D2" s="929"/>
      <c r="E2" s="929"/>
      <c r="F2" s="929"/>
      <c r="G2" s="929"/>
      <c r="H2" s="929"/>
      <c r="I2" s="929"/>
      <c r="J2" s="929"/>
      <c r="K2" s="929"/>
      <c r="L2" s="559"/>
    </row>
    <row r="3" spans="1:12" ht="11.25" customHeight="1">
      <c r="A3" s="74"/>
      <c r="B3" s="73"/>
      <c r="C3" s="73"/>
      <c r="D3" s="73"/>
      <c r="E3" s="73"/>
      <c r="F3" s="73"/>
      <c r="G3" s="73"/>
      <c r="H3" s="73"/>
      <c r="I3" s="73"/>
      <c r="J3" s="73"/>
      <c r="K3" s="73"/>
      <c r="L3" s="559"/>
    </row>
    <row r="4" spans="1:12" ht="15.75" customHeight="1">
      <c r="A4" s="927" t="s">
        <v>226</v>
      </c>
      <c r="B4" s="924" t="s">
        <v>33</v>
      </c>
      <c r="C4" s="925"/>
      <c r="D4" s="925"/>
      <c r="E4" s="925" t="s">
        <v>34</v>
      </c>
      <c r="F4" s="925"/>
      <c r="G4" s="926" t="str">
        <f>+'4. Tipo Recurso'!G4:K4</f>
        <v>Generación Acumulada a agosto</v>
      </c>
      <c r="H4" s="926"/>
      <c r="I4" s="926"/>
      <c r="J4" s="926"/>
      <c r="K4" s="926"/>
      <c r="L4" s="560"/>
    </row>
    <row r="5" spans="1:12" ht="29.25" customHeight="1">
      <c r="A5" s="927"/>
      <c r="B5" s="475">
        <f>+'4. Tipo Recurso'!B5</f>
        <v>43986</v>
      </c>
      <c r="C5" s="475">
        <f>+'4. Tipo Recurso'!C5</f>
        <v>44016</v>
      </c>
      <c r="D5" s="475">
        <f>+'4. Tipo Recurso'!D5</f>
        <v>44044</v>
      </c>
      <c r="E5" s="475">
        <f>+'4. Tipo Recurso'!E5</f>
        <v>43679</v>
      </c>
      <c r="F5" s="475" t="s">
        <v>35</v>
      </c>
      <c r="G5" s="477">
        <v>2020</v>
      </c>
      <c r="H5" s="477">
        <v>2019</v>
      </c>
      <c r="I5" s="476" t="s">
        <v>476</v>
      </c>
      <c r="J5" s="477">
        <v>2018</v>
      </c>
      <c r="K5" s="476" t="s">
        <v>423</v>
      </c>
      <c r="L5" s="561"/>
    </row>
    <row r="6" spans="1:12" ht="11.25" customHeight="1">
      <c r="A6" s="139" t="s">
        <v>44</v>
      </c>
      <c r="B6" s="287">
        <v>143.43081614249999</v>
      </c>
      <c r="C6" s="288">
        <v>126.10076339999996</v>
      </c>
      <c r="D6" s="289">
        <v>106.74069863</v>
      </c>
      <c r="E6" s="287">
        <v>104.39979135499998</v>
      </c>
      <c r="F6" s="252">
        <f t="shared" ref="F6:F11" si="0">IF(E6=0,"",D6/E6-1)</f>
        <v>2.2422528288778221E-2</v>
      </c>
      <c r="G6" s="287">
        <v>1503.2161945324999</v>
      </c>
      <c r="H6" s="288">
        <v>1183.9673348225001</v>
      </c>
      <c r="I6" s="256">
        <f t="shared" ref="I6:I11" si="1">IF(H6=0,"",G6/H6-1)</f>
        <v>0.26964330038536199</v>
      </c>
      <c r="J6" s="287">
        <v>828.59012552750005</v>
      </c>
      <c r="K6" s="252">
        <f t="shared" ref="K6:K11" si="2">IF(J6=0,"",H6/J6-1)</f>
        <v>0.42889385034459404</v>
      </c>
      <c r="L6" s="562"/>
    </row>
    <row r="7" spans="1:12" ht="11.25" customHeight="1">
      <c r="A7" s="140" t="s">
        <v>38</v>
      </c>
      <c r="B7" s="290">
        <v>161.8844647825</v>
      </c>
      <c r="C7" s="247">
        <v>169.46536025500001</v>
      </c>
      <c r="D7" s="291">
        <v>183.26538812499999</v>
      </c>
      <c r="E7" s="290">
        <v>124.6546490225</v>
      </c>
      <c r="F7" s="253">
        <f t="shared" si="0"/>
        <v>0.47018494345863382</v>
      </c>
      <c r="G7" s="290">
        <v>1153.7259404475001</v>
      </c>
      <c r="H7" s="247">
        <v>1076.90664021</v>
      </c>
      <c r="I7" s="242">
        <f t="shared" si="1"/>
        <v>7.1333296099390875E-2</v>
      </c>
      <c r="J7" s="290">
        <v>923.2971126525</v>
      </c>
      <c r="K7" s="253">
        <f t="shared" si="2"/>
        <v>0.16637063568432686</v>
      </c>
      <c r="L7" s="562"/>
    </row>
    <row r="8" spans="1:12" ht="11.25" customHeight="1">
      <c r="A8" s="250" t="s">
        <v>30</v>
      </c>
      <c r="B8" s="417">
        <v>55.064190197499997</v>
      </c>
      <c r="C8" s="296">
        <v>61.040101507499998</v>
      </c>
      <c r="D8" s="418">
        <v>64.267350870000001</v>
      </c>
      <c r="E8" s="417">
        <v>66.063445387499982</v>
      </c>
      <c r="F8" s="254">
        <f t="shared" si="0"/>
        <v>-2.7187418200259716E-2</v>
      </c>
      <c r="G8" s="417">
        <v>475.93649637499999</v>
      </c>
      <c r="H8" s="296">
        <v>464.76524110249994</v>
      </c>
      <c r="I8" s="249">
        <f t="shared" si="1"/>
        <v>2.4036339821799091E-2</v>
      </c>
      <c r="J8" s="417">
        <v>445.21042083750001</v>
      </c>
      <c r="K8" s="254">
        <f t="shared" si="2"/>
        <v>4.392264724669892E-2</v>
      </c>
      <c r="L8" s="562"/>
    </row>
    <row r="9" spans="1:12" ht="11.25" customHeight="1">
      <c r="A9" s="140" t="s">
        <v>48</v>
      </c>
      <c r="B9" s="290">
        <v>19.396027994999997</v>
      </c>
      <c r="C9" s="247">
        <v>9.6006175975000012</v>
      </c>
      <c r="D9" s="291">
        <v>16.739497122500001</v>
      </c>
      <c r="E9" s="290">
        <v>16.094884632500001</v>
      </c>
      <c r="F9" s="253">
        <f t="shared" si="0"/>
        <v>4.0050767974959545E-2</v>
      </c>
      <c r="G9" s="290">
        <v>132.72310942250002</v>
      </c>
      <c r="H9" s="247">
        <v>111.8116964925</v>
      </c>
      <c r="I9" s="242">
        <f t="shared" si="1"/>
        <v>0.18702348310583661</v>
      </c>
      <c r="J9" s="290">
        <v>57.940617664999998</v>
      </c>
      <c r="K9" s="253">
        <f t="shared" si="2"/>
        <v>0.92976362694251602</v>
      </c>
      <c r="L9" s="563"/>
    </row>
    <row r="10" spans="1:12" ht="11.25" customHeight="1">
      <c r="A10" s="251" t="s">
        <v>49</v>
      </c>
      <c r="B10" s="419">
        <v>2.4690675999999998</v>
      </c>
      <c r="C10" s="420">
        <v>4.605365795</v>
      </c>
      <c r="D10" s="421">
        <v>6.3652987874999996</v>
      </c>
      <c r="E10" s="419">
        <v>5.8137978624999995</v>
      </c>
      <c r="F10" s="255">
        <f t="shared" si="0"/>
        <v>9.4860698297970725E-2</v>
      </c>
      <c r="G10" s="419">
        <v>31.990970097499996</v>
      </c>
      <c r="H10" s="420">
        <v>43.664111972500002</v>
      </c>
      <c r="I10" s="257">
        <f t="shared" si="1"/>
        <v>-0.26733950028233355</v>
      </c>
      <c r="J10" s="419">
        <v>28.485763154999997</v>
      </c>
      <c r="K10" s="255">
        <f t="shared" si="2"/>
        <v>0.5328398166799968</v>
      </c>
      <c r="L10" s="562"/>
    </row>
    <row r="11" spans="1:12" ht="11.25" customHeight="1">
      <c r="A11" s="258" t="s">
        <v>223</v>
      </c>
      <c r="B11" s="357">
        <f>+B6+B7+B8+B9+B10</f>
        <v>382.24456671750005</v>
      </c>
      <c r="C11" s="358">
        <f t="shared" ref="C11:D11" si="3">+C6+C7+C8+C9+C10</f>
        <v>370.81220855499998</v>
      </c>
      <c r="D11" s="359">
        <f t="shared" si="3"/>
        <v>377.37823353499994</v>
      </c>
      <c r="E11" s="360">
        <f>+E6+E7+E8+E9+E10</f>
        <v>317.02656825999998</v>
      </c>
      <c r="F11" s="259">
        <f t="shared" si="0"/>
        <v>0.19036784710581212</v>
      </c>
      <c r="G11" s="415">
        <f>+G6+G7+G8+G9+G10</f>
        <v>3297.5927108749997</v>
      </c>
      <c r="H11" s="416">
        <f>+H6+H7+H8+H9+H10</f>
        <v>2881.1150246000007</v>
      </c>
      <c r="I11" s="260">
        <f t="shared" si="1"/>
        <v>0.14455434188463911</v>
      </c>
      <c r="J11" s="415">
        <f>+J6+J7+J8+J9+J10</f>
        <v>2283.5240398374999</v>
      </c>
      <c r="K11" s="259">
        <f t="shared" si="2"/>
        <v>0.26169682225242807</v>
      </c>
      <c r="L11" s="560"/>
    </row>
    <row r="12" spans="1:12" ht="24.75" customHeight="1">
      <c r="A12" s="261" t="s">
        <v>224</v>
      </c>
      <c r="B12" s="262">
        <f>B11/'4. Tipo Recurso'!B19</f>
        <v>0.10174977214750398</v>
      </c>
      <c r="C12" s="729">
        <f>C11/'4. Tipo Recurso'!C19</f>
        <v>8.9580614354225915E-2</v>
      </c>
      <c r="D12" s="566">
        <f>D11/'4. Tipo Recurso'!D19</f>
        <v>8.8185815957297867E-2</v>
      </c>
      <c r="E12" s="262">
        <f>E11/'4. Tipo Recurso'!E19</f>
        <v>7.2025345254583983E-2</v>
      </c>
      <c r="F12" s="263"/>
      <c r="G12" s="262">
        <f>G11/'4. Tipo Recurso'!G19</f>
        <v>0.10447823852808283</v>
      </c>
      <c r="H12" s="260">
        <f>H11/'4. Tipo Recurso'!H19</f>
        <v>8.1971693346751473E-2</v>
      </c>
      <c r="I12" s="260"/>
      <c r="J12" s="262">
        <f>J11/'4. Tipo Recurso'!J19</f>
        <v>6.8076817741770504E-2</v>
      </c>
      <c r="K12" s="263"/>
      <c r="L12" s="560"/>
    </row>
    <row r="13" spans="1:12" ht="11.25" customHeight="1">
      <c r="A13" s="264" t="s">
        <v>225</v>
      </c>
      <c r="B13" s="134"/>
      <c r="C13" s="134"/>
      <c r="D13" s="134"/>
      <c r="E13" s="134"/>
      <c r="F13" s="134"/>
      <c r="G13" s="134"/>
      <c r="H13" s="134"/>
      <c r="I13" s="134"/>
      <c r="J13" s="134"/>
      <c r="K13" s="135"/>
      <c r="L13" s="560"/>
    </row>
    <row r="14" spans="1:12" ht="35.25" customHeight="1">
      <c r="A14" s="930" t="s">
        <v>462</v>
      </c>
      <c r="B14" s="930"/>
      <c r="C14" s="930"/>
      <c r="D14" s="930"/>
      <c r="E14" s="930"/>
      <c r="F14" s="930"/>
      <c r="G14" s="930"/>
      <c r="H14" s="930"/>
      <c r="I14" s="930"/>
      <c r="J14" s="930"/>
      <c r="K14" s="930"/>
      <c r="L14" s="560"/>
    </row>
    <row r="15" spans="1:12" ht="11.25" customHeight="1">
      <c r="A15" s="31"/>
      <c r="L15" s="560"/>
    </row>
    <row r="16" spans="1:12" ht="11.25" customHeight="1">
      <c r="A16" s="136"/>
      <c r="B16" s="147"/>
      <c r="C16" s="147"/>
      <c r="D16" s="147"/>
      <c r="E16" s="147"/>
      <c r="F16" s="147"/>
      <c r="G16" s="147"/>
      <c r="H16" s="147"/>
      <c r="I16" s="147"/>
      <c r="J16" s="147"/>
      <c r="K16" s="147"/>
      <c r="L16" s="560"/>
    </row>
    <row r="17" spans="1:12" ht="11.25" customHeight="1">
      <c r="A17" s="147"/>
      <c r="B17" s="147"/>
      <c r="C17" s="147"/>
      <c r="D17" s="147"/>
      <c r="E17" s="147"/>
      <c r="F17" s="147"/>
      <c r="G17" s="147"/>
      <c r="H17" s="147"/>
      <c r="I17" s="147"/>
      <c r="J17" s="147"/>
      <c r="K17" s="147"/>
      <c r="L17" s="560"/>
    </row>
    <row r="18" spans="1:12" ht="11.25" customHeight="1">
      <c r="A18" s="147"/>
      <c r="B18" s="147"/>
      <c r="C18" s="147"/>
      <c r="D18" s="147"/>
      <c r="E18" s="147"/>
      <c r="F18" s="147"/>
      <c r="G18" s="147"/>
      <c r="H18" s="147"/>
      <c r="I18" s="147"/>
      <c r="J18" s="147"/>
      <c r="K18" s="147"/>
      <c r="L18" s="564"/>
    </row>
    <row r="19" spans="1:12" ht="11.25" customHeight="1">
      <c r="A19" s="136"/>
      <c r="B19" s="138"/>
      <c r="C19" s="138"/>
      <c r="D19" s="138"/>
      <c r="E19" s="138"/>
      <c r="F19" s="138"/>
      <c r="G19" s="138"/>
      <c r="H19" s="138"/>
      <c r="I19" s="138"/>
      <c r="J19" s="138"/>
      <c r="K19" s="138"/>
      <c r="L19" s="560"/>
    </row>
    <row r="20" spans="1:12" ht="11.25" customHeight="1">
      <c r="A20" s="136"/>
      <c r="B20" s="138"/>
      <c r="C20" s="138"/>
      <c r="D20" s="138"/>
      <c r="E20" s="138"/>
      <c r="F20" s="138"/>
      <c r="G20" s="138"/>
      <c r="H20" s="138"/>
      <c r="I20" s="138"/>
      <c r="J20" s="138"/>
      <c r="K20" s="138"/>
      <c r="L20" s="560"/>
    </row>
    <row r="21" spans="1:12" ht="11.25" customHeight="1">
      <c r="A21" s="136"/>
      <c r="B21" s="138"/>
      <c r="C21" s="138"/>
      <c r="D21" s="138"/>
      <c r="E21" s="138"/>
      <c r="F21" s="138"/>
      <c r="G21" s="138"/>
      <c r="H21" s="138"/>
      <c r="I21" s="138"/>
      <c r="J21" s="138"/>
      <c r="K21" s="138"/>
      <c r="L21" s="560"/>
    </row>
    <row r="22" spans="1:12" ht="11.25" customHeight="1">
      <c r="A22" s="136"/>
      <c r="B22" s="138"/>
      <c r="C22" s="138"/>
      <c r="D22" s="138"/>
      <c r="E22" s="138"/>
      <c r="F22" s="138"/>
      <c r="G22" s="138"/>
      <c r="H22" s="138"/>
      <c r="I22" s="138"/>
      <c r="J22" s="138"/>
      <c r="K22" s="138"/>
      <c r="L22" s="564"/>
    </row>
    <row r="23" spans="1:12" ht="11.25" customHeight="1">
      <c r="A23" s="136"/>
      <c r="B23" s="138"/>
      <c r="C23" s="138"/>
      <c r="D23" s="138"/>
      <c r="E23" s="138"/>
      <c r="F23" s="138"/>
      <c r="G23" s="138"/>
      <c r="H23" s="138"/>
      <c r="I23" s="138"/>
      <c r="J23" s="138"/>
      <c r="K23" s="138"/>
      <c r="L23" s="560"/>
    </row>
    <row r="24" spans="1:12" ht="11.25" customHeight="1">
      <c r="A24" s="136"/>
      <c r="B24" s="138"/>
      <c r="C24" s="138"/>
      <c r="D24" s="138"/>
      <c r="E24" s="138"/>
      <c r="F24" s="138"/>
      <c r="G24" s="138"/>
      <c r="H24" s="138"/>
      <c r="I24" s="138"/>
      <c r="J24" s="138"/>
      <c r="K24" s="138"/>
      <c r="L24" s="560"/>
    </row>
    <row r="25" spans="1:12" ht="11.25" customHeight="1">
      <c r="A25" s="136"/>
      <c r="B25" s="138"/>
      <c r="C25" s="138"/>
      <c r="D25" s="138"/>
      <c r="E25" s="138"/>
      <c r="F25" s="138"/>
      <c r="G25" s="138"/>
      <c r="H25" s="138"/>
      <c r="I25" s="138"/>
      <c r="J25" s="138"/>
      <c r="K25" s="138"/>
      <c r="L25" s="560"/>
    </row>
    <row r="26" spans="1:12" ht="11.25" customHeight="1">
      <c r="A26" s="136"/>
      <c r="B26" s="138"/>
      <c r="C26" s="138"/>
      <c r="D26" s="138"/>
      <c r="E26" s="138"/>
      <c r="F26" s="138"/>
      <c r="G26" s="138"/>
      <c r="H26" s="138"/>
      <c r="I26" s="138"/>
      <c r="J26" s="138"/>
      <c r="K26" s="138"/>
      <c r="L26" s="560"/>
    </row>
    <row r="27" spans="1:12" ht="11.25" customHeight="1">
      <c r="A27" s="136"/>
      <c r="B27" s="138"/>
      <c r="C27" s="138"/>
      <c r="D27" s="138"/>
      <c r="E27" s="138"/>
      <c r="F27" s="138"/>
      <c r="G27" s="138"/>
      <c r="H27" s="138"/>
      <c r="I27" s="138"/>
      <c r="J27" s="138"/>
      <c r="K27" s="138"/>
      <c r="L27" s="560"/>
    </row>
    <row r="28" spans="1:12" ht="11.25" customHeight="1">
      <c r="A28" s="136"/>
      <c r="B28" s="138"/>
      <c r="C28" s="138"/>
      <c r="D28" s="138"/>
      <c r="E28" s="138"/>
      <c r="F28" s="138"/>
      <c r="G28" s="138"/>
      <c r="H28" s="138"/>
      <c r="I28" s="138"/>
      <c r="J28" s="138"/>
      <c r="K28" s="138"/>
      <c r="L28" s="560"/>
    </row>
    <row r="29" spans="1:12" ht="11.25" customHeight="1">
      <c r="A29" s="136"/>
      <c r="B29" s="138"/>
      <c r="C29" s="138"/>
      <c r="D29" s="138"/>
      <c r="E29" s="138"/>
      <c r="F29" s="138"/>
      <c r="G29" s="138"/>
      <c r="H29" s="138"/>
      <c r="I29" s="138"/>
      <c r="J29" s="138"/>
      <c r="K29" s="138"/>
      <c r="L29" s="560"/>
    </row>
    <row r="30" spans="1:12" ht="11.25" customHeight="1">
      <c r="A30" s="136"/>
      <c r="B30" s="138"/>
      <c r="C30" s="138"/>
      <c r="D30" s="138"/>
      <c r="E30" s="138"/>
      <c r="F30" s="138"/>
      <c r="G30" s="138"/>
      <c r="H30" s="138"/>
      <c r="I30" s="138"/>
      <c r="J30" s="138"/>
      <c r="K30" s="138"/>
      <c r="L30" s="560"/>
    </row>
    <row r="31" spans="1:12" ht="11.25" customHeight="1">
      <c r="A31" s="136"/>
      <c r="B31" s="138"/>
      <c r="C31" s="138"/>
      <c r="D31" s="138"/>
      <c r="E31" s="138"/>
      <c r="F31" s="138"/>
      <c r="G31" s="138"/>
      <c r="H31" s="138"/>
      <c r="I31" s="138"/>
      <c r="J31" s="138"/>
      <c r="K31" s="138"/>
      <c r="L31" s="560"/>
    </row>
    <row r="32" spans="1:12" ht="11.25" customHeight="1">
      <c r="A32" s="136"/>
      <c r="B32" s="138"/>
      <c r="C32" s="138"/>
      <c r="D32" s="138"/>
      <c r="E32" s="138"/>
      <c r="F32" s="138"/>
      <c r="G32" s="138"/>
      <c r="H32" s="138"/>
      <c r="I32" s="138"/>
      <c r="J32" s="138"/>
      <c r="K32" s="138"/>
      <c r="L32" s="560"/>
    </row>
    <row r="33" spans="1:16" ht="11.25" customHeight="1">
      <c r="A33" s="136"/>
      <c r="B33" s="138"/>
      <c r="C33" s="138"/>
      <c r="D33" s="138"/>
      <c r="E33" s="138"/>
      <c r="F33" s="138"/>
      <c r="G33" s="138"/>
      <c r="H33" s="138"/>
      <c r="I33" s="138"/>
      <c r="J33" s="138"/>
      <c r="K33" s="138"/>
      <c r="L33" s="560"/>
    </row>
    <row r="34" spans="1:16" ht="11.25" customHeight="1">
      <c r="A34" s="928" t="str">
        <f>"Gráfico N° 6: Comparación de la producción de energía eléctrica acumulada (GWh) con recursos energéticos renovables en "&amp;'1. Resumen'!Q4&amp;"."</f>
        <v>Gráfico N° 6: Comparación de la producción de energía eléctrica acumulada (GWh) con recursos energéticos renovables en agosto.</v>
      </c>
      <c r="B34" s="928"/>
      <c r="C34" s="928"/>
      <c r="D34" s="928"/>
      <c r="E34" s="928"/>
      <c r="F34" s="928"/>
      <c r="G34" s="928"/>
      <c r="H34" s="928"/>
      <c r="I34" s="928"/>
      <c r="J34" s="928"/>
      <c r="K34" s="928"/>
      <c r="L34" s="840"/>
      <c r="M34" s="286"/>
      <c r="N34" s="286"/>
      <c r="O34" s="286"/>
    </row>
    <row r="35" spans="1:16" ht="11.25" customHeight="1">
      <c r="L35" s="841"/>
      <c r="M35" s="286"/>
      <c r="N35" s="286"/>
      <c r="O35" s="286"/>
    </row>
    <row r="36" spans="1:16" ht="11.25" customHeight="1">
      <c r="A36" s="136"/>
      <c r="B36" s="138"/>
      <c r="C36" s="138"/>
      <c r="D36" s="138"/>
      <c r="E36" s="138"/>
      <c r="F36" s="138"/>
      <c r="G36" s="138"/>
      <c r="H36" s="138"/>
      <c r="I36" s="138"/>
      <c r="J36" s="138"/>
      <c r="K36" s="138"/>
      <c r="L36" s="840"/>
      <c r="M36" s="286"/>
      <c r="N36" s="286"/>
      <c r="O36" s="286"/>
    </row>
    <row r="37" spans="1:16" ht="11.25" customHeight="1">
      <c r="A37" s="136"/>
      <c r="B37" s="138"/>
      <c r="C37" s="138"/>
      <c r="D37" s="138"/>
      <c r="E37" s="138"/>
      <c r="F37" s="138"/>
      <c r="G37" s="138"/>
      <c r="H37" s="138"/>
      <c r="I37" s="138"/>
      <c r="J37" s="138"/>
      <c r="K37" s="138"/>
      <c r="L37" s="840"/>
      <c r="M37" s="286"/>
      <c r="N37" s="286"/>
      <c r="O37" s="286"/>
    </row>
    <row r="38" spans="1:16" ht="11.25" customHeight="1">
      <c r="A38" s="136"/>
      <c r="B38" s="138"/>
      <c r="C38" s="138"/>
      <c r="D38" s="138"/>
      <c r="E38" s="138"/>
      <c r="F38" s="138"/>
      <c r="G38" s="138"/>
      <c r="H38" s="138"/>
      <c r="I38" s="138"/>
      <c r="J38" s="138"/>
      <c r="K38" s="138"/>
      <c r="L38" s="840"/>
      <c r="M38" s="286"/>
      <c r="N38" s="286"/>
      <c r="O38" s="286"/>
    </row>
    <row r="39" spans="1:16" ht="11.25" customHeight="1">
      <c r="A39" s="136"/>
      <c r="B39" s="138"/>
      <c r="C39" s="265" t="s">
        <v>228</v>
      </c>
      <c r="D39" s="158"/>
      <c r="E39" s="158"/>
      <c r="F39" s="414">
        <f>+'4. Tipo Recurso'!D19</f>
        <v>4279.3529712050004</v>
      </c>
      <c r="G39" s="265" t="s">
        <v>227</v>
      </c>
      <c r="H39" s="138"/>
      <c r="I39" s="138"/>
      <c r="J39" s="138"/>
      <c r="K39" s="138"/>
      <c r="L39" s="840"/>
      <c r="M39" s="842">
        <f>+F39-F40</f>
        <v>3901.9729712050002</v>
      </c>
      <c r="N39" s="286"/>
      <c r="O39" s="286"/>
      <c r="P39" s="565"/>
    </row>
    <row r="40" spans="1:16" ht="11.25" customHeight="1">
      <c r="A40" s="136"/>
      <c r="B40" s="138"/>
      <c r="C40" s="265" t="s">
        <v>229</v>
      </c>
      <c r="D40" s="158"/>
      <c r="E40" s="158"/>
      <c r="F40" s="414">
        <f>ROUND(D11,2)</f>
        <v>377.38</v>
      </c>
      <c r="G40" s="265" t="s">
        <v>227</v>
      </c>
      <c r="H40" s="138"/>
      <c r="I40" s="138"/>
      <c r="J40" s="138"/>
      <c r="K40" s="138"/>
      <c r="L40" s="840"/>
      <c r="M40" s="843"/>
      <c r="N40" s="286"/>
      <c r="O40" s="286"/>
      <c r="P40" s="565"/>
    </row>
    <row r="41" spans="1:16" ht="11.25" customHeight="1">
      <c r="A41" s="136"/>
      <c r="B41" s="138"/>
      <c r="C41" s="138"/>
      <c r="D41" s="138"/>
      <c r="E41" s="138"/>
      <c r="F41" s="138"/>
      <c r="G41" s="138"/>
      <c r="H41" s="138"/>
      <c r="I41" s="138"/>
      <c r="J41" s="138"/>
      <c r="K41" s="138"/>
      <c r="L41" s="840"/>
      <c r="M41" s="286"/>
      <c r="N41" s="286"/>
      <c r="O41" s="286"/>
      <c r="P41" s="565"/>
    </row>
    <row r="42" spans="1:16" ht="11.25" customHeight="1">
      <c r="A42" s="136"/>
      <c r="B42" s="138"/>
      <c r="C42" s="138"/>
      <c r="D42" s="138"/>
      <c r="E42" s="138"/>
      <c r="F42" s="138"/>
      <c r="G42" s="138"/>
      <c r="H42" s="138"/>
      <c r="I42" s="138"/>
      <c r="J42" s="138"/>
      <c r="K42" s="138"/>
      <c r="L42" s="840"/>
      <c r="M42" s="286"/>
      <c r="N42" s="286"/>
      <c r="O42" s="286"/>
      <c r="P42" s="565"/>
    </row>
    <row r="43" spans="1:16" ht="11.25" customHeight="1">
      <c r="A43" s="136"/>
      <c r="B43" s="138"/>
      <c r="C43" s="138"/>
      <c r="D43" s="138"/>
      <c r="E43" s="138"/>
      <c r="F43" s="138"/>
      <c r="G43" s="138"/>
      <c r="H43" s="138"/>
      <c r="I43" s="138"/>
      <c r="J43" s="138"/>
      <c r="K43" s="138"/>
      <c r="L43" s="560"/>
      <c r="P43" s="565"/>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0" t="str">
        <f>"Gráfico N° 7: Participación de las RER en la Matriz de Generación del SEIN en "&amp;'1. Resumen'!Q4&amp;" "&amp;'1. Resumen'!Q5&amp;"."</f>
        <v>Gráfico N° 7: Participación de las RER en la Matriz de Generación del SEIN en agosto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Normal="100" zoomScaleSheetLayoutView="100" zoomScalePageLayoutView="160" workbookViewId="0">
      <selection activeCell="N25" sqref="N25"/>
    </sheetView>
  </sheetViews>
  <sheetFormatPr defaultColWidth="9.33203125" defaultRowHeight="11.25"/>
  <cols>
    <col min="1" max="11" width="10.33203125" customWidth="1"/>
    <col min="12" max="12" width="21.1640625" style="715" bestFit="1" customWidth="1"/>
    <col min="13" max="14" width="9.33203125" style="715"/>
    <col min="15" max="15" width="11.83203125" style="715" customWidth="1"/>
    <col min="16" max="17" width="9.33203125" style="715"/>
    <col min="18" max="18" width="9.33203125" style="731"/>
    <col min="19" max="19" width="9.33203125" style="754"/>
    <col min="20" max="20" width="15" style="754" customWidth="1"/>
    <col min="21" max="22" width="9.33203125" style="754"/>
    <col min="23" max="24" width="9.33203125" style="558"/>
    <col min="25" max="25" width="17.83203125" style="558" bestFit="1" customWidth="1"/>
  </cols>
  <sheetData>
    <row r="2" spans="1:25" ht="11.25" customHeight="1">
      <c r="A2" s="931" t="s">
        <v>234</v>
      </c>
      <c r="B2" s="931"/>
      <c r="C2" s="931"/>
      <c r="D2" s="931"/>
      <c r="E2" s="931"/>
      <c r="F2" s="931"/>
      <c r="G2" s="931"/>
      <c r="H2" s="931"/>
      <c r="I2" s="931"/>
      <c r="J2" s="931"/>
      <c r="K2" s="931"/>
    </row>
    <row r="3" spans="1:25" ht="11.25" customHeight="1"/>
    <row r="4" spans="1:25" ht="11.25" customHeight="1">
      <c r="L4" s="716" t="s">
        <v>54</v>
      </c>
      <c r="M4" s="717" t="s">
        <v>31</v>
      </c>
      <c r="N4" s="716"/>
      <c r="O4" s="718"/>
      <c r="P4" s="719"/>
      <c r="Q4" s="719"/>
    </row>
    <row r="5" spans="1:25" ht="10.5" customHeight="1">
      <c r="A5" s="149"/>
      <c r="B5" s="138"/>
      <c r="C5" s="138"/>
      <c r="D5" s="138"/>
      <c r="E5" s="138"/>
      <c r="F5" s="138"/>
      <c r="G5" s="138"/>
      <c r="H5" s="138"/>
      <c r="I5" s="138"/>
      <c r="J5" s="138"/>
      <c r="K5" s="138"/>
      <c r="L5" s="716"/>
      <c r="M5" s="717"/>
      <c r="N5" s="716"/>
      <c r="O5" s="716" t="s">
        <v>55</v>
      </c>
      <c r="P5" s="716" t="s">
        <v>56</v>
      </c>
      <c r="Q5" s="716"/>
      <c r="U5" s="754">
        <v>2020</v>
      </c>
      <c r="V5" s="757">
        <v>2019</v>
      </c>
      <c r="W5" s="733"/>
    </row>
    <row r="6" spans="1:25" ht="10.5" customHeight="1">
      <c r="A6" s="111"/>
      <c r="B6" s="138"/>
      <c r="C6" s="138"/>
      <c r="D6" s="138"/>
      <c r="E6" s="138"/>
      <c r="F6" s="138"/>
      <c r="G6" s="138"/>
      <c r="H6" s="138"/>
      <c r="I6" s="138"/>
      <c r="J6" s="138"/>
      <c r="K6" s="138"/>
      <c r="L6" s="720" t="s">
        <v>406</v>
      </c>
      <c r="M6" s="720" t="s">
        <v>58</v>
      </c>
      <c r="N6" s="721">
        <v>19.605</v>
      </c>
      <c r="O6" s="722">
        <v>12.573862310000001</v>
      </c>
      <c r="P6" s="722">
        <v>0.86204297715910749</v>
      </c>
      <c r="Q6" s="722"/>
      <c r="S6" s="754" t="s">
        <v>452</v>
      </c>
      <c r="T6" s="754" t="s">
        <v>59</v>
      </c>
      <c r="U6" s="755">
        <v>1</v>
      </c>
      <c r="V6" s="756">
        <v>1</v>
      </c>
      <c r="W6" s="734"/>
      <c r="X6" s="754"/>
      <c r="Y6" s="755"/>
    </row>
    <row r="7" spans="1:25" ht="10.5" customHeight="1">
      <c r="A7" s="136"/>
      <c r="B7" s="138"/>
      <c r="C7" s="138"/>
      <c r="D7" s="138"/>
      <c r="E7" s="138"/>
      <c r="F7" s="138"/>
      <c r="G7" s="138"/>
      <c r="H7" s="138"/>
      <c r="I7" s="138"/>
      <c r="J7" s="138"/>
      <c r="K7" s="138"/>
      <c r="L7" s="720" t="s">
        <v>461</v>
      </c>
      <c r="M7" s="720" t="s">
        <v>58</v>
      </c>
      <c r="N7" s="721">
        <v>20</v>
      </c>
      <c r="O7" s="722">
        <v>12.376035377499999</v>
      </c>
      <c r="P7" s="722">
        <v>0.83172280762768802</v>
      </c>
      <c r="Q7" s="722"/>
      <c r="T7" s="754" t="s">
        <v>406</v>
      </c>
      <c r="U7" s="755">
        <v>1</v>
      </c>
      <c r="V7" s="756">
        <v>0.91314932086423239</v>
      </c>
      <c r="W7" s="734"/>
      <c r="X7" s="754"/>
      <c r="Y7" s="755"/>
    </row>
    <row r="8" spans="1:25" ht="10.5" customHeight="1">
      <c r="A8" s="136"/>
      <c r="B8" s="138"/>
      <c r="C8" s="138"/>
      <c r="D8" s="138"/>
      <c r="E8" s="138"/>
      <c r="F8" s="138"/>
      <c r="G8" s="138"/>
      <c r="H8" s="138"/>
      <c r="I8" s="138"/>
      <c r="J8" s="138"/>
      <c r="K8" s="138"/>
      <c r="L8" s="720" t="s">
        <v>59</v>
      </c>
      <c r="M8" s="720" t="s">
        <v>58</v>
      </c>
      <c r="N8" s="721">
        <v>15</v>
      </c>
      <c r="O8" s="722">
        <v>9.6607348450000003</v>
      </c>
      <c r="P8" s="722">
        <v>0.86565724417562728</v>
      </c>
      <c r="Q8" s="722"/>
      <c r="T8" s="754" t="s">
        <v>62</v>
      </c>
      <c r="U8" s="755">
        <v>1</v>
      </c>
      <c r="V8" s="756">
        <v>0.84200050427577666</v>
      </c>
      <c r="W8" s="734"/>
      <c r="X8" s="754"/>
      <c r="Y8" s="755"/>
    </row>
    <row r="9" spans="1:25" ht="10.5" customHeight="1">
      <c r="A9" s="136"/>
      <c r="B9" s="138"/>
      <c r="C9" s="138"/>
      <c r="D9" s="138"/>
      <c r="E9" s="138"/>
      <c r="F9" s="138"/>
      <c r="G9" s="138"/>
      <c r="H9" s="138"/>
      <c r="I9" s="138"/>
      <c r="J9" s="138"/>
      <c r="K9" s="138"/>
      <c r="L9" s="720" t="s">
        <v>420</v>
      </c>
      <c r="M9" s="723" t="s">
        <v>58</v>
      </c>
      <c r="N9" s="721">
        <v>20</v>
      </c>
      <c r="O9" s="722">
        <v>8.4277296674999995</v>
      </c>
      <c r="P9" s="722">
        <v>0.56637968195564514</v>
      </c>
      <c r="Q9" s="722"/>
      <c r="T9" s="754" t="s">
        <v>461</v>
      </c>
      <c r="U9" s="755">
        <v>1</v>
      </c>
      <c r="V9" s="756"/>
      <c r="W9" s="734"/>
      <c r="X9" s="754"/>
      <c r="Y9" s="755"/>
    </row>
    <row r="10" spans="1:25" ht="10.5" customHeight="1">
      <c r="A10" s="136"/>
      <c r="B10" s="138"/>
      <c r="C10" s="138"/>
      <c r="D10" s="138"/>
      <c r="E10" s="138"/>
      <c r="F10" s="138"/>
      <c r="G10" s="138"/>
      <c r="H10" s="138"/>
      <c r="I10" s="138"/>
      <c r="J10" s="138"/>
      <c r="K10" s="138"/>
      <c r="L10" s="720" t="s">
        <v>460</v>
      </c>
      <c r="M10" s="723" t="s">
        <v>58</v>
      </c>
      <c r="N10" s="721">
        <v>20</v>
      </c>
      <c r="O10" s="722">
        <v>7.5002694650000006</v>
      </c>
      <c r="P10" s="722">
        <v>0.50405036727150543</v>
      </c>
      <c r="Q10" s="722"/>
      <c r="T10" s="754" t="s">
        <v>66</v>
      </c>
      <c r="U10" s="755">
        <v>1</v>
      </c>
      <c r="V10" s="756">
        <v>0.80360317028630124</v>
      </c>
      <c r="W10" s="734"/>
      <c r="X10" s="754"/>
      <c r="Y10" s="755"/>
    </row>
    <row r="11" spans="1:25" ht="10.5" customHeight="1">
      <c r="A11" s="136"/>
      <c r="B11" s="138"/>
      <c r="C11" s="138"/>
      <c r="D11" s="138"/>
      <c r="E11" s="138"/>
      <c r="F11" s="138"/>
      <c r="G11" s="138"/>
      <c r="H11" s="138"/>
      <c r="I11" s="138"/>
      <c r="J11" s="138"/>
      <c r="K11" s="138"/>
      <c r="L11" s="720" t="s">
        <v>62</v>
      </c>
      <c r="M11" s="723" t="s">
        <v>58</v>
      </c>
      <c r="N11" s="721">
        <v>9.9830000000000005</v>
      </c>
      <c r="O11" s="722">
        <v>5.6601797475</v>
      </c>
      <c r="P11" s="722">
        <v>0.76207237081263957</v>
      </c>
      <c r="Q11" s="722"/>
      <c r="T11" s="754" t="s">
        <v>460</v>
      </c>
      <c r="U11" s="755">
        <v>0.9889730969376137</v>
      </c>
      <c r="V11" s="756"/>
      <c r="W11" s="734"/>
      <c r="X11" s="754"/>
      <c r="Y11" s="755"/>
    </row>
    <row r="12" spans="1:25" ht="10.5" customHeight="1">
      <c r="A12" s="136"/>
      <c r="B12" s="138"/>
      <c r="C12" s="138"/>
      <c r="D12" s="138"/>
      <c r="E12" s="138"/>
      <c r="F12" s="138"/>
      <c r="G12" s="138"/>
      <c r="H12" s="138"/>
      <c r="I12" s="138"/>
      <c r="J12" s="138"/>
      <c r="K12" s="138"/>
      <c r="L12" s="720" t="s">
        <v>66</v>
      </c>
      <c r="M12" s="720" t="s">
        <v>58</v>
      </c>
      <c r="N12" s="721">
        <v>7.7450000000000001</v>
      </c>
      <c r="O12" s="722">
        <v>5.3863144749999989</v>
      </c>
      <c r="P12" s="722">
        <v>0.93475403399348855</v>
      </c>
      <c r="Q12" s="722"/>
      <c r="T12" s="754" t="s">
        <v>71</v>
      </c>
      <c r="U12" s="755">
        <v>0.94709179689382361</v>
      </c>
      <c r="V12" s="756">
        <v>0.88157391461717372</v>
      </c>
      <c r="W12" s="734"/>
      <c r="X12" s="754"/>
      <c r="Y12" s="755"/>
    </row>
    <row r="13" spans="1:25" ht="10.5" customHeight="1">
      <c r="A13" s="136"/>
      <c r="B13" s="138"/>
      <c r="C13" s="138"/>
      <c r="D13" s="138"/>
      <c r="E13" s="138"/>
      <c r="F13" s="138"/>
      <c r="G13" s="138"/>
      <c r="H13" s="138"/>
      <c r="I13" s="138"/>
      <c r="J13" s="138"/>
      <c r="K13" s="138"/>
      <c r="L13" s="720" t="s">
        <v>69</v>
      </c>
      <c r="M13" s="720" t="s">
        <v>58</v>
      </c>
      <c r="N13" s="721">
        <v>9.5660000000000007</v>
      </c>
      <c r="O13" s="722">
        <v>4.3704103925000002</v>
      </c>
      <c r="P13" s="722">
        <v>0.61407145272852548</v>
      </c>
      <c r="Q13" s="722"/>
      <c r="T13" s="754" t="s">
        <v>73</v>
      </c>
      <c r="U13" s="755">
        <v>0.94316085753800405</v>
      </c>
      <c r="V13" s="756">
        <v>0.71172597660887238</v>
      </c>
      <c r="W13" s="734"/>
      <c r="X13" s="754"/>
      <c r="Y13" s="755"/>
    </row>
    <row r="14" spans="1:25" ht="10.5" customHeight="1">
      <c r="A14" s="136"/>
      <c r="B14" s="138"/>
      <c r="C14" s="138"/>
      <c r="D14" s="138"/>
      <c r="E14" s="138"/>
      <c r="F14" s="138"/>
      <c r="G14" s="138"/>
      <c r="H14" s="138"/>
      <c r="I14" s="138"/>
      <c r="J14" s="138"/>
      <c r="K14" s="138"/>
      <c r="L14" s="720" t="s">
        <v>70</v>
      </c>
      <c r="M14" s="720" t="s">
        <v>58</v>
      </c>
      <c r="N14" s="721">
        <v>5.1890000000000001</v>
      </c>
      <c r="O14" s="722">
        <v>3.5786686324999994</v>
      </c>
      <c r="P14" s="722">
        <v>0.92696829534457703</v>
      </c>
      <c r="Q14" s="722"/>
      <c r="T14" s="754" t="s">
        <v>74</v>
      </c>
      <c r="U14" s="755">
        <v>0.94231507979833062</v>
      </c>
      <c r="V14" s="756">
        <v>0.80171358060482389</v>
      </c>
      <c r="W14" s="734"/>
      <c r="X14" s="754"/>
      <c r="Y14" s="755"/>
    </row>
    <row r="15" spans="1:25" ht="11.25" customHeight="1">
      <c r="A15" s="136"/>
      <c r="B15" s="138"/>
      <c r="C15" s="138"/>
      <c r="D15" s="138"/>
      <c r="E15" s="138"/>
      <c r="F15" s="138"/>
      <c r="G15" s="138"/>
      <c r="H15" s="138"/>
      <c r="I15" s="138"/>
      <c r="J15" s="138"/>
      <c r="K15" s="138"/>
      <c r="L15" s="720" t="s">
        <v>424</v>
      </c>
      <c r="M15" s="720" t="s">
        <v>58</v>
      </c>
      <c r="N15" s="721">
        <v>13.2</v>
      </c>
      <c r="O15" s="722">
        <v>3.4367368574999997</v>
      </c>
      <c r="P15" s="722">
        <v>0.34994469467864125</v>
      </c>
      <c r="Q15" s="722"/>
      <c r="T15" s="754" t="s">
        <v>424</v>
      </c>
      <c r="U15" s="755">
        <v>0.90670235918784858</v>
      </c>
      <c r="V15" s="756">
        <v>0.77921907572792848</v>
      </c>
      <c r="W15" s="734"/>
      <c r="X15" s="754"/>
      <c r="Y15" s="755"/>
    </row>
    <row r="16" spans="1:25" ht="11.25" customHeight="1">
      <c r="A16" s="136"/>
      <c r="B16" s="138"/>
      <c r="C16" s="138"/>
      <c r="D16" s="138"/>
      <c r="E16" s="138"/>
      <c r="F16" s="138"/>
      <c r="G16" s="138"/>
      <c r="H16" s="138"/>
      <c r="I16" s="138"/>
      <c r="J16" s="138"/>
      <c r="K16" s="138"/>
      <c r="L16" s="720" t="s">
        <v>414</v>
      </c>
      <c r="M16" s="720" t="s">
        <v>58</v>
      </c>
      <c r="N16" s="721">
        <v>20.16</v>
      </c>
      <c r="O16" s="722">
        <v>3.2388608274999999</v>
      </c>
      <c r="P16" s="722">
        <v>0.21593787519067886</v>
      </c>
      <c r="Q16" s="722"/>
      <c r="T16" s="754" t="s">
        <v>57</v>
      </c>
      <c r="U16" s="755">
        <v>0.87418462541831132</v>
      </c>
      <c r="V16" s="756">
        <v>0.83796735349034412</v>
      </c>
      <c r="W16" s="734"/>
      <c r="X16" s="754"/>
      <c r="Y16" s="755"/>
    </row>
    <row r="17" spans="1:25" ht="11.25" customHeight="1">
      <c r="A17" s="136"/>
      <c r="B17" s="138"/>
      <c r="C17" s="138"/>
      <c r="D17" s="138"/>
      <c r="E17" s="138"/>
      <c r="F17" s="138"/>
      <c r="G17" s="138"/>
      <c r="H17" s="138"/>
      <c r="I17" s="138"/>
      <c r="J17" s="138"/>
      <c r="K17" s="138"/>
      <c r="L17" s="720" t="s">
        <v>413</v>
      </c>
      <c r="M17" s="720" t="s">
        <v>58</v>
      </c>
      <c r="N17" s="721">
        <v>20.16</v>
      </c>
      <c r="O17" s="722">
        <v>3.1497955525000001</v>
      </c>
      <c r="P17" s="722">
        <v>0.20999981015451655</v>
      </c>
      <c r="Q17" s="722"/>
      <c r="T17" s="754" t="s">
        <v>413</v>
      </c>
      <c r="U17" s="755">
        <v>0.86904108996764495</v>
      </c>
      <c r="V17" s="756">
        <v>0.50945329199963818</v>
      </c>
      <c r="W17" s="734"/>
      <c r="X17" s="754"/>
      <c r="Y17" s="755"/>
    </row>
    <row r="18" spans="1:25">
      <c r="A18" s="136"/>
      <c r="B18" s="138"/>
      <c r="C18" s="138"/>
      <c r="D18" s="138"/>
      <c r="E18" s="138"/>
      <c r="F18" s="138"/>
      <c r="G18" s="138"/>
      <c r="H18" s="138"/>
      <c r="I18" s="138"/>
      <c r="J18" s="138"/>
      <c r="K18" s="138"/>
      <c r="L18" s="720" t="s">
        <v>61</v>
      </c>
      <c r="M18" s="720" t="s">
        <v>58</v>
      </c>
      <c r="N18" s="721">
        <v>19.1995</v>
      </c>
      <c r="O18" s="722">
        <v>3.0620111399999996</v>
      </c>
      <c r="P18" s="722">
        <v>0.21436008078167357</v>
      </c>
      <c r="Q18" s="722"/>
      <c r="T18" s="754" t="s">
        <v>416</v>
      </c>
      <c r="U18" s="755">
        <v>0.8488575242323706</v>
      </c>
      <c r="V18" s="756">
        <v>0.57291269567219161</v>
      </c>
      <c r="W18" s="734"/>
      <c r="X18" s="754"/>
      <c r="Y18" s="755"/>
    </row>
    <row r="19" spans="1:25">
      <c r="A19" s="136"/>
      <c r="B19" s="138"/>
      <c r="C19" s="138"/>
      <c r="D19" s="138"/>
      <c r="E19" s="138"/>
      <c r="F19" s="138"/>
      <c r="G19" s="138"/>
      <c r="H19" s="138"/>
      <c r="I19" s="138"/>
      <c r="J19" s="138"/>
      <c r="K19" s="138"/>
      <c r="L19" s="720" t="s">
        <v>679</v>
      </c>
      <c r="M19" s="720" t="s">
        <v>58</v>
      </c>
      <c r="N19" s="721">
        <v>20</v>
      </c>
      <c r="O19" s="722">
        <v>2.57698939</v>
      </c>
      <c r="P19" s="722">
        <v>0.17318477083333333</v>
      </c>
      <c r="Q19" s="722"/>
      <c r="T19" s="754" t="s">
        <v>70</v>
      </c>
      <c r="U19" s="755">
        <v>0.84864612721109278</v>
      </c>
      <c r="V19" s="756">
        <v>0.71010240177283923</v>
      </c>
      <c r="W19" s="734"/>
      <c r="X19" s="754"/>
      <c r="Y19" s="755"/>
    </row>
    <row r="20" spans="1:25">
      <c r="A20" s="136"/>
      <c r="B20" s="138"/>
      <c r="C20" s="138"/>
      <c r="D20" s="138"/>
      <c r="E20" s="138"/>
      <c r="F20" s="138"/>
      <c r="G20" s="138"/>
      <c r="H20" s="138"/>
      <c r="I20" s="138"/>
      <c r="J20" s="138"/>
      <c r="K20" s="138"/>
      <c r="L20" s="720" t="s">
        <v>57</v>
      </c>
      <c r="M20" s="720" t="s">
        <v>58</v>
      </c>
      <c r="N20" s="721">
        <v>19.966000000000001</v>
      </c>
      <c r="O20" s="722">
        <v>2.5284726850000001</v>
      </c>
      <c r="P20" s="722">
        <v>0.17021360270793681</v>
      </c>
      <c r="Q20" s="722"/>
      <c r="T20" s="754" t="s">
        <v>69</v>
      </c>
      <c r="U20" s="755">
        <v>0.84216681355862644</v>
      </c>
      <c r="V20" s="756">
        <v>0.69370181273580955</v>
      </c>
      <c r="W20" s="734"/>
      <c r="X20" s="754"/>
      <c r="Y20" s="755"/>
    </row>
    <row r="21" spans="1:25">
      <c r="A21" s="136"/>
      <c r="B21" s="138"/>
      <c r="C21" s="138"/>
      <c r="D21" s="138"/>
      <c r="E21" s="138"/>
      <c r="F21" s="138"/>
      <c r="G21" s="138"/>
      <c r="H21" s="138"/>
      <c r="I21" s="138"/>
      <c r="J21" s="138"/>
      <c r="K21" s="138"/>
      <c r="L21" s="720" t="s">
        <v>463</v>
      </c>
      <c r="M21" s="720" t="s">
        <v>58</v>
      </c>
      <c r="N21" s="721">
        <v>19</v>
      </c>
      <c r="O21" s="722">
        <v>2.4184343249999998</v>
      </c>
      <c r="P21" s="722">
        <v>0.17108335632427843</v>
      </c>
      <c r="Q21" s="722"/>
      <c r="T21" s="754" t="s">
        <v>65</v>
      </c>
      <c r="U21" s="755">
        <v>0.84154284040895766</v>
      </c>
      <c r="V21" s="756">
        <v>0.76185422766450717</v>
      </c>
      <c r="W21" s="734"/>
      <c r="X21" s="754"/>
      <c r="Y21" s="755"/>
    </row>
    <row r="22" spans="1:25">
      <c r="A22" s="136"/>
      <c r="B22" s="138"/>
      <c r="C22" s="138"/>
      <c r="D22" s="138"/>
      <c r="E22" s="138"/>
      <c r="F22" s="138"/>
      <c r="G22" s="138"/>
      <c r="H22" s="138"/>
      <c r="I22" s="138"/>
      <c r="J22" s="138"/>
      <c r="K22" s="138"/>
      <c r="L22" s="720" t="s">
        <v>74</v>
      </c>
      <c r="M22" s="720" t="s">
        <v>58</v>
      </c>
      <c r="N22" s="721">
        <v>3.964</v>
      </c>
      <c r="O22" s="722">
        <v>2.2038000000000002</v>
      </c>
      <c r="P22" s="722">
        <v>0.74724943849484071</v>
      </c>
      <c r="Q22" s="722"/>
      <c r="T22" s="754" t="s">
        <v>64</v>
      </c>
      <c r="U22" s="755">
        <v>0.82941474549607097</v>
      </c>
      <c r="V22" s="756">
        <v>0.76981830413620589</v>
      </c>
      <c r="W22" s="734"/>
      <c r="X22" s="754"/>
      <c r="Y22" s="755"/>
    </row>
    <row r="23" spans="1:25">
      <c r="A23" s="136"/>
      <c r="B23" s="138"/>
      <c r="C23" s="138"/>
      <c r="D23" s="138"/>
      <c r="E23" s="138"/>
      <c r="F23" s="138"/>
      <c r="G23" s="138"/>
      <c r="H23" s="138"/>
      <c r="I23" s="138"/>
      <c r="J23" s="138"/>
      <c r="K23" s="138"/>
      <c r="L23" s="720" t="s">
        <v>415</v>
      </c>
      <c r="M23" s="720" t="s">
        <v>58</v>
      </c>
      <c r="N23" s="721">
        <v>20.16</v>
      </c>
      <c r="O23" s="722">
        <v>2.1401338999999999</v>
      </c>
      <c r="P23" s="722">
        <v>0.14268472515574329</v>
      </c>
      <c r="Q23" s="722"/>
      <c r="T23" s="754" t="s">
        <v>415</v>
      </c>
      <c r="U23" s="755">
        <v>0.81897365528752675</v>
      </c>
      <c r="V23" s="756">
        <v>0.46613436482586817</v>
      </c>
      <c r="W23" s="734"/>
      <c r="X23" s="754"/>
      <c r="Y23" s="755"/>
    </row>
    <row r="24" spans="1:25">
      <c r="A24" s="136"/>
      <c r="B24" s="138"/>
      <c r="C24" s="138"/>
      <c r="D24" s="138"/>
      <c r="E24" s="138"/>
      <c r="F24" s="138"/>
      <c r="G24" s="138"/>
      <c r="H24" s="138"/>
      <c r="I24" s="138"/>
      <c r="J24" s="138"/>
      <c r="K24" s="138"/>
      <c r="L24" s="720" t="s">
        <v>60</v>
      </c>
      <c r="M24" s="720" t="s">
        <v>58</v>
      </c>
      <c r="N24" s="721">
        <v>19.966999999999999</v>
      </c>
      <c r="O24" s="722">
        <v>1.86371094</v>
      </c>
      <c r="P24" s="722">
        <v>0.12545639417942833</v>
      </c>
      <c r="Q24" s="722"/>
      <c r="T24" s="754" t="s">
        <v>61</v>
      </c>
      <c r="U24" s="755">
        <v>0.81841904570483703</v>
      </c>
      <c r="V24" s="756">
        <v>0.83286616076414288</v>
      </c>
      <c r="W24" s="734"/>
      <c r="X24" s="754"/>
      <c r="Y24" s="755"/>
    </row>
    <row r="25" spans="1:25">
      <c r="A25" s="136"/>
      <c r="B25" s="138"/>
      <c r="C25" s="138"/>
      <c r="D25" s="138"/>
      <c r="E25" s="138"/>
      <c r="F25" s="138"/>
      <c r="G25" s="138"/>
      <c r="H25" s="138"/>
      <c r="I25" s="138"/>
      <c r="J25" s="138"/>
      <c r="K25" s="138"/>
      <c r="L25" s="720" t="s">
        <v>67</v>
      </c>
      <c r="M25" s="720" t="s">
        <v>58</v>
      </c>
      <c r="N25" s="721">
        <v>7.4240000000000004</v>
      </c>
      <c r="O25" s="722">
        <v>1.5130107849999999</v>
      </c>
      <c r="P25" s="722">
        <v>0.27392465604867677</v>
      </c>
      <c r="Q25" s="722"/>
      <c r="T25" s="754" t="s">
        <v>420</v>
      </c>
      <c r="U25" s="755">
        <v>0.7932040850979053</v>
      </c>
      <c r="V25" s="756">
        <v>0.67445903522099415</v>
      </c>
      <c r="W25" s="734"/>
      <c r="X25" s="754"/>
      <c r="Y25" s="755"/>
    </row>
    <row r="26" spans="1:25">
      <c r="A26" s="136"/>
      <c r="B26" s="138"/>
      <c r="C26" s="138"/>
      <c r="D26" s="138"/>
      <c r="E26" s="138"/>
      <c r="F26" s="138"/>
      <c r="G26" s="138"/>
      <c r="H26" s="138"/>
      <c r="I26" s="138"/>
      <c r="J26" s="138"/>
      <c r="K26" s="138"/>
      <c r="L26" s="720" t="s">
        <v>71</v>
      </c>
      <c r="M26" s="720" t="s">
        <v>58</v>
      </c>
      <c r="N26" s="721">
        <v>5.67</v>
      </c>
      <c r="O26" s="722">
        <v>1.452161365</v>
      </c>
      <c r="P26" s="722">
        <v>0.34423805849500294</v>
      </c>
      <c r="Q26" s="722"/>
      <c r="T26" s="754" t="s">
        <v>63</v>
      </c>
      <c r="U26" s="755">
        <v>0.79110463110749563</v>
      </c>
      <c r="V26" s="756">
        <v>0.83884575160563435</v>
      </c>
      <c r="W26" s="734"/>
      <c r="X26" s="754"/>
      <c r="Y26" s="755"/>
    </row>
    <row r="27" spans="1:25">
      <c r="A27" s="136"/>
      <c r="B27" s="138"/>
      <c r="C27" s="138"/>
      <c r="D27" s="138"/>
      <c r="E27" s="138"/>
      <c r="F27" s="138"/>
      <c r="G27" s="138"/>
      <c r="H27" s="138"/>
      <c r="I27" s="138"/>
      <c r="J27" s="138"/>
      <c r="K27" s="138"/>
      <c r="L27" s="720" t="s">
        <v>459</v>
      </c>
      <c r="M27" s="720" t="s">
        <v>58</v>
      </c>
      <c r="N27" s="721">
        <v>8.4</v>
      </c>
      <c r="O27" s="722">
        <v>1.301754115</v>
      </c>
      <c r="P27" s="722">
        <v>0.20829398921530975</v>
      </c>
      <c r="Q27" s="722"/>
      <c r="T27" s="754" t="s">
        <v>414</v>
      </c>
      <c r="U27" s="755">
        <v>0.77885978903742736</v>
      </c>
      <c r="V27" s="756">
        <v>0.50178003632656076</v>
      </c>
      <c r="W27" s="734"/>
      <c r="X27" s="754"/>
      <c r="Y27" s="755"/>
    </row>
    <row r="28" spans="1:25">
      <c r="A28" s="136"/>
      <c r="B28" s="138"/>
      <c r="C28" s="138"/>
      <c r="D28" s="138"/>
      <c r="E28" s="138"/>
      <c r="F28" s="138"/>
      <c r="G28" s="138"/>
      <c r="H28" s="138"/>
      <c r="I28" s="138"/>
      <c r="J28" s="138"/>
      <c r="K28" s="138"/>
      <c r="L28" s="720" t="s">
        <v>68</v>
      </c>
      <c r="M28" s="720" t="s">
        <v>58</v>
      </c>
      <c r="N28" s="721">
        <v>6.9580000000000002</v>
      </c>
      <c r="O28" s="722">
        <v>1.2797837474999998</v>
      </c>
      <c r="P28" s="722">
        <v>0.24721751157868868</v>
      </c>
      <c r="Q28" s="722"/>
      <c r="T28" s="754" t="s">
        <v>463</v>
      </c>
      <c r="U28" s="755">
        <v>0.72877127025213306</v>
      </c>
      <c r="V28" s="756"/>
      <c r="W28" s="734"/>
      <c r="X28" s="754"/>
      <c r="Y28" s="755"/>
    </row>
    <row r="29" spans="1:25">
      <c r="A29" s="136"/>
      <c r="B29" s="138"/>
      <c r="C29" s="138"/>
      <c r="D29" s="138"/>
      <c r="E29" s="138"/>
      <c r="F29" s="138"/>
      <c r="G29" s="138"/>
      <c r="H29" s="138"/>
      <c r="I29" s="138"/>
      <c r="J29" s="138"/>
      <c r="K29" s="138"/>
      <c r="L29" s="720" t="s">
        <v>73</v>
      </c>
      <c r="M29" s="720" t="s">
        <v>58</v>
      </c>
      <c r="N29" s="721">
        <v>3.91621</v>
      </c>
      <c r="O29" s="722">
        <v>1.0697090149999999</v>
      </c>
      <c r="P29" s="722">
        <v>0.36713581093449654</v>
      </c>
      <c r="Q29" s="722"/>
      <c r="T29" s="754" t="s">
        <v>72</v>
      </c>
      <c r="U29" s="755">
        <v>0.72842793634062986</v>
      </c>
      <c r="V29" s="756">
        <v>0.5722691557651195</v>
      </c>
      <c r="W29" s="734"/>
      <c r="X29" s="754"/>
      <c r="Y29" s="755"/>
    </row>
    <row r="30" spans="1:25">
      <c r="A30" s="136"/>
      <c r="B30" s="138"/>
      <c r="C30" s="138"/>
      <c r="D30" s="138"/>
      <c r="E30" s="138"/>
      <c r="F30" s="138"/>
      <c r="G30" s="138"/>
      <c r="H30" s="138"/>
      <c r="I30" s="138"/>
      <c r="J30" s="138"/>
      <c r="K30" s="138"/>
      <c r="L30" s="715" t="s">
        <v>64</v>
      </c>
      <c r="M30" s="720" t="s">
        <v>58</v>
      </c>
      <c r="N30" s="721">
        <v>10.222</v>
      </c>
      <c r="O30" s="722">
        <v>1.0652804825</v>
      </c>
      <c r="P30" s="722">
        <v>0.14007323473985059</v>
      </c>
      <c r="Q30" s="722"/>
      <c r="T30" s="754" t="s">
        <v>60</v>
      </c>
      <c r="U30" s="755">
        <v>0.72474639342300951</v>
      </c>
      <c r="V30" s="756">
        <v>0.69757106577948491</v>
      </c>
      <c r="W30" s="734"/>
      <c r="X30" s="754"/>
      <c r="Y30" s="755"/>
    </row>
    <row r="31" spans="1:25">
      <c r="A31" s="136"/>
      <c r="B31" s="138"/>
      <c r="C31" s="138"/>
      <c r="D31" s="138"/>
      <c r="E31" s="138"/>
      <c r="F31" s="138"/>
      <c r="G31" s="138"/>
      <c r="H31" s="138"/>
      <c r="I31" s="138"/>
      <c r="J31" s="138"/>
      <c r="K31" s="138"/>
      <c r="L31" s="720" t="s">
        <v>65</v>
      </c>
      <c r="M31" s="720" t="s">
        <v>58</v>
      </c>
      <c r="N31" s="721">
        <v>9.85</v>
      </c>
      <c r="O31" s="722">
        <v>0.89665524500000005</v>
      </c>
      <c r="P31" s="722">
        <v>0.12235348029583538</v>
      </c>
      <c r="Q31" s="722"/>
      <c r="T31" s="754" t="s">
        <v>67</v>
      </c>
      <c r="U31" s="755">
        <v>0.68195964645750884</v>
      </c>
      <c r="V31" s="756">
        <v>0.70686604352589955</v>
      </c>
      <c r="W31" s="734"/>
      <c r="X31" s="754"/>
      <c r="Y31" s="755"/>
    </row>
    <row r="32" spans="1:25">
      <c r="A32" s="136"/>
      <c r="B32" s="138"/>
      <c r="C32" s="138"/>
      <c r="D32" s="138"/>
      <c r="E32" s="138"/>
      <c r="F32" s="138"/>
      <c r="G32" s="138"/>
      <c r="H32" s="138"/>
      <c r="I32" s="138"/>
      <c r="J32" s="138"/>
      <c r="K32" s="138"/>
      <c r="L32" s="720" t="s">
        <v>63</v>
      </c>
      <c r="M32" s="720" t="s">
        <v>58</v>
      </c>
      <c r="N32" s="721">
        <v>19.899999999999999</v>
      </c>
      <c r="O32" s="722">
        <v>0.89403482749999996</v>
      </c>
      <c r="P32" s="722">
        <v>6.038491027043822E-2</v>
      </c>
      <c r="Q32" s="722"/>
      <c r="T32" s="754" t="s">
        <v>68</v>
      </c>
      <c r="U32" s="755">
        <v>0.64893595071273324</v>
      </c>
      <c r="V32" s="756">
        <v>0.70253064881991201</v>
      </c>
      <c r="W32" s="734"/>
      <c r="X32" s="754"/>
      <c r="Y32" s="755"/>
    </row>
    <row r="33" spans="1:25">
      <c r="A33" s="136"/>
      <c r="B33" s="138"/>
      <c r="C33" s="138"/>
      <c r="D33" s="138"/>
      <c r="E33" s="138"/>
      <c r="F33" s="138"/>
      <c r="G33" s="138"/>
      <c r="H33" s="138"/>
      <c r="I33" s="138"/>
      <c r="J33" s="138"/>
      <c r="K33" s="138"/>
      <c r="L33" s="720" t="s">
        <v>72</v>
      </c>
      <c r="M33" s="720" t="s">
        <v>58</v>
      </c>
      <c r="N33" s="721">
        <v>3.48</v>
      </c>
      <c r="O33" s="722">
        <v>0.45887865249999998</v>
      </c>
      <c r="P33" s="722">
        <v>0.17723344321622791</v>
      </c>
      <c r="Q33" s="722"/>
      <c r="T33" s="754" t="s">
        <v>584</v>
      </c>
      <c r="U33" s="755">
        <v>0.22601705729166699</v>
      </c>
      <c r="W33" s="734"/>
      <c r="X33" s="754"/>
      <c r="Y33" s="755"/>
    </row>
    <row r="34" spans="1:25">
      <c r="B34" s="138"/>
      <c r="C34" s="138"/>
      <c r="D34" s="138"/>
      <c r="E34" s="138"/>
      <c r="F34" s="138"/>
      <c r="G34" s="138"/>
      <c r="H34" s="138"/>
      <c r="I34" s="138"/>
      <c r="J34" s="138"/>
      <c r="K34" s="138"/>
      <c r="L34" s="720" t="s">
        <v>416</v>
      </c>
      <c r="M34" s="720" t="s">
        <v>58</v>
      </c>
      <c r="N34" s="721">
        <v>0.7</v>
      </c>
      <c r="O34" s="722">
        <v>0.43760837500000005</v>
      </c>
      <c r="P34" s="722">
        <v>0.84026185675883269</v>
      </c>
      <c r="Q34" s="722"/>
      <c r="T34" s="754" t="s">
        <v>75</v>
      </c>
      <c r="U34" s="755">
        <v>0.40013041539672217</v>
      </c>
      <c r="V34" s="756">
        <v>0.10902908671357751</v>
      </c>
      <c r="W34" s="734"/>
      <c r="X34" s="754"/>
      <c r="Y34" s="755"/>
    </row>
    <row r="35" spans="1:25">
      <c r="A35" s="136"/>
      <c r="B35" s="138"/>
      <c r="C35" s="138"/>
      <c r="D35" s="138"/>
      <c r="E35" s="138"/>
      <c r="F35" s="138"/>
      <c r="G35" s="138"/>
      <c r="H35" s="138"/>
      <c r="I35" s="138"/>
      <c r="J35" s="138"/>
      <c r="K35" s="138"/>
      <c r="L35" s="720" t="s">
        <v>75</v>
      </c>
      <c r="M35" s="720" t="s">
        <v>58</v>
      </c>
      <c r="N35" s="721">
        <v>1.714</v>
      </c>
      <c r="O35" s="722">
        <v>0.21867149</v>
      </c>
      <c r="P35" s="722">
        <v>0.17147800058970403</v>
      </c>
      <c r="Q35" s="722"/>
      <c r="T35" s="754" t="s">
        <v>459</v>
      </c>
      <c r="U35" s="755">
        <v>0.25381798874035039</v>
      </c>
      <c r="V35" s="756"/>
      <c r="W35" s="734"/>
      <c r="X35" s="754"/>
      <c r="Y35" s="755"/>
    </row>
    <row r="36" spans="1:25">
      <c r="A36" s="136"/>
      <c r="B36" s="138"/>
      <c r="C36" s="138"/>
      <c r="D36" s="138"/>
      <c r="E36" s="138"/>
      <c r="F36" s="138"/>
      <c r="G36" s="138"/>
      <c r="H36" s="138"/>
      <c r="I36" s="138"/>
      <c r="J36" s="138"/>
      <c r="K36" s="138"/>
      <c r="L36" s="720" t="s">
        <v>426</v>
      </c>
      <c r="M36" s="720" t="s">
        <v>217</v>
      </c>
      <c r="N36" s="721">
        <v>132.30000000000001</v>
      </c>
      <c r="O36" s="722">
        <v>68.407236492500004</v>
      </c>
      <c r="P36" s="722">
        <v>0.69497513484037576</v>
      </c>
      <c r="Q36" s="722"/>
      <c r="S36" s="754" t="s">
        <v>445</v>
      </c>
      <c r="T36" s="754" t="s">
        <v>78</v>
      </c>
      <c r="U36" s="755">
        <v>0.66262056886099718</v>
      </c>
      <c r="V36" s="756">
        <v>0.55914264202420005</v>
      </c>
      <c r="W36" s="734"/>
      <c r="X36" s="754"/>
      <c r="Y36" s="755"/>
    </row>
    <row r="37" spans="1:25">
      <c r="A37" s="136"/>
      <c r="B37" s="138"/>
      <c r="C37" s="138"/>
      <c r="D37" s="138"/>
      <c r="E37" s="138"/>
      <c r="F37" s="138"/>
      <c r="G37" s="138"/>
      <c r="H37" s="138"/>
      <c r="I37" s="138"/>
      <c r="J37" s="138"/>
      <c r="K37" s="138"/>
      <c r="L37" s="720" t="s">
        <v>76</v>
      </c>
      <c r="M37" s="720" t="s">
        <v>217</v>
      </c>
      <c r="N37" s="721">
        <v>97.15</v>
      </c>
      <c r="O37" s="722">
        <v>51.661423617499999</v>
      </c>
      <c r="P37" s="722">
        <v>0.71474418255635053</v>
      </c>
      <c r="Q37" s="722"/>
      <c r="T37" s="754" t="s">
        <v>76</v>
      </c>
      <c r="U37" s="755">
        <v>0.64139962993000887</v>
      </c>
      <c r="V37" s="756">
        <v>0.54720170909716037</v>
      </c>
      <c r="W37" s="734"/>
      <c r="X37" s="754"/>
      <c r="Y37" s="755"/>
    </row>
    <row r="38" spans="1:25" ht="11.25" customHeight="1">
      <c r="A38" s="136"/>
      <c r="B38" s="138"/>
      <c r="C38" s="138"/>
      <c r="D38" s="138"/>
      <c r="E38" s="138"/>
      <c r="F38" s="138"/>
      <c r="G38" s="138"/>
      <c r="H38" s="138"/>
      <c r="I38" s="138"/>
      <c r="J38" s="138"/>
      <c r="K38" s="138"/>
      <c r="L38" s="720" t="s">
        <v>77</v>
      </c>
      <c r="M38" s="720" t="s">
        <v>217</v>
      </c>
      <c r="N38" s="721">
        <v>83.15</v>
      </c>
      <c r="O38" s="722">
        <v>31.626736864999998</v>
      </c>
      <c r="P38" s="722">
        <v>0.51123337253247458</v>
      </c>
      <c r="Q38" s="724"/>
      <c r="T38" s="754" t="s">
        <v>426</v>
      </c>
      <c r="U38" s="755">
        <v>0.56362249615617344</v>
      </c>
      <c r="V38" s="756">
        <v>0.47574337307155307</v>
      </c>
      <c r="W38" s="734"/>
      <c r="X38" s="754"/>
      <c r="Y38" s="755"/>
    </row>
    <row r="39" spans="1:25">
      <c r="A39" s="136"/>
      <c r="B39" s="138"/>
      <c r="C39" s="138"/>
      <c r="D39" s="138"/>
      <c r="E39" s="138"/>
      <c r="F39" s="138"/>
      <c r="G39" s="138"/>
      <c r="H39" s="138"/>
      <c r="I39" s="138"/>
      <c r="J39" s="138"/>
      <c r="K39" s="138"/>
      <c r="L39" s="720" t="s">
        <v>78</v>
      </c>
      <c r="M39" s="720" t="s">
        <v>217</v>
      </c>
      <c r="N39" s="721">
        <v>32</v>
      </c>
      <c r="O39" s="722">
        <v>16.305897107500002</v>
      </c>
      <c r="P39" s="722">
        <v>0.68489151157174066</v>
      </c>
      <c r="T39" s="754" t="s">
        <v>77</v>
      </c>
      <c r="U39" s="755">
        <v>0.55948622097028766</v>
      </c>
      <c r="V39" s="756">
        <v>0.44701753976150832</v>
      </c>
      <c r="W39" s="734"/>
      <c r="X39" s="754"/>
      <c r="Y39" s="755"/>
    </row>
    <row r="40" spans="1:25">
      <c r="A40" s="136"/>
      <c r="B40" s="138"/>
      <c r="C40" s="138"/>
      <c r="D40" s="138"/>
      <c r="E40" s="138"/>
      <c r="F40" s="138"/>
      <c r="G40" s="138"/>
      <c r="H40" s="138"/>
      <c r="I40" s="138"/>
      <c r="J40" s="138"/>
      <c r="K40" s="138"/>
      <c r="L40" s="720" t="s">
        <v>79</v>
      </c>
      <c r="M40" s="720" t="s">
        <v>217</v>
      </c>
      <c r="N40" s="721">
        <v>30.86</v>
      </c>
      <c r="O40" s="722">
        <v>15.2640940425</v>
      </c>
      <c r="P40" s="722">
        <v>0.66481709116875387</v>
      </c>
      <c r="T40" s="754" t="s">
        <v>79</v>
      </c>
      <c r="U40" s="755">
        <v>0.53002578992751215</v>
      </c>
      <c r="V40" s="756">
        <v>0.38480913039670622</v>
      </c>
      <c r="W40" s="734"/>
      <c r="X40" s="754"/>
      <c r="Y40" s="755"/>
    </row>
    <row r="41" spans="1:25">
      <c r="A41" s="136"/>
      <c r="B41" s="138"/>
      <c r="C41" s="138"/>
      <c r="D41" s="138"/>
      <c r="E41" s="138"/>
      <c r="F41" s="138"/>
      <c r="G41" s="138"/>
      <c r="H41" s="138"/>
      <c r="I41" s="138"/>
      <c r="J41" s="138"/>
      <c r="K41" s="138"/>
      <c r="L41" s="720" t="s">
        <v>427</v>
      </c>
      <c r="M41" s="720" t="s">
        <v>80</v>
      </c>
      <c r="N41" s="721">
        <v>144.47999999999999</v>
      </c>
      <c r="O41" s="722">
        <v>35.710036557500004</v>
      </c>
      <c r="P41" s="722">
        <v>0.33220764787085916</v>
      </c>
      <c r="S41" s="754" t="s">
        <v>437</v>
      </c>
      <c r="T41" s="754" t="s">
        <v>427</v>
      </c>
      <c r="U41" s="755">
        <v>0.36134814916539459</v>
      </c>
      <c r="V41" s="756">
        <v>0.29603227328455739</v>
      </c>
      <c r="W41" s="734"/>
      <c r="X41" s="754"/>
      <c r="Y41" s="755"/>
    </row>
    <row r="42" spans="1:25">
      <c r="A42" s="136"/>
      <c r="B42" s="138"/>
      <c r="C42" s="138"/>
      <c r="D42" s="138"/>
      <c r="E42" s="138"/>
      <c r="F42" s="138"/>
      <c r="G42" s="138"/>
      <c r="H42" s="138"/>
      <c r="I42" s="138"/>
      <c r="J42" s="138"/>
      <c r="K42" s="138"/>
      <c r="L42" s="720" t="s">
        <v>428</v>
      </c>
      <c r="M42" s="720" t="s">
        <v>80</v>
      </c>
      <c r="N42" s="721">
        <v>44.54</v>
      </c>
      <c r="O42" s="722">
        <v>8.9360788049999993</v>
      </c>
      <c r="P42" s="722">
        <v>0.26966453993872846</v>
      </c>
      <c r="T42" s="754" t="s">
        <v>81</v>
      </c>
      <c r="U42" s="755">
        <v>0.35790791036970626</v>
      </c>
      <c r="V42" s="756">
        <v>0.30867903688996307</v>
      </c>
      <c r="W42" s="734"/>
      <c r="X42" s="754"/>
      <c r="Y42" s="755"/>
    </row>
    <row r="43" spans="1:25" ht="36" customHeight="1">
      <c r="A43" s="928"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agosto 2020.
Nota: Son consideradas las centrales con operación comercial</v>
      </c>
      <c r="B43" s="928"/>
      <c r="C43" s="928"/>
      <c r="D43" s="928"/>
      <c r="E43" s="928"/>
      <c r="F43" s="928"/>
      <c r="G43" s="928"/>
      <c r="H43" s="928"/>
      <c r="I43" s="928"/>
      <c r="J43" s="928"/>
      <c r="K43" s="928"/>
      <c r="L43" s="720" t="s">
        <v>232</v>
      </c>
      <c r="M43" s="720" t="s">
        <v>80</v>
      </c>
      <c r="N43" s="721">
        <v>20</v>
      </c>
      <c r="O43" s="722">
        <v>4.8034851375000001</v>
      </c>
      <c r="P43" s="722">
        <v>0.32281486139112903</v>
      </c>
      <c r="T43" s="754" t="s">
        <v>232</v>
      </c>
      <c r="U43" s="755">
        <v>0.32752805407559199</v>
      </c>
      <c r="V43" s="756">
        <v>0.26827097269221922</v>
      </c>
      <c r="W43" s="734"/>
      <c r="X43" s="754"/>
      <c r="Y43" s="755"/>
    </row>
    <row r="44" spans="1:25" ht="18" customHeight="1">
      <c r="A44" s="136"/>
      <c r="B44" s="138"/>
      <c r="C44" s="138"/>
      <c r="D44" s="138"/>
      <c r="E44" s="138"/>
      <c r="F44" s="138"/>
      <c r="G44" s="138"/>
      <c r="H44" s="138"/>
      <c r="I44" s="138"/>
      <c r="J44" s="138"/>
      <c r="K44" s="138"/>
      <c r="L44" s="720" t="s">
        <v>81</v>
      </c>
      <c r="M44" s="720" t="s">
        <v>80</v>
      </c>
      <c r="N44" s="721">
        <v>16</v>
      </c>
      <c r="O44" s="722">
        <v>4.0067429624999997</v>
      </c>
      <c r="P44" s="722">
        <v>0.33658795047883061</v>
      </c>
      <c r="T44" s="754" t="s">
        <v>231</v>
      </c>
      <c r="U44" s="755">
        <v>0.30024319783128417</v>
      </c>
      <c r="V44" s="756">
        <v>0.26276105884553408</v>
      </c>
      <c r="W44" s="734"/>
      <c r="X44" s="754"/>
      <c r="Y44" s="755"/>
    </row>
    <row r="45" spans="1:25" ht="12">
      <c r="A45" s="136"/>
      <c r="B45" s="138"/>
      <c r="C45" s="932" t="str">
        <f>"Factor de planta de las centrales RER  Acumulado al "&amp;'1. Resumen'!Q7&amp;" de "&amp;'1. Resumen'!Q4</f>
        <v>Factor de planta de las centrales RER  Acumulado al 31 de agosto</v>
      </c>
      <c r="D45" s="932"/>
      <c r="E45" s="932"/>
      <c r="F45" s="932"/>
      <c r="G45" s="932"/>
      <c r="H45" s="932"/>
      <c r="I45" s="932"/>
      <c r="J45" s="138"/>
      <c r="K45" s="138"/>
      <c r="L45" s="720" t="s">
        <v>233</v>
      </c>
      <c r="M45" s="720" t="s">
        <v>80</v>
      </c>
      <c r="N45" s="721">
        <v>20</v>
      </c>
      <c r="O45" s="722">
        <v>3.6287672</v>
      </c>
      <c r="P45" s="722">
        <v>0.2438687634408602</v>
      </c>
      <c r="T45" s="754" t="s">
        <v>428</v>
      </c>
      <c r="U45" s="755">
        <v>0.27797867421876982</v>
      </c>
      <c r="V45" s="756">
        <v>0.30867903688996307</v>
      </c>
      <c r="W45" s="734"/>
      <c r="X45" s="754"/>
      <c r="Y45" s="755"/>
    </row>
    <row r="46" spans="1:25" ht="9.75" customHeight="1">
      <c r="A46" s="136"/>
      <c r="B46" s="138"/>
      <c r="C46" s="138"/>
      <c r="D46" s="138"/>
      <c r="E46" s="138"/>
      <c r="F46" s="138"/>
      <c r="G46" s="138"/>
      <c r="H46" s="138"/>
      <c r="I46" s="138"/>
      <c r="J46" s="138"/>
      <c r="K46" s="138"/>
      <c r="L46" s="720" t="s">
        <v>82</v>
      </c>
      <c r="M46" s="720" t="s">
        <v>80</v>
      </c>
      <c r="N46" s="721">
        <v>20</v>
      </c>
      <c r="O46" s="722">
        <v>3.5915539450000002</v>
      </c>
      <c r="P46" s="722">
        <v>0.24136787264784948</v>
      </c>
      <c r="T46" s="754" t="s">
        <v>233</v>
      </c>
      <c r="U46" s="755">
        <v>0.27488089480874317</v>
      </c>
      <c r="V46" s="756">
        <v>0.24399783684392268</v>
      </c>
      <c r="W46" s="734"/>
      <c r="X46" s="754"/>
      <c r="Y46" s="755"/>
    </row>
    <row r="47" spans="1:25" ht="9.75" customHeight="1">
      <c r="A47" s="136"/>
      <c r="B47" s="138"/>
      <c r="C47" s="138"/>
      <c r="D47" s="138"/>
      <c r="E47" s="138"/>
      <c r="F47" s="138"/>
      <c r="G47" s="138"/>
      <c r="H47" s="138"/>
      <c r="I47" s="138"/>
      <c r="J47" s="138"/>
      <c r="K47" s="138"/>
      <c r="L47" s="720" t="s">
        <v>231</v>
      </c>
      <c r="M47" s="720" t="s">
        <v>80</v>
      </c>
      <c r="N47" s="721">
        <v>20</v>
      </c>
      <c r="O47" s="722">
        <v>3.5906862624999998</v>
      </c>
      <c r="P47" s="722">
        <v>0.24130956065188172</v>
      </c>
      <c r="T47" s="754" t="s">
        <v>82</v>
      </c>
      <c r="U47" s="755">
        <v>0.26816351326275045</v>
      </c>
      <c r="V47" s="756">
        <v>0.23503944406077346</v>
      </c>
      <c r="X47" s="754"/>
      <c r="Y47" s="755"/>
    </row>
    <row r="48" spans="1:25" ht="9.75" customHeight="1">
      <c r="A48" s="136"/>
      <c r="B48" s="138"/>
      <c r="C48" s="138"/>
      <c r="D48" s="138"/>
      <c r="E48" s="138"/>
      <c r="F48" s="138"/>
      <c r="G48" s="138"/>
      <c r="H48" s="138"/>
      <c r="I48" s="138"/>
      <c r="J48" s="138"/>
      <c r="K48" s="138"/>
      <c r="L48" s="720" t="s">
        <v>83</v>
      </c>
      <c r="M48" s="720" t="s">
        <v>403</v>
      </c>
      <c r="N48" s="721">
        <v>12.74105</v>
      </c>
      <c r="O48" s="722">
        <v>7.9141951800000001</v>
      </c>
      <c r="P48" s="722">
        <v>0.83488873467282732</v>
      </c>
      <c r="S48" s="754" t="s">
        <v>438</v>
      </c>
      <c r="T48" s="754" t="s">
        <v>83</v>
      </c>
      <c r="U48" s="755">
        <v>0.82154580656778597</v>
      </c>
      <c r="V48" s="756">
        <v>0.80351072979564497</v>
      </c>
      <c r="X48" s="754"/>
      <c r="Y48" s="755"/>
    </row>
    <row r="49" spans="1:25" ht="9.75" customHeight="1">
      <c r="A49" s="136"/>
      <c r="B49" s="138"/>
      <c r="C49" s="138"/>
      <c r="D49" s="138"/>
      <c r="E49" s="138"/>
      <c r="F49" s="138"/>
      <c r="G49" s="138"/>
      <c r="H49" s="138"/>
      <c r="I49" s="138"/>
      <c r="J49" s="138"/>
      <c r="K49" s="138"/>
      <c r="L49" s="720" t="s">
        <v>84</v>
      </c>
      <c r="M49" s="720" t="s">
        <v>403</v>
      </c>
      <c r="N49" s="721">
        <v>4.2625000000000002</v>
      </c>
      <c r="O49" s="722">
        <v>2.652694715</v>
      </c>
      <c r="P49" s="722">
        <v>0.83646918140825532</v>
      </c>
      <c r="T49" s="754" t="s">
        <v>583</v>
      </c>
      <c r="U49" s="755">
        <v>0.96787145696271926</v>
      </c>
      <c r="X49" s="754"/>
      <c r="Y49" s="755"/>
    </row>
    <row r="50" spans="1:25" ht="9.75" customHeight="1">
      <c r="A50" s="136"/>
      <c r="B50" s="138"/>
      <c r="C50" s="138"/>
      <c r="D50" s="138"/>
      <c r="E50" s="138"/>
      <c r="F50" s="138"/>
      <c r="G50" s="138"/>
      <c r="H50" s="138"/>
      <c r="I50" s="138"/>
      <c r="J50" s="138"/>
      <c r="K50" s="138"/>
      <c r="L50" s="720" t="s">
        <v>429</v>
      </c>
      <c r="M50" s="720" t="s">
        <v>403</v>
      </c>
      <c r="N50" s="721">
        <v>2.4</v>
      </c>
      <c r="O50" s="722">
        <v>1.68083779</v>
      </c>
      <c r="P50" s="722">
        <v>0.94132940748207894</v>
      </c>
      <c r="T50" s="754" t="s">
        <v>85</v>
      </c>
      <c r="U50" s="755">
        <v>0.61187903976815716</v>
      </c>
      <c r="V50" s="756">
        <v>0.9016831376948955</v>
      </c>
    </row>
    <row r="51" spans="1:25" ht="20.25" customHeight="1">
      <c r="A51" s="136"/>
      <c r="B51" s="138"/>
      <c r="C51" s="138"/>
      <c r="D51" s="138"/>
      <c r="E51" s="138"/>
      <c r="F51" s="138"/>
      <c r="G51" s="138"/>
      <c r="H51" s="138"/>
      <c r="I51" s="138"/>
      <c r="J51" s="138"/>
      <c r="K51" s="138"/>
      <c r="L51" s="720" t="s">
        <v>583</v>
      </c>
      <c r="M51" s="720" t="s">
        <v>403</v>
      </c>
      <c r="N51" s="721">
        <v>2.4</v>
      </c>
      <c r="O51" s="722">
        <v>1.6020863200000002</v>
      </c>
      <c r="P51" s="722">
        <v>0.89722576164874568</v>
      </c>
      <c r="T51" s="878" t="s">
        <v>84</v>
      </c>
      <c r="U51" s="755">
        <v>0.60276067750482076</v>
      </c>
      <c r="V51" s="756">
        <v>0.56804366652282579</v>
      </c>
    </row>
    <row r="52" spans="1:25" ht="9.75" customHeight="1">
      <c r="A52" s="136"/>
      <c r="B52" s="138"/>
      <c r="C52" s="138"/>
      <c r="D52" s="138"/>
      <c r="E52" s="138"/>
      <c r="F52" s="138"/>
      <c r="G52" s="138"/>
      <c r="H52" s="138"/>
      <c r="I52" s="138"/>
      <c r="J52" s="138"/>
      <c r="K52" s="138"/>
      <c r="L52" s="715" t="s">
        <v>85</v>
      </c>
      <c r="M52" s="720" t="s">
        <v>403</v>
      </c>
      <c r="N52" s="721">
        <v>2.9537</v>
      </c>
      <c r="O52" s="722">
        <v>0.42967996250000001</v>
      </c>
      <c r="P52" s="722">
        <v>0.19552657051061526</v>
      </c>
      <c r="T52" s="754" t="s">
        <v>429</v>
      </c>
      <c r="U52" s="755">
        <v>0.50426950041742569</v>
      </c>
      <c r="V52" s="756">
        <v>0.73220944645871766</v>
      </c>
    </row>
    <row r="53" spans="1:25" ht="9.75" customHeight="1">
      <c r="B53" s="138"/>
      <c r="C53" s="138"/>
      <c r="D53" s="138"/>
      <c r="E53" s="138"/>
      <c r="F53" s="138"/>
      <c r="G53" s="138"/>
      <c r="H53" s="138"/>
      <c r="I53" s="138"/>
      <c r="J53" s="138"/>
      <c r="K53" s="138"/>
    </row>
    <row r="54" spans="1:25" ht="30.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28"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agosto.
Nota: Son consideradas las centrales con operación comercial</v>
      </c>
      <c r="B64" s="928"/>
      <c r="C64" s="928"/>
      <c r="D64" s="928"/>
      <c r="E64" s="928"/>
      <c r="F64" s="928"/>
      <c r="G64" s="928"/>
      <c r="H64" s="928"/>
      <c r="I64" s="928"/>
      <c r="J64" s="928"/>
      <c r="K64" s="928"/>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4"/>
  <sheetViews>
    <sheetView showGridLines="0" view="pageBreakPreview" zoomScaleNormal="100" zoomScaleSheetLayoutView="100" zoomScalePageLayoutView="115" workbookViewId="0">
      <selection activeCell="N25" sqref="N25"/>
    </sheetView>
  </sheetViews>
  <sheetFormatPr defaultColWidth="9.33203125" defaultRowHeight="11.25"/>
  <cols>
    <col min="1" max="1" width="30.1640625" customWidth="1"/>
    <col min="2" max="2" width="11.1640625" bestFit="1" customWidth="1"/>
    <col min="3"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29" t="s">
        <v>235</v>
      </c>
      <c r="B2" s="929"/>
      <c r="C2" s="929"/>
      <c r="D2" s="929"/>
      <c r="E2" s="929"/>
      <c r="F2" s="929"/>
      <c r="G2" s="929"/>
      <c r="H2" s="929"/>
      <c r="I2" s="929"/>
      <c r="J2" s="17"/>
    </row>
    <row r="3" spans="1:14" ht="6" customHeight="1">
      <c r="A3" s="17"/>
      <c r="B3" s="17"/>
      <c r="C3" s="17"/>
      <c r="D3" s="17"/>
      <c r="E3" s="17"/>
      <c r="F3" s="17"/>
      <c r="G3" s="17"/>
      <c r="H3" s="17"/>
      <c r="I3" s="17"/>
      <c r="J3" s="17"/>
      <c r="K3" s="329"/>
      <c r="L3" s="329"/>
    </row>
    <row r="4" spans="1:14" ht="11.25" customHeight="1">
      <c r="A4" s="935" t="s">
        <v>245</v>
      </c>
      <c r="B4" s="936" t="str">
        <f>+'1. Resumen'!Q4</f>
        <v>agosto</v>
      </c>
      <c r="C4" s="937"/>
      <c r="D4" s="937"/>
      <c r="E4" s="138"/>
      <c r="F4" s="138"/>
      <c r="G4" s="938" t="s">
        <v>477</v>
      </c>
      <c r="H4" s="938"/>
      <c r="I4" s="938"/>
      <c r="J4" s="138"/>
      <c r="L4" s="330"/>
      <c r="M4" s="331">
        <v>2020</v>
      </c>
      <c r="N4" s="331">
        <v>2019</v>
      </c>
    </row>
    <row r="5" spans="1:14" ht="11.25" customHeight="1">
      <c r="A5" s="935"/>
      <c r="B5" s="478">
        <f>+'1. Resumen'!Q5</f>
        <v>2020</v>
      </c>
      <c r="C5" s="479">
        <f>+B5-1</f>
        <v>2019</v>
      </c>
      <c r="D5" s="479" t="s">
        <v>35</v>
      </c>
      <c r="E5" s="138"/>
      <c r="F5" s="138"/>
      <c r="G5" s="138"/>
      <c r="H5" s="138"/>
      <c r="I5" s="138"/>
      <c r="J5" s="138"/>
      <c r="K5" s="332"/>
      <c r="L5" s="336" t="s">
        <v>105</v>
      </c>
      <c r="M5" s="334">
        <v>0</v>
      </c>
      <c r="N5" s="334">
        <v>72.701413129999992</v>
      </c>
    </row>
    <row r="6" spans="1:14" ht="10.5" customHeight="1">
      <c r="A6" s="390" t="s">
        <v>410</v>
      </c>
      <c r="B6" s="407">
        <v>885.84073562749995</v>
      </c>
      <c r="C6" s="408">
        <v>871.71165604500004</v>
      </c>
      <c r="D6" s="391">
        <f>IF(C6=0,"",B6/C6-1)</f>
        <v>1.6208432552805574E-2</v>
      </c>
      <c r="E6" s="138"/>
      <c r="F6" s="138"/>
      <c r="G6" s="138"/>
      <c r="H6" s="138"/>
      <c r="I6" s="138"/>
      <c r="J6" s="138"/>
      <c r="K6" s="335"/>
      <c r="L6" s="336" t="s">
        <v>102</v>
      </c>
      <c r="M6" s="334">
        <v>0</v>
      </c>
      <c r="N6" s="334">
        <v>20.704023852499997</v>
      </c>
    </row>
    <row r="7" spans="1:14" ht="10.5" customHeight="1">
      <c r="A7" s="392" t="s">
        <v>87</v>
      </c>
      <c r="B7" s="409">
        <v>620.89654207499996</v>
      </c>
      <c r="C7" s="409">
        <v>622.05245792749997</v>
      </c>
      <c r="D7" s="393">
        <f t="shared" ref="D7:D64" si="0">IF(C7=0,"",B7/C7-1)</f>
        <v>-1.8582288965647287E-3</v>
      </c>
      <c r="E7" s="403"/>
      <c r="F7" s="138"/>
      <c r="G7" s="138"/>
      <c r="H7" s="138"/>
      <c r="I7" s="138"/>
      <c r="J7" s="138"/>
      <c r="L7" s="334" t="s">
        <v>244</v>
      </c>
      <c r="M7" s="334">
        <v>0</v>
      </c>
      <c r="N7" s="334">
        <v>0.38849396000000003</v>
      </c>
    </row>
    <row r="8" spans="1:14" ht="10.5" customHeight="1">
      <c r="A8" s="390" t="s">
        <v>88</v>
      </c>
      <c r="B8" s="408">
        <v>605.72270431749985</v>
      </c>
      <c r="C8" s="408">
        <v>606.7057839675</v>
      </c>
      <c r="D8" s="391">
        <f t="shared" si="0"/>
        <v>-1.6203564824640582E-3</v>
      </c>
      <c r="E8" s="138"/>
      <c r="F8" s="138"/>
      <c r="G8" s="138"/>
      <c r="H8" s="138"/>
      <c r="I8" s="138"/>
      <c r="J8" s="138"/>
      <c r="L8" s="336" t="s">
        <v>236</v>
      </c>
      <c r="M8" s="334">
        <v>0</v>
      </c>
      <c r="N8" s="334">
        <v>0</v>
      </c>
    </row>
    <row r="9" spans="1:14" ht="10.5" customHeight="1">
      <c r="A9" s="392" t="s">
        <v>89</v>
      </c>
      <c r="B9" s="409">
        <v>588.76578888000006</v>
      </c>
      <c r="C9" s="409">
        <v>600.33277224000005</v>
      </c>
      <c r="D9" s="393">
        <f t="shared" si="0"/>
        <v>-1.9267619385229473E-2</v>
      </c>
      <c r="E9" s="138"/>
      <c r="F9" s="138"/>
      <c r="G9" s="138"/>
      <c r="H9" s="138"/>
      <c r="I9" s="138"/>
      <c r="J9" s="138"/>
      <c r="L9" s="336" t="s">
        <v>118</v>
      </c>
      <c r="M9" s="334">
        <v>3.9228700000000002E-3</v>
      </c>
      <c r="N9" s="334">
        <v>7.8759699999999995E-3</v>
      </c>
    </row>
    <row r="10" spans="1:14" ht="10.5" customHeight="1">
      <c r="A10" s="390" t="s">
        <v>239</v>
      </c>
      <c r="B10" s="408">
        <v>333.04459592750004</v>
      </c>
      <c r="C10" s="408">
        <v>402.44336240750005</v>
      </c>
      <c r="D10" s="391">
        <f t="shared" si="0"/>
        <v>-0.17244356091461444</v>
      </c>
      <c r="E10" s="138"/>
      <c r="F10" s="138"/>
      <c r="G10" s="138"/>
      <c r="H10" s="138"/>
      <c r="I10" s="138"/>
      <c r="J10" s="138"/>
      <c r="K10" s="332"/>
      <c r="L10" s="334" t="s">
        <v>243</v>
      </c>
      <c r="M10" s="334">
        <v>2.5748629999999998E-2</v>
      </c>
      <c r="N10" s="334">
        <v>1.6934170000000002E-2</v>
      </c>
    </row>
    <row r="11" spans="1:14" ht="10.5" customHeight="1">
      <c r="A11" s="392" t="s">
        <v>90</v>
      </c>
      <c r="B11" s="409">
        <v>138.56193073</v>
      </c>
      <c r="C11" s="409">
        <v>143.08877737</v>
      </c>
      <c r="D11" s="393">
        <f t="shared" si="0"/>
        <v>-3.1636629533107641E-2</v>
      </c>
      <c r="E11" s="138"/>
      <c r="F11" s="138"/>
      <c r="G11" s="138"/>
      <c r="H11" s="138"/>
      <c r="I11" s="138"/>
      <c r="J11" s="138"/>
      <c r="K11" s="335"/>
      <c r="L11" s="334" t="s">
        <v>412</v>
      </c>
      <c r="M11" s="334">
        <v>0.17169524999999999</v>
      </c>
      <c r="N11" s="334">
        <v>0.24111125</v>
      </c>
    </row>
    <row r="12" spans="1:14" ht="10.5" customHeight="1">
      <c r="A12" s="390" t="s">
        <v>100</v>
      </c>
      <c r="B12" s="408">
        <v>121.054930625</v>
      </c>
      <c r="C12" s="408">
        <v>171.05855868250001</v>
      </c>
      <c r="D12" s="391">
        <f t="shared" si="0"/>
        <v>-0.29231877342256352</v>
      </c>
      <c r="E12" s="138"/>
      <c r="F12" s="138"/>
      <c r="G12" s="138"/>
      <c r="H12" s="138"/>
      <c r="I12" s="138"/>
      <c r="J12" s="138"/>
      <c r="K12" s="335"/>
      <c r="L12" s="334" t="s">
        <v>453</v>
      </c>
      <c r="M12" s="334">
        <v>0.21867149</v>
      </c>
      <c r="N12" s="334">
        <v>0.21328192000000001</v>
      </c>
    </row>
    <row r="13" spans="1:14" ht="10.5" customHeight="1">
      <c r="A13" s="392" t="s">
        <v>98</v>
      </c>
      <c r="B13" s="409">
        <v>104.11727305000001</v>
      </c>
      <c r="C13" s="409">
        <v>82.90306404750001</v>
      </c>
      <c r="D13" s="394">
        <f t="shared" si="0"/>
        <v>0.25589173628546624</v>
      </c>
      <c r="E13" s="138"/>
      <c r="F13" s="138"/>
      <c r="G13" s="138"/>
      <c r="H13" s="138"/>
      <c r="I13" s="138"/>
      <c r="J13" s="138"/>
      <c r="K13" s="335"/>
      <c r="L13" s="336" t="s">
        <v>117</v>
      </c>
      <c r="M13" s="334">
        <v>0.45887865249999998</v>
      </c>
      <c r="N13" s="334">
        <v>0.83206050000000009</v>
      </c>
    </row>
    <row r="14" spans="1:14" ht="10.5" customHeight="1">
      <c r="A14" s="390" t="s">
        <v>241</v>
      </c>
      <c r="B14" s="408">
        <v>93.302446917499978</v>
      </c>
      <c r="C14" s="408">
        <v>78.873926885000003</v>
      </c>
      <c r="D14" s="391">
        <f t="shared" si="0"/>
        <v>0.18293142743529289</v>
      </c>
      <c r="E14" s="138"/>
      <c r="F14" s="138"/>
      <c r="G14" s="138"/>
      <c r="H14" s="138"/>
      <c r="I14" s="138"/>
      <c r="J14" s="138"/>
      <c r="K14" s="335"/>
      <c r="L14" s="336" t="s">
        <v>431</v>
      </c>
      <c r="M14" s="334">
        <v>0.66802700000000004</v>
      </c>
      <c r="N14" s="334">
        <v>4.9461066874999995</v>
      </c>
    </row>
    <row r="15" spans="1:14" ht="10.5" customHeight="1">
      <c r="A15" s="392" t="s">
        <v>92</v>
      </c>
      <c r="B15" s="409">
        <v>81.919972682500017</v>
      </c>
      <c r="C15" s="409">
        <v>79.580963799999992</v>
      </c>
      <c r="D15" s="393">
        <f t="shared" si="0"/>
        <v>2.9391562640260771E-2</v>
      </c>
      <c r="E15" s="138"/>
      <c r="F15" s="138"/>
      <c r="G15" s="138"/>
      <c r="H15" s="138"/>
      <c r="I15" s="138"/>
      <c r="J15" s="138"/>
      <c r="K15" s="335"/>
      <c r="L15" s="334" t="s">
        <v>120</v>
      </c>
      <c r="M15" s="334">
        <v>0.89403482749999996</v>
      </c>
      <c r="N15" s="334">
        <v>1.3368656249999997</v>
      </c>
    </row>
    <row r="16" spans="1:14" ht="10.5" customHeight="1">
      <c r="A16" s="390" t="s">
        <v>91</v>
      </c>
      <c r="B16" s="408">
        <v>72.097472882500014</v>
      </c>
      <c r="C16" s="408">
        <v>72.924134990000013</v>
      </c>
      <c r="D16" s="391">
        <f t="shared" si="0"/>
        <v>-1.1335919275742623E-2</v>
      </c>
      <c r="E16" s="138"/>
      <c r="F16" s="138"/>
      <c r="G16" s="138"/>
      <c r="H16" s="138"/>
      <c r="I16" s="138"/>
      <c r="J16" s="138" t="s">
        <v>8</v>
      </c>
      <c r="K16" s="335"/>
      <c r="L16" s="334" t="s">
        <v>115</v>
      </c>
      <c r="M16" s="334">
        <v>1.0697090149999999</v>
      </c>
      <c r="N16" s="334">
        <v>1.545330855</v>
      </c>
    </row>
    <row r="17" spans="1:14" ht="10.5" customHeight="1">
      <c r="A17" s="392" t="s">
        <v>96</v>
      </c>
      <c r="B17" s="409">
        <v>65.984291870000007</v>
      </c>
      <c r="C17" s="409">
        <v>61.765361412500006</v>
      </c>
      <c r="D17" s="393">
        <f t="shared" si="0"/>
        <v>6.8305768168729353E-2</v>
      </c>
      <c r="E17" s="138"/>
      <c r="F17" s="138"/>
      <c r="G17" s="138"/>
      <c r="H17" s="138"/>
      <c r="I17" s="138"/>
      <c r="J17" s="138"/>
      <c r="K17" s="335"/>
      <c r="L17" s="334" t="s">
        <v>116</v>
      </c>
      <c r="M17" s="334">
        <v>2.2038000000000002</v>
      </c>
      <c r="N17" s="334">
        <v>2.3971</v>
      </c>
    </row>
    <row r="18" spans="1:14" ht="10.5" customHeight="1">
      <c r="A18" s="390" t="s">
        <v>95</v>
      </c>
      <c r="B18" s="408">
        <v>64.829372942500001</v>
      </c>
      <c r="C18" s="408">
        <v>42.667805567499997</v>
      </c>
      <c r="D18" s="391">
        <f t="shared" si="0"/>
        <v>0.51939787107027691</v>
      </c>
      <c r="E18" s="138"/>
      <c r="F18" s="138"/>
      <c r="G18" s="138"/>
      <c r="H18" s="138"/>
      <c r="I18" s="138"/>
      <c r="J18" s="138"/>
      <c r="K18" s="338"/>
      <c r="L18" s="334" t="s">
        <v>486</v>
      </c>
      <c r="M18" s="334">
        <v>2.57698939</v>
      </c>
      <c r="N18" s="334"/>
    </row>
    <row r="19" spans="1:14" ht="10.5" customHeight="1">
      <c r="A19" s="392" t="s">
        <v>94</v>
      </c>
      <c r="B19" s="409">
        <v>53.314424057499998</v>
      </c>
      <c r="C19" s="409">
        <v>53.394310132499996</v>
      </c>
      <c r="D19" s="393">
        <f t="shared" si="0"/>
        <v>-1.4961533317268128E-3</v>
      </c>
      <c r="E19" s="138"/>
      <c r="F19" s="138"/>
      <c r="G19" s="138"/>
      <c r="H19" s="138"/>
      <c r="I19" s="138"/>
      <c r="J19" s="138"/>
      <c r="K19" s="335"/>
      <c r="L19" s="336" t="s">
        <v>121</v>
      </c>
      <c r="M19" s="334">
        <v>2.8558608800000003</v>
      </c>
      <c r="N19" s="334">
        <v>3.1655908350000002</v>
      </c>
    </row>
    <row r="20" spans="1:14" ht="10.5" customHeight="1">
      <c r="A20" s="390" t="s">
        <v>99</v>
      </c>
      <c r="B20" s="408">
        <v>51.661423617499999</v>
      </c>
      <c r="C20" s="408">
        <v>36.6271814925</v>
      </c>
      <c r="D20" s="391">
        <f t="shared" si="0"/>
        <v>0.41046680395210045</v>
      </c>
      <c r="E20" s="138"/>
      <c r="F20" s="138"/>
      <c r="G20" s="138"/>
      <c r="H20" s="138"/>
      <c r="I20" s="138"/>
      <c r="J20" s="138"/>
      <c r="K20" s="335"/>
      <c r="L20" s="334" t="s">
        <v>119</v>
      </c>
      <c r="M20" s="334">
        <v>2.9584451874999997</v>
      </c>
      <c r="N20" s="334">
        <v>0.19201126500000001</v>
      </c>
    </row>
    <row r="21" spans="1:14" ht="10.5" customHeight="1">
      <c r="A21" s="392" t="s">
        <v>237</v>
      </c>
      <c r="B21" s="409">
        <v>47.670724145000001</v>
      </c>
      <c r="C21" s="409">
        <v>57.021234637499994</v>
      </c>
      <c r="D21" s="393">
        <f t="shared" si="0"/>
        <v>-0.16398295392837092</v>
      </c>
      <c r="E21" s="138"/>
      <c r="F21" s="138"/>
      <c r="G21" s="138"/>
      <c r="H21" s="138"/>
      <c r="I21" s="138"/>
      <c r="J21" s="138"/>
      <c r="K21" s="335"/>
      <c r="L21" s="336" t="s">
        <v>104</v>
      </c>
      <c r="M21" s="334">
        <v>3.0620111399999996</v>
      </c>
      <c r="N21" s="334">
        <v>1.7651799674999999</v>
      </c>
    </row>
    <row r="22" spans="1:14" ht="10.5" customHeight="1">
      <c r="A22" s="390" t="s">
        <v>97</v>
      </c>
      <c r="B22" s="408">
        <v>46.890830907499996</v>
      </c>
      <c r="C22" s="408">
        <v>29.048625247499999</v>
      </c>
      <c r="D22" s="391">
        <f t="shared" si="0"/>
        <v>0.61421859065552664</v>
      </c>
      <c r="E22" s="138"/>
      <c r="F22" s="138"/>
      <c r="G22" s="138"/>
      <c r="H22" s="138"/>
      <c r="I22" s="138"/>
      <c r="J22" s="138"/>
      <c r="K22" s="338"/>
      <c r="L22" s="334" t="s">
        <v>421</v>
      </c>
      <c r="M22" s="334">
        <v>3.4367368574999997</v>
      </c>
      <c r="N22" s="334">
        <v>4.0632739625000003</v>
      </c>
    </row>
    <row r="23" spans="1:14" ht="10.5" customHeight="1">
      <c r="A23" s="392" t="s">
        <v>430</v>
      </c>
      <c r="B23" s="409">
        <v>42.381535490000005</v>
      </c>
      <c r="C23" s="409">
        <v>41.937084462499996</v>
      </c>
      <c r="D23" s="393">
        <f t="shared" si="0"/>
        <v>1.0598043073247965E-2</v>
      </c>
      <c r="E23" s="138"/>
      <c r="F23" s="138"/>
      <c r="G23" s="138"/>
      <c r="H23" s="138"/>
      <c r="I23" s="138"/>
      <c r="J23" s="138"/>
      <c r="K23" s="335"/>
      <c r="L23" s="336" t="s">
        <v>114</v>
      </c>
      <c r="M23" s="334">
        <v>3.5786686324999994</v>
      </c>
      <c r="N23" s="334">
        <v>3.5328714625000002</v>
      </c>
    </row>
    <row r="24" spans="1:14" ht="10.5" customHeight="1">
      <c r="A24" s="390" t="s">
        <v>93</v>
      </c>
      <c r="B24" s="408">
        <v>36.570941370000007</v>
      </c>
      <c r="C24" s="408">
        <v>35.801218002499994</v>
      </c>
      <c r="D24" s="391">
        <f t="shared" si="0"/>
        <v>2.1499921244195308E-2</v>
      </c>
      <c r="E24" s="138"/>
      <c r="F24" s="138"/>
      <c r="G24" s="138"/>
      <c r="H24" s="138"/>
      <c r="I24" s="138"/>
      <c r="J24" s="138"/>
      <c r="K24" s="335"/>
      <c r="L24" s="336" t="s">
        <v>109</v>
      </c>
      <c r="M24" s="334">
        <v>3.5906862624999998</v>
      </c>
      <c r="N24" s="334">
        <v>4.0365993849999997</v>
      </c>
    </row>
    <row r="25" spans="1:14" ht="10.5" customHeight="1">
      <c r="A25" s="392" t="s">
        <v>238</v>
      </c>
      <c r="B25" s="409">
        <v>34.007734370000001</v>
      </c>
      <c r="C25" s="409">
        <v>36.409530399999994</v>
      </c>
      <c r="D25" s="393">
        <f t="shared" si="0"/>
        <v>-6.5966135888420929E-2</v>
      </c>
      <c r="E25" s="138"/>
      <c r="F25" s="138"/>
      <c r="G25" s="138"/>
      <c r="H25" s="138"/>
      <c r="I25" s="138"/>
      <c r="J25" s="138"/>
      <c r="K25" s="335"/>
      <c r="L25" s="336" t="s">
        <v>112</v>
      </c>
      <c r="M25" s="334">
        <v>3.5915539450000002</v>
      </c>
      <c r="N25" s="334">
        <v>3.8388382475</v>
      </c>
    </row>
    <row r="26" spans="1:14" ht="10.5" customHeight="1">
      <c r="A26" s="390" t="s">
        <v>113</v>
      </c>
      <c r="B26" s="408">
        <v>16.746445769999998</v>
      </c>
      <c r="C26" s="408">
        <v>17.138652790000002</v>
      </c>
      <c r="D26" s="391">
        <f t="shared" si="0"/>
        <v>-2.2884355311103999E-2</v>
      </c>
      <c r="E26" s="138"/>
      <c r="F26" s="138"/>
      <c r="G26" s="138"/>
      <c r="H26" s="138"/>
      <c r="I26" s="138"/>
      <c r="J26" s="138"/>
      <c r="K26" s="335"/>
      <c r="L26" s="334" t="s">
        <v>111</v>
      </c>
      <c r="M26" s="334">
        <v>3.6287672</v>
      </c>
      <c r="N26" s="334">
        <v>3.7582447000000001</v>
      </c>
    </row>
    <row r="27" spans="1:14" ht="10.5" customHeight="1">
      <c r="A27" s="392" t="s">
        <v>242</v>
      </c>
      <c r="B27" s="409">
        <v>16.305897107500002</v>
      </c>
      <c r="C27" s="409">
        <v>12.7523673325</v>
      </c>
      <c r="D27" s="393">
        <f t="shared" si="0"/>
        <v>0.27865647862445631</v>
      </c>
      <c r="E27" s="138"/>
      <c r="F27" s="138"/>
      <c r="G27" s="138"/>
      <c r="H27" s="138"/>
      <c r="I27" s="138"/>
      <c r="J27" s="138"/>
      <c r="K27" s="335"/>
      <c r="L27" s="336" t="s">
        <v>458</v>
      </c>
      <c r="M27" s="334">
        <v>3.7201884400000003</v>
      </c>
      <c r="N27" s="334"/>
    </row>
    <row r="28" spans="1:14" ht="10.5" customHeight="1">
      <c r="A28" s="395" t="s">
        <v>108</v>
      </c>
      <c r="B28" s="408">
        <v>13.915104755</v>
      </c>
      <c r="C28" s="408">
        <v>14.3367640525</v>
      </c>
      <c r="D28" s="391">
        <f t="shared" si="0"/>
        <v>-2.9411050914691761E-2</v>
      </c>
      <c r="E28" s="138"/>
      <c r="F28" s="138"/>
      <c r="G28" s="138"/>
      <c r="H28" s="138"/>
      <c r="I28" s="138"/>
      <c r="J28" s="138"/>
      <c r="K28" s="335"/>
      <c r="L28" s="336" t="s">
        <v>110</v>
      </c>
      <c r="M28" s="334">
        <v>4.0067429624999997</v>
      </c>
      <c r="N28" s="334">
        <v>4.1884682300000007</v>
      </c>
    </row>
    <row r="29" spans="1:14" ht="10.5" customHeight="1">
      <c r="A29" s="396" t="s">
        <v>402</v>
      </c>
      <c r="B29" s="409">
        <v>12.573862310000001</v>
      </c>
      <c r="C29" s="409">
        <v>13.135703545</v>
      </c>
      <c r="D29" s="393">
        <f t="shared" si="0"/>
        <v>-4.2772070264470829E-2</v>
      </c>
      <c r="E29" s="138"/>
      <c r="F29" s="138"/>
      <c r="G29" s="138"/>
      <c r="H29" s="138"/>
      <c r="I29" s="138"/>
      <c r="J29" s="138"/>
      <c r="K29" s="335"/>
      <c r="L29" s="336" t="s">
        <v>107</v>
      </c>
      <c r="M29" s="334">
        <v>4.8034851375000001</v>
      </c>
      <c r="N29" s="334">
        <v>4.50676875</v>
      </c>
    </row>
    <row r="30" spans="1:14" ht="10.5" customHeight="1">
      <c r="A30" s="397" t="s">
        <v>103</v>
      </c>
      <c r="B30" s="408">
        <v>11.9571460075</v>
      </c>
      <c r="C30" s="408">
        <v>12.708361</v>
      </c>
      <c r="D30" s="391">
        <f t="shared" si="0"/>
        <v>-5.9111870720386372E-2</v>
      </c>
      <c r="E30" s="138"/>
      <c r="F30" s="138"/>
      <c r="G30" s="138"/>
      <c r="H30" s="138"/>
      <c r="I30" s="138"/>
      <c r="J30" s="138"/>
      <c r="K30" s="335"/>
      <c r="L30" s="334" t="s">
        <v>457</v>
      </c>
      <c r="M30" s="334">
        <v>5.3014140625000001</v>
      </c>
      <c r="N30" s="334"/>
    </row>
    <row r="31" spans="1:14" ht="10.5" customHeight="1">
      <c r="A31" s="396" t="s">
        <v>240</v>
      </c>
      <c r="B31" s="409">
        <v>9.6607348450000003</v>
      </c>
      <c r="C31" s="409">
        <v>8.9337758550000004</v>
      </c>
      <c r="D31" s="393">
        <f t="shared" si="0"/>
        <v>8.1371975500498017E-2</v>
      </c>
      <c r="E31" s="138"/>
      <c r="F31" s="138"/>
      <c r="G31" s="138"/>
      <c r="H31" s="138"/>
      <c r="I31" s="138"/>
      <c r="J31" s="138"/>
      <c r="K31" s="335"/>
      <c r="L31" s="334" t="s">
        <v>411</v>
      </c>
      <c r="M31" s="334">
        <v>6.3652987875000004</v>
      </c>
      <c r="N31" s="334">
        <v>5.8137978624999995</v>
      </c>
    </row>
    <row r="32" spans="1:14" ht="14.25" customHeight="1">
      <c r="A32" s="397" t="s">
        <v>101</v>
      </c>
      <c r="B32" s="408">
        <v>9.5405519999999999</v>
      </c>
      <c r="C32" s="408">
        <v>8.4469275750000001</v>
      </c>
      <c r="D32" s="391">
        <f t="shared" si="0"/>
        <v>0.12947008427499163</v>
      </c>
      <c r="E32" s="138"/>
      <c r="F32" s="138"/>
      <c r="G32" s="138"/>
      <c r="H32" s="138"/>
      <c r="I32" s="138"/>
      <c r="J32" s="138"/>
      <c r="K32" s="335"/>
      <c r="L32" s="334" t="s">
        <v>446</v>
      </c>
      <c r="M32" s="334">
        <v>7.5002694650000006</v>
      </c>
      <c r="N32" s="334">
        <v>8.3862209075000003</v>
      </c>
    </row>
    <row r="33" spans="1:14">
      <c r="A33" s="710" t="s">
        <v>455</v>
      </c>
      <c r="B33" s="409">
        <v>9.1469138849999982</v>
      </c>
      <c r="C33" s="409">
        <v>9.6904627674999997</v>
      </c>
      <c r="D33" s="393">
        <f t="shared" si="0"/>
        <v>-5.6091117167588966E-2</v>
      </c>
      <c r="E33" s="138"/>
      <c r="F33" s="138"/>
      <c r="G33" s="138"/>
      <c r="H33" s="138"/>
      <c r="I33" s="138"/>
      <c r="J33" s="138"/>
      <c r="K33" s="335"/>
      <c r="L33" s="336" t="s">
        <v>425</v>
      </c>
      <c r="M33" s="334">
        <v>7.8371111075000002</v>
      </c>
      <c r="N33" s="334">
        <v>8.1235186925000011</v>
      </c>
    </row>
    <row r="34" spans="1:14">
      <c r="A34" s="531" t="s">
        <v>418</v>
      </c>
      <c r="B34" s="408">
        <v>8.4277296674999995</v>
      </c>
      <c r="C34" s="408">
        <v>9.4213484950000002</v>
      </c>
      <c r="D34" s="391">
        <f>IF(C34=0,"",B34/C34-1)</f>
        <v>-0.10546460817443737</v>
      </c>
      <c r="E34" s="138"/>
      <c r="F34" s="138"/>
      <c r="G34" s="138"/>
      <c r="H34" s="138"/>
      <c r="I34" s="138"/>
      <c r="J34" s="138"/>
      <c r="K34" s="339"/>
      <c r="L34" s="336" t="s">
        <v>106</v>
      </c>
      <c r="M34" s="334">
        <v>7.9141951800000001</v>
      </c>
      <c r="N34" s="334">
        <v>7.9831871100000003</v>
      </c>
    </row>
    <row r="35" spans="1:14">
      <c r="A35" s="710" t="s">
        <v>106</v>
      </c>
      <c r="B35" s="409">
        <v>7.9141951800000001</v>
      </c>
      <c r="C35" s="409">
        <v>7.9831871100000003</v>
      </c>
      <c r="D35" s="393">
        <f t="shared" si="0"/>
        <v>-8.6421536974348179E-3</v>
      </c>
      <c r="E35" s="138"/>
      <c r="F35" s="138"/>
      <c r="G35" s="138"/>
      <c r="H35" s="138"/>
      <c r="I35" s="138"/>
      <c r="J35" s="138"/>
      <c r="K35" s="339"/>
      <c r="L35" s="336" t="s">
        <v>418</v>
      </c>
      <c r="M35" s="334">
        <v>8.4277296674999995</v>
      </c>
      <c r="N35" s="334">
        <v>9.4213484950000002</v>
      </c>
    </row>
    <row r="36" spans="1:14" ht="22.5" customHeight="1">
      <c r="A36" s="531" t="s">
        <v>425</v>
      </c>
      <c r="B36" s="408">
        <v>7.8371111075000002</v>
      </c>
      <c r="C36" s="408">
        <v>8.1235186925000011</v>
      </c>
      <c r="D36" s="391">
        <f t="shared" si="0"/>
        <v>-3.5256592105145979E-2</v>
      </c>
      <c r="E36" s="138"/>
      <c r="F36" s="138"/>
      <c r="G36" s="138"/>
      <c r="H36" s="138"/>
      <c r="I36" s="138"/>
      <c r="J36" s="138"/>
      <c r="K36" s="338"/>
      <c r="L36" s="336" t="s">
        <v>455</v>
      </c>
      <c r="M36" s="334">
        <v>9.1469138849999982</v>
      </c>
      <c r="N36" s="334">
        <v>9.6904627674999997</v>
      </c>
    </row>
    <row r="37" spans="1:14" ht="10.5" customHeight="1">
      <c r="A37" s="396" t="s">
        <v>446</v>
      </c>
      <c r="B37" s="409">
        <v>7.5002694650000006</v>
      </c>
      <c r="C37" s="409">
        <v>8.3862209075000003</v>
      </c>
      <c r="D37" s="393">
        <f t="shared" si="0"/>
        <v>-0.1056437043898607</v>
      </c>
      <c r="E37" s="138"/>
      <c r="F37" s="138"/>
      <c r="G37" s="138"/>
      <c r="H37" s="138"/>
      <c r="I37" s="138"/>
      <c r="J37" s="138"/>
      <c r="K37" s="338"/>
      <c r="L37" s="334" t="s">
        <v>101</v>
      </c>
      <c r="M37" s="334">
        <v>9.5405519999999999</v>
      </c>
      <c r="N37" s="334">
        <v>8.4469275750000001</v>
      </c>
    </row>
    <row r="38" spans="1:14" ht="10.5" customHeight="1">
      <c r="A38" s="531" t="s">
        <v>411</v>
      </c>
      <c r="B38" s="408">
        <v>6.3652987875000004</v>
      </c>
      <c r="C38" s="408">
        <v>5.8137978624999995</v>
      </c>
      <c r="D38" s="391">
        <f t="shared" si="0"/>
        <v>9.4860698297970947E-2</v>
      </c>
      <c r="E38" s="138"/>
      <c r="F38" s="138"/>
      <c r="G38" s="138"/>
      <c r="H38" s="138"/>
      <c r="I38" s="138"/>
      <c r="J38" s="138"/>
      <c r="K38" s="338"/>
      <c r="L38" s="336" t="s">
        <v>240</v>
      </c>
      <c r="M38" s="334">
        <v>9.6607348450000003</v>
      </c>
      <c r="N38" s="334">
        <v>8.9337758550000004</v>
      </c>
    </row>
    <row r="39" spans="1:14" ht="10.5" customHeight="1">
      <c r="A39" s="710" t="s">
        <v>457</v>
      </c>
      <c r="B39" s="409">
        <v>5.3014140625000001</v>
      </c>
      <c r="C39" s="409"/>
      <c r="D39" s="393" t="str">
        <f t="shared" si="0"/>
        <v/>
      </c>
      <c r="E39" s="138"/>
      <c r="F39" s="138"/>
      <c r="G39" s="138"/>
      <c r="H39" s="138"/>
      <c r="I39" s="138"/>
      <c r="J39" s="138"/>
      <c r="K39" s="339"/>
      <c r="L39" s="334" t="s">
        <v>103</v>
      </c>
      <c r="M39" s="334">
        <v>11.9571460075</v>
      </c>
      <c r="N39" s="334">
        <v>12.708361</v>
      </c>
    </row>
    <row r="40" spans="1:14" ht="10.5" customHeight="1">
      <c r="A40" s="531" t="s">
        <v>107</v>
      </c>
      <c r="B40" s="408">
        <v>4.8034851375000001</v>
      </c>
      <c r="C40" s="408">
        <v>4.50676875</v>
      </c>
      <c r="D40" s="391">
        <f t="shared" si="0"/>
        <v>6.5837943759595063E-2</v>
      </c>
      <c r="E40" s="138"/>
      <c r="F40" s="138"/>
      <c r="G40" s="138"/>
      <c r="H40" s="138"/>
      <c r="I40" s="138"/>
      <c r="J40" s="138"/>
      <c r="K40" s="339"/>
      <c r="L40" s="336" t="s">
        <v>402</v>
      </c>
      <c r="M40" s="334">
        <v>12.573862310000001</v>
      </c>
      <c r="N40" s="334">
        <v>13.135703545</v>
      </c>
    </row>
    <row r="41" spans="1:14" ht="10.5" customHeight="1">
      <c r="A41" s="396" t="s">
        <v>110</v>
      </c>
      <c r="B41" s="409">
        <v>4.0067429624999997</v>
      </c>
      <c r="C41" s="409">
        <v>4.1884682300000007</v>
      </c>
      <c r="D41" s="393">
        <f t="shared" si="0"/>
        <v>-4.338704689184214E-2</v>
      </c>
      <c r="E41" s="138"/>
      <c r="F41" s="138"/>
      <c r="G41" s="138"/>
      <c r="H41" s="138"/>
      <c r="I41" s="138"/>
      <c r="J41" s="138"/>
      <c r="K41" s="339"/>
      <c r="L41" s="334" t="s">
        <v>108</v>
      </c>
      <c r="M41" s="334">
        <v>13.915104755</v>
      </c>
      <c r="N41" s="334">
        <v>14.3367640525</v>
      </c>
    </row>
    <row r="42" spans="1:14" ht="10.5" customHeight="1">
      <c r="A42" s="397" t="s">
        <v>458</v>
      </c>
      <c r="B42" s="408">
        <v>3.7201884400000003</v>
      </c>
      <c r="C42" s="408"/>
      <c r="D42" s="391" t="str">
        <f t="shared" si="0"/>
        <v/>
      </c>
      <c r="E42" s="138"/>
      <c r="F42" s="138"/>
      <c r="G42" s="138"/>
      <c r="H42" s="138"/>
      <c r="I42" s="138"/>
      <c r="J42" s="138"/>
      <c r="L42" s="336" t="s">
        <v>242</v>
      </c>
      <c r="M42" s="334">
        <v>16.305897107500002</v>
      </c>
      <c r="N42" s="334">
        <v>12.7523673325</v>
      </c>
    </row>
    <row r="43" spans="1:14" ht="10.5" customHeight="1">
      <c r="A43" s="396" t="s">
        <v>111</v>
      </c>
      <c r="B43" s="409">
        <v>3.6287672</v>
      </c>
      <c r="C43" s="409">
        <v>3.7582447000000001</v>
      </c>
      <c r="D43" s="393">
        <f t="shared" si="0"/>
        <v>-3.4451588530145516E-2</v>
      </c>
      <c r="E43" s="138"/>
      <c r="F43" s="138"/>
      <c r="G43" s="138"/>
      <c r="H43" s="138"/>
      <c r="I43" s="138"/>
      <c r="J43" s="138"/>
      <c r="L43" s="336" t="s">
        <v>113</v>
      </c>
      <c r="M43" s="334">
        <v>16.746445769999998</v>
      </c>
      <c r="N43" s="334">
        <v>17.138652790000002</v>
      </c>
    </row>
    <row r="44" spans="1:14" ht="10.5" customHeight="1">
      <c r="A44" s="397" t="s">
        <v>112</v>
      </c>
      <c r="B44" s="408">
        <v>3.5915539450000002</v>
      </c>
      <c r="C44" s="408">
        <v>3.8388382475</v>
      </c>
      <c r="D44" s="391">
        <f t="shared" si="0"/>
        <v>-6.4416442308044886E-2</v>
      </c>
      <c r="E44" s="138"/>
      <c r="F44" s="138"/>
      <c r="G44" s="138"/>
      <c r="H44" s="138"/>
      <c r="I44" s="138"/>
      <c r="J44" s="138"/>
      <c r="L44" s="337" t="s">
        <v>238</v>
      </c>
      <c r="M44" s="334">
        <v>34.007734370000001</v>
      </c>
      <c r="N44" s="334">
        <v>36.409530399999994</v>
      </c>
    </row>
    <row r="45" spans="1:14" ht="10.5" customHeight="1">
      <c r="A45" s="396" t="s">
        <v>109</v>
      </c>
      <c r="B45" s="409">
        <v>3.5906862624999998</v>
      </c>
      <c r="C45" s="409">
        <v>4.0365993849999997</v>
      </c>
      <c r="D45" s="393">
        <f t="shared" si="0"/>
        <v>-0.11046751980318203</v>
      </c>
      <c r="E45" s="138"/>
      <c r="F45" s="138"/>
      <c r="G45" s="138"/>
      <c r="H45" s="138"/>
      <c r="I45" s="138"/>
      <c r="J45" s="138"/>
      <c r="L45" s="336" t="s">
        <v>93</v>
      </c>
      <c r="M45" s="334">
        <v>36.570941370000007</v>
      </c>
      <c r="N45" s="334">
        <v>35.801218002499994</v>
      </c>
    </row>
    <row r="46" spans="1:14" ht="10.5" customHeight="1">
      <c r="A46" s="397" t="s">
        <v>114</v>
      </c>
      <c r="B46" s="408">
        <v>3.5786686324999994</v>
      </c>
      <c r="C46" s="408">
        <v>3.5328714625000002</v>
      </c>
      <c r="D46" s="391">
        <f t="shared" si="0"/>
        <v>1.2963157727677865E-2</v>
      </c>
      <c r="E46" s="138"/>
      <c r="F46" s="138"/>
      <c r="G46" s="138"/>
      <c r="H46" s="138"/>
      <c r="I46" s="138"/>
      <c r="J46" s="138"/>
      <c r="L46" s="336" t="s">
        <v>430</v>
      </c>
      <c r="M46" s="334">
        <v>42.381535490000005</v>
      </c>
      <c r="N46" s="334">
        <v>41.937084462499996</v>
      </c>
    </row>
    <row r="47" spans="1:14" ht="10.5" customHeight="1">
      <c r="A47" s="396" t="s">
        <v>421</v>
      </c>
      <c r="B47" s="409">
        <v>3.4367368574999997</v>
      </c>
      <c r="C47" s="409">
        <v>4.0632739625000003</v>
      </c>
      <c r="D47" s="393">
        <f t="shared" si="0"/>
        <v>-0.15419514184431526</v>
      </c>
      <c r="E47" s="138"/>
      <c r="F47" s="138"/>
      <c r="G47" s="138"/>
      <c r="H47" s="138"/>
      <c r="I47" s="138"/>
      <c r="J47" s="138"/>
      <c r="L47" s="336" t="s">
        <v>97</v>
      </c>
      <c r="M47" s="334">
        <v>46.890830907499996</v>
      </c>
      <c r="N47" s="334">
        <v>29.048625247499999</v>
      </c>
    </row>
    <row r="48" spans="1:14" ht="10.5" customHeight="1">
      <c r="A48" s="397" t="s">
        <v>104</v>
      </c>
      <c r="B48" s="408">
        <v>3.0620111399999996</v>
      </c>
      <c r="C48" s="408">
        <v>1.7651799674999999</v>
      </c>
      <c r="D48" s="391">
        <f t="shared" si="0"/>
        <v>0.73467362896525712</v>
      </c>
      <c r="E48" s="138"/>
      <c r="F48" s="138"/>
      <c r="G48" s="138"/>
      <c r="H48" s="138"/>
      <c r="I48" s="138"/>
      <c r="J48" s="138"/>
      <c r="L48" s="334" t="s">
        <v>237</v>
      </c>
      <c r="M48" s="334">
        <v>47.670724145000001</v>
      </c>
      <c r="N48" s="334">
        <v>57.021234637499994</v>
      </c>
    </row>
    <row r="49" spans="1:14" ht="10.5" customHeight="1">
      <c r="A49" s="396" t="s">
        <v>119</v>
      </c>
      <c r="B49" s="409">
        <v>2.9584451874999997</v>
      </c>
      <c r="C49" s="409">
        <v>0.19201126500000001</v>
      </c>
      <c r="D49" s="393">
        <f t="shared" si="0"/>
        <v>14.407664688319196</v>
      </c>
      <c r="E49" s="138"/>
      <c r="F49" s="138"/>
      <c r="G49" s="138"/>
      <c r="H49" s="138"/>
      <c r="I49" s="138"/>
      <c r="J49" s="138"/>
      <c r="L49" s="333" t="s">
        <v>99</v>
      </c>
      <c r="M49" s="334">
        <v>51.661423617499999</v>
      </c>
      <c r="N49" s="334">
        <v>36.6271814925</v>
      </c>
    </row>
    <row r="50" spans="1:14" ht="10.5" customHeight="1">
      <c r="A50" s="397" t="s">
        <v>121</v>
      </c>
      <c r="B50" s="408">
        <v>2.8558608800000003</v>
      </c>
      <c r="C50" s="408">
        <v>3.1655908350000002</v>
      </c>
      <c r="D50" s="391">
        <f t="shared" si="0"/>
        <v>-9.7842700192174337E-2</v>
      </c>
      <c r="E50" s="138"/>
      <c r="F50" s="138"/>
      <c r="G50" s="138"/>
      <c r="H50" s="138"/>
      <c r="I50" s="138"/>
      <c r="J50" s="138"/>
      <c r="L50" s="336" t="s">
        <v>94</v>
      </c>
      <c r="M50" s="334">
        <v>53.314424057499998</v>
      </c>
      <c r="N50" s="334">
        <v>53.394310132499996</v>
      </c>
    </row>
    <row r="51" spans="1:14" ht="17.25" customHeight="1">
      <c r="A51" s="710" t="s">
        <v>486</v>
      </c>
      <c r="B51" s="409">
        <v>2.57698939</v>
      </c>
      <c r="C51" s="409"/>
      <c r="D51" s="393" t="str">
        <f t="shared" si="0"/>
        <v/>
      </c>
      <c r="E51" s="138"/>
      <c r="F51" s="138"/>
      <c r="G51" s="138"/>
      <c r="H51" s="138"/>
      <c r="I51" s="138"/>
      <c r="J51" s="138"/>
      <c r="L51" s="336" t="s">
        <v>95</v>
      </c>
      <c r="M51" s="334">
        <v>64.829372942500001</v>
      </c>
      <c r="N51" s="334">
        <v>42.667805567499997</v>
      </c>
    </row>
    <row r="52" spans="1:14" ht="10.5" customHeight="1">
      <c r="A52" s="397" t="s">
        <v>116</v>
      </c>
      <c r="B52" s="408">
        <v>2.2038000000000002</v>
      </c>
      <c r="C52" s="408">
        <v>2.3971</v>
      </c>
      <c r="D52" s="391">
        <f t="shared" si="0"/>
        <v>-8.0639105585916249E-2</v>
      </c>
      <c r="E52" s="138"/>
      <c r="F52" s="138"/>
      <c r="G52" s="138"/>
      <c r="H52" s="138"/>
      <c r="I52" s="138"/>
      <c r="J52" s="138"/>
      <c r="L52" s="336" t="s">
        <v>96</v>
      </c>
      <c r="M52" s="334">
        <v>65.984291870000007</v>
      </c>
      <c r="N52" s="334">
        <v>61.765361412500006</v>
      </c>
    </row>
    <row r="53" spans="1:14" ht="10.5" customHeight="1">
      <c r="A53" s="396" t="s">
        <v>115</v>
      </c>
      <c r="B53" s="409">
        <v>1.0697090149999999</v>
      </c>
      <c r="C53" s="409">
        <v>1.545330855</v>
      </c>
      <c r="D53" s="393">
        <f t="shared" si="0"/>
        <v>-0.30777994140290432</v>
      </c>
      <c r="E53" s="138"/>
      <c r="F53" s="138"/>
      <c r="G53" s="138"/>
      <c r="H53" s="138"/>
      <c r="I53" s="138"/>
      <c r="J53" s="138"/>
      <c r="L53" s="336" t="s">
        <v>91</v>
      </c>
      <c r="M53" s="334">
        <v>72.097472882500014</v>
      </c>
      <c r="N53" s="334">
        <v>72.924134990000013</v>
      </c>
    </row>
    <row r="54" spans="1:14" ht="10.5" customHeight="1">
      <c r="A54" s="397" t="s">
        <v>120</v>
      </c>
      <c r="B54" s="408">
        <v>0.89403482749999996</v>
      </c>
      <c r="C54" s="408">
        <v>1.3368656249999997</v>
      </c>
      <c r="D54" s="391">
        <f t="shared" si="0"/>
        <v>-0.33124555618669593</v>
      </c>
      <c r="E54" s="138"/>
      <c r="F54" s="138"/>
      <c r="G54" s="138"/>
      <c r="H54" s="138"/>
      <c r="I54" s="138"/>
      <c r="J54" s="138"/>
      <c r="L54" s="336" t="s">
        <v>92</v>
      </c>
      <c r="M54" s="334">
        <v>81.919972682500017</v>
      </c>
      <c r="N54" s="334">
        <v>79.580963799999992</v>
      </c>
    </row>
    <row r="55" spans="1:14" ht="10.5" customHeight="1">
      <c r="A55" s="396" t="s">
        <v>431</v>
      </c>
      <c r="B55" s="409">
        <v>0.66802700000000004</v>
      </c>
      <c r="C55" s="409">
        <v>4.9461066874999995</v>
      </c>
      <c r="D55" s="393">
        <f t="shared" si="0"/>
        <v>-0.86493882113617471</v>
      </c>
      <c r="E55" s="138"/>
      <c r="F55" s="138"/>
      <c r="G55" s="138"/>
      <c r="H55" s="138"/>
      <c r="I55" s="138"/>
      <c r="J55" s="138"/>
      <c r="L55" s="336" t="s">
        <v>241</v>
      </c>
      <c r="M55" s="334">
        <v>93.302446917499978</v>
      </c>
      <c r="N55" s="334">
        <v>78.873926885000003</v>
      </c>
    </row>
    <row r="56" spans="1:14" ht="10.5" customHeight="1">
      <c r="A56" s="531" t="s">
        <v>117</v>
      </c>
      <c r="B56" s="408">
        <v>0.45887865249999998</v>
      </c>
      <c r="C56" s="408">
        <v>0.83206050000000009</v>
      </c>
      <c r="D56" s="391">
        <f t="shared" si="0"/>
        <v>-0.44850326088066916</v>
      </c>
      <c r="E56" s="138"/>
      <c r="F56" s="138"/>
      <c r="G56" s="138"/>
      <c r="H56" s="138"/>
      <c r="I56" s="138"/>
      <c r="J56" s="138"/>
      <c r="L56" s="334" t="s">
        <v>98</v>
      </c>
      <c r="M56" s="334">
        <v>104.11727305000001</v>
      </c>
      <c r="N56" s="334">
        <v>82.90306404750001</v>
      </c>
    </row>
    <row r="57" spans="1:14" ht="10.5" customHeight="1">
      <c r="A57" s="396" t="s">
        <v>453</v>
      </c>
      <c r="B57" s="409">
        <v>0.21867149</v>
      </c>
      <c r="C57" s="409">
        <v>0.21328192000000001</v>
      </c>
      <c r="D57" s="393">
        <f t="shared" si="0"/>
        <v>2.5269699372548748E-2</v>
      </c>
      <c r="E57" s="138"/>
      <c r="F57" s="138"/>
      <c r="G57" s="138"/>
      <c r="H57" s="138"/>
      <c r="I57" s="138"/>
      <c r="J57" s="138"/>
      <c r="L57" s="336" t="s">
        <v>100</v>
      </c>
      <c r="M57" s="334">
        <v>121.054930625</v>
      </c>
      <c r="N57" s="334">
        <v>171.05855868250001</v>
      </c>
    </row>
    <row r="58" spans="1:14" ht="10.5" customHeight="1">
      <c r="A58" s="397" t="s">
        <v>412</v>
      </c>
      <c r="B58" s="408">
        <v>0.17169524999999999</v>
      </c>
      <c r="C58" s="408">
        <v>0.24111125</v>
      </c>
      <c r="D58" s="391">
        <f>IF(C58=0,"",B58/C58-1)</f>
        <v>-0.28790029498830938</v>
      </c>
      <c r="E58" s="138"/>
      <c r="F58" s="138"/>
      <c r="G58" s="138"/>
      <c r="H58" s="138"/>
      <c r="I58" s="138"/>
      <c r="J58" s="138"/>
      <c r="L58" s="336" t="s">
        <v>90</v>
      </c>
      <c r="M58" s="334">
        <v>138.56193073</v>
      </c>
      <c r="N58" s="334">
        <v>143.08877737</v>
      </c>
    </row>
    <row r="59" spans="1:14" ht="10.5" customHeight="1">
      <c r="A59" s="396" t="s">
        <v>243</v>
      </c>
      <c r="B59" s="409">
        <v>2.5748629999999998E-2</v>
      </c>
      <c r="C59" s="409">
        <v>1.6934170000000002E-2</v>
      </c>
      <c r="D59" s="393">
        <f t="shared" si="0"/>
        <v>0.52051325810476667</v>
      </c>
      <c r="E59" s="138"/>
      <c r="F59" s="138"/>
      <c r="G59" s="138"/>
      <c r="H59" s="138"/>
      <c r="I59" s="138"/>
      <c r="J59" s="138"/>
      <c r="L59" s="334" t="s">
        <v>239</v>
      </c>
      <c r="M59" s="334">
        <v>333.04459592750004</v>
      </c>
      <c r="N59" s="334">
        <v>402.44336240750005</v>
      </c>
    </row>
    <row r="60" spans="1:14" ht="10.5" customHeight="1">
      <c r="A60" s="397" t="s">
        <v>118</v>
      </c>
      <c r="B60" s="410">
        <v>3.9228700000000002E-3</v>
      </c>
      <c r="C60" s="410">
        <v>7.8759699999999995E-3</v>
      </c>
      <c r="D60" s="398">
        <f t="shared" si="0"/>
        <v>-0.50191912869144995</v>
      </c>
      <c r="E60" s="138"/>
      <c r="F60" s="138"/>
      <c r="G60" s="138"/>
      <c r="H60" s="138"/>
      <c r="I60" s="138"/>
      <c r="J60" s="138"/>
      <c r="L60" s="336" t="s">
        <v>89</v>
      </c>
      <c r="M60" s="334">
        <v>588.76578888000006</v>
      </c>
      <c r="N60" s="334">
        <v>600.33277224000005</v>
      </c>
    </row>
    <row r="61" spans="1:14" ht="10.5" customHeight="1">
      <c r="A61" s="399" t="s">
        <v>236</v>
      </c>
      <c r="B61" s="409">
        <v>0</v>
      </c>
      <c r="C61" s="409">
        <v>0</v>
      </c>
      <c r="D61" s="393" t="str">
        <f t="shared" si="0"/>
        <v/>
      </c>
      <c r="E61" s="138"/>
      <c r="F61" s="138"/>
      <c r="G61" s="138"/>
      <c r="H61" s="138"/>
      <c r="I61" s="138"/>
      <c r="J61" s="138"/>
      <c r="L61" s="336" t="s">
        <v>88</v>
      </c>
      <c r="M61" s="334">
        <v>605.72270431749985</v>
      </c>
      <c r="N61" s="334">
        <v>606.7057839675</v>
      </c>
    </row>
    <row r="62" spans="1:14" s="730" customFormat="1" ht="10.5" customHeight="1">
      <c r="A62" s="397" t="s">
        <v>244</v>
      </c>
      <c r="B62" s="410">
        <v>0</v>
      </c>
      <c r="C62" s="410">
        <v>0.38849396000000003</v>
      </c>
      <c r="D62" s="398">
        <f t="shared" si="0"/>
        <v>-1</v>
      </c>
      <c r="E62" s="138"/>
      <c r="F62" s="138"/>
      <c r="G62" s="138"/>
      <c r="H62" s="138"/>
      <c r="I62" s="138"/>
      <c r="J62" s="138"/>
      <c r="L62" s="336" t="s">
        <v>87</v>
      </c>
      <c r="M62" s="334">
        <v>620.89654207499996</v>
      </c>
      <c r="N62" s="334">
        <v>622.05245792749997</v>
      </c>
    </row>
    <row r="63" spans="1:14" s="730" customFormat="1" ht="10.5" customHeight="1">
      <c r="A63" s="399" t="s">
        <v>102</v>
      </c>
      <c r="B63" s="409">
        <v>0</v>
      </c>
      <c r="C63" s="409">
        <v>20.704023852499997</v>
      </c>
      <c r="D63" s="393">
        <f t="shared" si="0"/>
        <v>-1</v>
      </c>
      <c r="E63" s="138"/>
      <c r="F63" s="138"/>
      <c r="G63" s="138"/>
      <c r="H63" s="138"/>
      <c r="I63" s="138"/>
      <c r="J63" s="138"/>
      <c r="L63" s="336" t="s">
        <v>410</v>
      </c>
      <c r="M63" s="334">
        <v>885.84073562749995</v>
      </c>
      <c r="N63" s="334">
        <v>871.71165604500004</v>
      </c>
    </row>
    <row r="64" spans="1:14" s="730" customFormat="1" ht="10.5" customHeight="1">
      <c r="A64" s="836" t="s">
        <v>105</v>
      </c>
      <c r="B64" s="837">
        <v>0</v>
      </c>
      <c r="C64" s="837">
        <v>72.701413129999992</v>
      </c>
      <c r="D64" s="838">
        <f t="shared" si="0"/>
        <v>-1</v>
      </c>
      <c r="E64" s="138"/>
      <c r="F64" s="138"/>
      <c r="G64" s="138"/>
      <c r="H64" s="138"/>
      <c r="I64" s="138"/>
      <c r="J64" s="138"/>
      <c r="L64" s="336"/>
      <c r="M64" s="334"/>
      <c r="N64" s="334"/>
    </row>
    <row r="65" spans="1:14" ht="10.5" customHeight="1">
      <c r="A65" s="740" t="s">
        <v>42</v>
      </c>
      <c r="B65" s="741">
        <f>+SUM(B6:B64)</f>
        <v>4279.3529712049994</v>
      </c>
      <c r="C65" s="741">
        <f>+SUM(C6:C64)</f>
        <v>4401.5973424275007</v>
      </c>
      <c r="D65" s="364">
        <f>IF(C65=0,"",B65/C65-1)</f>
        <v>-2.7772729241762661E-2</v>
      </c>
      <c r="E65" s="138"/>
      <c r="F65" s="138"/>
      <c r="G65" s="138"/>
      <c r="H65" s="138"/>
      <c r="I65" s="138"/>
      <c r="J65" s="138"/>
      <c r="L65" s="336"/>
      <c r="M65" s="334"/>
      <c r="N65" s="334"/>
    </row>
    <row r="66" spans="1:14" ht="40.5" customHeight="1">
      <c r="A66" s="940" t="str">
        <f>"Cuadro N° 6: Participación de las empresas generadoras del COES en la producción de energía eléctrica (GWh) en "&amp;'1. Resumen'!Q4</f>
        <v>Cuadro N° 6: Participación de las empresas generadoras del COES en la producción de energía eléctrica (GWh) en agosto</v>
      </c>
      <c r="B66" s="940"/>
      <c r="C66" s="940"/>
      <c r="D66" s="529"/>
      <c r="E66" s="939" t="str">
        <f>"Gráfico N° 10: Comparación de producción energética (GWh) de las empresas generadoras del COES en "&amp;'1. Resumen'!Q4</f>
        <v>Gráfico N° 10: Comparación de producción energética (GWh) de las empresas generadoras del COES en agosto</v>
      </c>
      <c r="F66" s="939"/>
      <c r="G66" s="939"/>
      <c r="H66" s="939"/>
      <c r="I66" s="939"/>
      <c r="J66" s="939"/>
    </row>
    <row r="67" spans="1:14" ht="24" customHeight="1">
      <c r="A67" s="942"/>
      <c r="B67" s="942"/>
      <c r="C67" s="942"/>
      <c r="D67" s="942"/>
      <c r="E67" s="942"/>
      <c r="F67" s="942"/>
      <c r="G67" s="942"/>
      <c r="H67" s="942"/>
      <c r="I67" s="942"/>
      <c r="J67" s="942"/>
    </row>
    <row r="68" spans="1:14" ht="12.75" customHeight="1">
      <c r="A68" s="941"/>
      <c r="B68" s="941"/>
      <c r="C68" s="941"/>
      <c r="D68" s="941"/>
      <c r="E68" s="941"/>
      <c r="F68" s="941"/>
      <c r="G68" s="941"/>
      <c r="H68" s="941"/>
      <c r="I68" s="941"/>
      <c r="J68" s="941"/>
    </row>
    <row r="69" spans="1:14" ht="12.75" customHeight="1">
      <c r="A69" s="738"/>
      <c r="B69" s="738"/>
      <c r="C69" s="738"/>
      <c r="D69" s="738"/>
      <c r="E69" s="738"/>
      <c r="F69" s="738"/>
      <c r="G69" s="738"/>
      <c r="H69" s="738"/>
      <c r="I69" s="738"/>
      <c r="J69" s="738"/>
    </row>
    <row r="70" spans="1:14">
      <c r="A70" s="941"/>
      <c r="B70" s="941"/>
      <c r="C70" s="941"/>
      <c r="D70" s="941"/>
      <c r="E70" s="941"/>
      <c r="F70" s="941"/>
      <c r="G70" s="941"/>
      <c r="H70" s="941"/>
      <c r="I70" s="941"/>
      <c r="J70" s="941"/>
    </row>
    <row r="71" spans="1:14">
      <c r="A71" s="933"/>
      <c r="B71" s="933"/>
      <c r="C71" s="933"/>
      <c r="D71" s="933"/>
      <c r="E71" s="933"/>
      <c r="F71" s="933"/>
      <c r="G71" s="933"/>
      <c r="H71" s="933"/>
      <c r="I71" s="933"/>
      <c r="J71" s="933"/>
    </row>
    <row r="72" spans="1:14">
      <c r="A72" s="934"/>
      <c r="B72" s="934"/>
      <c r="C72" s="934"/>
      <c r="D72" s="934"/>
      <c r="E72" s="934"/>
      <c r="F72" s="934"/>
      <c r="G72" s="934"/>
      <c r="H72" s="934"/>
      <c r="I72" s="934"/>
      <c r="J72" s="934"/>
    </row>
    <row r="73" spans="1:14">
      <c r="A73" s="933"/>
      <c r="B73" s="933"/>
      <c r="C73" s="933"/>
      <c r="D73" s="933"/>
      <c r="E73" s="933"/>
      <c r="F73" s="933"/>
      <c r="G73" s="933"/>
      <c r="H73" s="933"/>
      <c r="I73" s="933"/>
      <c r="J73" s="933"/>
    </row>
    <row r="74" spans="1:14">
      <c r="A74" s="934"/>
      <c r="B74" s="934"/>
      <c r="C74" s="934"/>
      <c r="D74" s="934"/>
      <c r="E74" s="934"/>
      <c r="F74" s="934"/>
      <c r="G74" s="934"/>
      <c r="H74" s="934"/>
      <c r="I74" s="934"/>
      <c r="J74" s="934"/>
    </row>
  </sheetData>
  <mergeCells count="13">
    <mergeCell ref="A71:J71"/>
    <mergeCell ref="A72:J72"/>
    <mergeCell ref="A73:J73"/>
    <mergeCell ref="A74:J74"/>
    <mergeCell ref="A2:I2"/>
    <mergeCell ref="A4:A5"/>
    <mergeCell ref="B4:D4"/>
    <mergeCell ref="G4:I4"/>
    <mergeCell ref="E66:J66"/>
    <mergeCell ref="A66:C66"/>
    <mergeCell ref="A70:J70"/>
    <mergeCell ref="A68:J68"/>
    <mergeCell ref="A67:J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 Agosto 2020
INFSGI-MES-08-2020
14/09/2020
Versión: 01</oddHeader>
    <oddFooter>&amp;L&amp;7COES, 2020&amp;C7&amp;R&amp;7Dirección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3489D51-7B53-4BF7-AE01-6F8C34E196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20</vt:i4>
      </vt:variant>
    </vt:vector>
  </HeadingPairs>
  <TitlesOfParts>
    <vt:vector size="49"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III-2'!Print_Area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2020-09-14T17:03:19Z</cp:lastPrinted>
  <dcterms:created xsi:type="dcterms:W3CDTF">2018-02-13T14:18:17Z</dcterms:created>
  <dcterms:modified xsi:type="dcterms:W3CDTF">2020-09-14T17:04:17Z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