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8.xml" ContentType="application/vnd.openxmlformats-officedocument.drawing+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drawings/drawing10.xml" ContentType="application/vnd.openxmlformats-officedocument.drawing+xml"/>
  <Override PartName="/xl/charts/chart15.xml" ContentType="application/vnd.openxmlformats-officedocument.drawingml.chart+xml"/>
  <Override PartName="/xl/drawings/drawing11.xml" ContentType="application/vnd.openxmlformats-officedocument.drawing+xml"/>
  <Override PartName="/xl/charts/chart16.xml" ContentType="application/vnd.openxmlformats-officedocument.drawingml.chart+xml"/>
  <Override PartName="/xl/drawings/drawing12.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3.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style4.xml" ContentType="application/vnd.ms-office.chartstyle+xml"/>
  <Override PartName="/xl/charts/colors4.xml" ContentType="application/vnd.ms-office.chartcolorstyle+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xml"/>
  <Override PartName="/xl/charts/chart2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9.xml" ContentType="application/vnd.openxmlformats-officedocument.drawingml.chartshapes+xml"/>
  <Override PartName="/xl/charts/chart28.xml" ContentType="application/vnd.openxmlformats-officedocument.drawingml.chart+xml"/>
  <Override PartName="/xl/charts/chart2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0.xml" ContentType="application/vnd.openxmlformats-officedocument.drawingml.chartshapes+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E23E83C7-D008-451B-B247-44E3CD525A42}" xr6:coauthVersionLast="45" xr6:coauthVersionMax="45" xr10:uidLastSave="{00000000-0000-0000-0000-000000000000}"/>
  <bookViews>
    <workbookView xWindow="-120" yWindow="-120" windowWidth="20730" windowHeight="1116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RER'!$T$52:$V$54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generación'!$A$1:$J$57</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III-2'!$A$1:$F$10</definedName>
    <definedName name="_xlnm.Print_Area" localSheetId="6">'5. RER'!$A$1:$K$61</definedName>
    <definedName name="_xlnm.Print_Area" localSheetId="7">'6. FP RER'!$A$1:$K$64</definedName>
    <definedName name="_xlnm.Print_Area" localSheetId="8">'7.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9" i="46" l="1"/>
  <c r="F43" i="45" l="1"/>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E12" i="21" l="1"/>
  <c r="F12" i="21"/>
  <c r="G12" i="21"/>
  <c r="H7" i="21"/>
  <c r="C13" i="22" l="1"/>
  <c r="D13" i="22"/>
  <c r="E13" i="22"/>
  <c r="F13" i="22"/>
  <c r="G13" i="22"/>
  <c r="H13" i="22"/>
  <c r="B13" i="22"/>
  <c r="I13" i="22"/>
  <c r="J13" i="22"/>
  <c r="I9" i="22"/>
  <c r="I10" i="22"/>
  <c r="I11" i="22"/>
  <c r="I12" i="22"/>
  <c r="E42" i="6" l="1"/>
  <c r="H9" i="21" l="1"/>
  <c r="H8" i="21"/>
  <c r="G11" i="21"/>
  <c r="B16" i="7" l="1"/>
  <c r="C16" i="7"/>
  <c r="D16" i="7"/>
  <c r="E16" i="7"/>
  <c r="F10" i="46" l="1"/>
  <c r="F9" i="46"/>
  <c r="E5" i="36"/>
  <c r="E4" i="36"/>
  <c r="F42" i="38"/>
  <c r="G42" i="38"/>
  <c r="C66" i="13" l="1"/>
  <c r="C65" i="11"/>
  <c r="B65" i="11"/>
  <c r="B66" i="13"/>
  <c r="D64" i="11"/>
  <c r="G12" i="7" l="1"/>
  <c r="D12" i="7"/>
  <c r="F46" i="46" l="1"/>
  <c r="D6" i="11"/>
  <c r="E2" i="46" l="1"/>
  <c r="D2" i="46"/>
  <c r="C2" i="46"/>
  <c r="E2" i="45"/>
  <c r="D2" i="45"/>
  <c r="C2" i="45"/>
  <c r="D58" i="11" l="1"/>
  <c r="D34" i="11"/>
  <c r="C47" i="46" l="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D63" i="11" l="1"/>
  <c r="J16" i="7" l="1"/>
  <c r="H16" i="7"/>
  <c r="G16" i="7"/>
  <c r="D39" i="6" l="1"/>
  <c r="D12" i="21" l="1"/>
  <c r="H12"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I8" i="22" l="1"/>
  <c r="E4" i="45" l="1"/>
  <c r="E4" i="46" s="1"/>
  <c r="B14" i="12" l="1"/>
  <c r="F14" i="8"/>
  <c r="A64" i="10" l="1"/>
  <c r="A43" i="10"/>
  <c r="N14" i="18" l="1"/>
  <c r="J11" i="9" l="1"/>
  <c r="H11" i="9"/>
  <c r="G11" i="9"/>
  <c r="D6" i="16" l="1"/>
  <c r="C28" i="14" l="1"/>
  <c r="A38"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4"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4" i="22" l="1"/>
  <c r="B58" i="18"/>
  <c r="B40" i="18"/>
  <c r="B21" i="18"/>
  <c r="A58" i="12"/>
  <c r="F67" i="13"/>
  <c r="B18" i="12" l="1"/>
  <c r="B20" i="12" s="1"/>
  <c r="C18" i="12"/>
  <c r="D18" i="12"/>
  <c r="D20" i="12" s="1"/>
  <c r="E18" i="12"/>
  <c r="E20" i="12" s="1"/>
  <c r="G18" i="12"/>
  <c r="G20" i="12" s="1"/>
  <c r="H18" i="12"/>
  <c r="H20" i="12" s="1"/>
  <c r="J18" i="12"/>
  <c r="J20" i="12" s="1"/>
  <c r="F39" i="6" l="1"/>
  <c r="F41" i="6"/>
  <c r="F11" i="14" l="1"/>
  <c r="F40" i="6" l="1"/>
  <c r="F38" i="6"/>
  <c r="A58" i="7" l="1"/>
  <c r="E37" i="6"/>
  <c r="E66" i="11" l="1"/>
  <c r="C45" i="10"/>
  <c r="D3" i="36" l="1"/>
  <c r="C3" i="36"/>
  <c r="F2" i="37"/>
  <c r="F3" i="23"/>
  <c r="C2" i="23"/>
  <c r="C1" i="37" s="1"/>
  <c r="C1" i="38" s="1"/>
  <c r="E17" i="22"/>
  <c r="A17" i="22"/>
  <c r="A14" i="22"/>
  <c r="A13" i="21"/>
  <c r="F6" i="21"/>
  <c r="E6" i="21"/>
  <c r="D6" i="21"/>
  <c r="B47" i="18"/>
  <c r="B28" i="18"/>
  <c r="B10" i="18"/>
  <c r="C31" i="16"/>
  <c r="E6" i="16"/>
  <c r="A67" i="13"/>
  <c r="B3" i="13"/>
  <c r="B5" i="11"/>
  <c r="C5" i="11" s="1"/>
  <c r="B4" i="11"/>
  <c r="G6" i="7"/>
  <c r="G4" i="8" s="1"/>
  <c r="G4" i="9" s="1"/>
  <c r="D7" i="7"/>
  <c r="E7" i="7" s="1"/>
  <c r="A57" i="6"/>
  <c r="B43"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37" i="6"/>
  <c r="D42" i="6"/>
  <c r="C5" i="9" l="1"/>
  <c r="F39" i="9"/>
  <c r="F42"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<sst xmlns="http://schemas.openxmlformats.org/spreadsheetml/2006/main" count="1522" uniqueCount="692">
  <si>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</si>
  <si>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</si>
  <si>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</si>
  <si>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</si>
  <si>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</si>
  <si>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</si>
  <si>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</si>
  <si>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</si>
  <si>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</si>
  <si>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</si>
  <si>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</si>
  <si>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</si>
  <si>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</si>
  <si>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</si>
  <si>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</si>
  <si>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</si>
  <si>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</si>
  <si>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</si>
  <si>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</si>
  <si>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</si>
  <si>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</si>
  <si>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</si>
  <si>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</si>
  <si>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</si>
  <si>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</si>
  <si>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</si>
  <si>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</si>
  <si>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</si>
  <si>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</si>
  <si>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</si>
  <si>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</si>
  <si>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</si>
  <si>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</si>
  <si>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</si>
  <si>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</si>
  <si>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</si>
  <si>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</si>
  <si>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</si>
  <si>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</si>
  <si>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</si>
  <si>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</si>
  <si>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</si>
  <si>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</si>
  <si>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</si>
  <si>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</si>
  <si>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</si>
  <si>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</si>
  <si>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</si>
  <si>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</si>
  <si>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</si>
  <si>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</si>
  <si>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</si>
  <si>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</si>
  <si>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</si>
  <si>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</si>
  <si>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</si>
  <si>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</si>
  <si>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</si>
  <si>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</si>
  <si>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</si>
  <si>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</si>
  <si>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</si>
  <si>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</si>
  <si>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</si>
  <si>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</si>
  <si>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</si>
  <si>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</si>
  <si>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</si>
  <si>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</si>
  <si>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</si>
  <si>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</si>
  <si>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</si>
  <si>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</si>
  <si>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</si>
  <si>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</si>
  <si>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</si>
  <si>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</si>
  <si>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</si>
  <si>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</si>
  <si>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</si>
  <si>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</si>
  <si>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</si>
  <si>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</si>
  <si>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</si>
  <si>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</si>
  <si>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</si>
  <si>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</si>
  <si>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</si>
  <si>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</si>
  <si>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</si>
  <si>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</si>
  <si>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</si>
  <si>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</si>
  <si>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</si>
  <si>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</si>
  <si>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</si>
  <si>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</si>
  <si>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</si>
  <si>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</si>
  <si>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</si>
  <si>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</si>
  <si>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</si>
  <si>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</si>
  <si>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</si>
  <si>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</si>
  <si>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</si>
  <si>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</si>
  <si>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</si>
  <si>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</si>
  <si>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</si>
  <si>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</si>
  <si>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</si>
  <si>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</si>
  <si>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</si>
  <si>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</si>
  <si>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</si>
  <si>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</si>
  <si>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</si>
  <si>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</si>
  <si>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</si>
  <si>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</si>
  <si>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</si>
  <si>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</si>
  <si>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</si>
  <si>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</si>
  <si>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</si>
  <si>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</si>
  <si>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</si>
  <si>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</si>
  <si>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</si>
  <si>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</si>
  <si>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</si>
  <si>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</si>
  <si>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</si>
  <si>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</si>
  <si>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</si>
  <si>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</si>
  <si>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</si>
  <si>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</si>
  <si>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</si>
  <si>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</si>
  <si>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</si>
  <si>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</si>
  <si>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</si>
  <si>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</si>
  <si>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</si>
  <si>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</si>
  <si>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</si>
  <si>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</si>
  <si>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</si>
  <si>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</si>
  <si>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</si>
  <si>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</si>
  <si>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</si>
  <si>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</si>
  <si>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</si>
  <si>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</si>
  <si>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</si>
  <si>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</si>
  <si>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</si>
  <si>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</si>
  <si>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</si>
  <si>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</si>
  <si>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</si>
  <si>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</si>
  <si>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</si>
  <si>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</si>
  <si>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</si>
  <si>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</si>
  <si>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</si>
  <si>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</si>
  <si>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</si>
  <si>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</si>
  <si>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</si>
  <si>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</si>
  <si>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</si>
  <si>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</si>
  <si>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</si>
  <si>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</si>
  <si>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</si>
  <si>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</si>
  <si>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</si>
  <si>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</si>
  <si>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</si>
  <si>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</si>
  <si>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</si>
  <si>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</si>
  <si>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</si>
  <si>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</si>
  <si>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</si>
  <si>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</si>
  <si>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</si>
  <si>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</si>
  <si>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</si>
  <si>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</si>
  <si>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</si>
  <si>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</si>
  <si>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</si>
  <si>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</si>
  <si>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</si>
  <si>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</si>
  <si>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</si>
  <si>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</si>
  <si>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</si>
  <si>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</si>
  <si>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</si>
  <si>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</si>
  <si>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</si>
  <si>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</si>
  <si>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</si>
  <si>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</si>
  <si>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</si>
  <si>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</si>
  <si>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</si>
  <si>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</si>
  <si>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</si>
  <si>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</si>
  <si>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</si>
  <si>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</si>
  <si>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</si>
  <si>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</si>
  <si>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</si>
  <si>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</si>
  <si>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</si>
  <si>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</si>
  <si>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</si>
  <si>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</si>
  <si>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</si>
  <si>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</si>
  <si>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</si>
  <si>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</si>
  <si>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</si>
  <si>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</si>
  <si>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</si>
  <si>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</si>
  <si>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</si>
  <si>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</si>
  <si>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</si>
  <si>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</si>
  <si>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</si>
  <si>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</si>
  <si>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</si>
  <si>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</si>
  <si>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</si>
  <si>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</si>
  <si>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</si>
  <si>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</si>
  <si>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</si>
  <si>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</si>
  <si>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</si>
  <si>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</si>
  <si>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</si>
  <si>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</si>
  <si>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</si>
  <si>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</si>
  <si>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</si>
  <si>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</si>
  <si>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</si>
  <si>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</si>
  <si>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</si>
  <si>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</si>
  <si>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</si>
  <si>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</si>
  <si>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</si>
  <si>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</si>
  <si>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</si>
  <si>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</si>
  <si>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</si>
  <si>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</si>
  <si>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</si>
  <si>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</si>
  <si>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</si>
  <si>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</si>
  <si>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</si>
  <si>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</si>
  <si>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</si>
  <si>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</si>
  <si>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</si>
  <si>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</si>
  <si>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</si>
  <si>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</si>
  <si>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</si>
  <si>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</si>
  <si>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</si>
  <si>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</si>
  <si>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</si>
  <si>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</si>
  <si>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</si>
  <si>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</si>
  <si>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</si>
  <si>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</si>
  <si>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</si>
  <si>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</si>
  <si>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</si>
  <si>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</si>
  <si>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</si>
  <si>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</si>
  <si>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</si>
  <si>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</si>
  <si>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</si>
  <si>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</si>
  <si>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</si>
  <si>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</si>
  <si>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</si>
  <si>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</si>
  <si>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</si>
  <si>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</si>
  <si>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</si>
  <si>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</si>
  <si>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</si>
  <si>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</si>
  <si>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</si>
  <si>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</si>
  <si>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</si>
  <si>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</si>
  <si>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</si>
  <si>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</si>
  <si>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</si>
  <si>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</si>
  <si>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</si>
  <si>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</si>
  <si>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</si>
  <si>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</si>
  <si>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</si>
  <si>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</si>
  <si>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</si>
  <si>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</si>
  <si>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</si>
  <si>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</si>
  <si>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</si>
  <si>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</si>
  <si>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</si>
  <si>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</si>
  <si>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</si>
  <si>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</si>
  <si>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</si>
  <si>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</si>
  <si>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</si>
  <si>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</si>
  <si>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</si>
  <si>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</si>
  <si>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</si>
  <si>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</si>
  <si>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</si>
  <si>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</si>
  <si>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</si>
  <si>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</si>
  <si>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</si>
  <si>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</si>
  <si>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</si>
  <si>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</si>
  <si>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</si>
  <si>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</si>
  <si>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</si>
  <si>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</si>
  <si>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</si>
  <si>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</si>
  <si>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</si>
  <si>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</si>
  <si>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</si>
  <si>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</si>
  <si>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</si>
  <si>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</si>
  <si>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</si>
  <si>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</si>
  <si>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</si>
  <si>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</si>
  <si>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</si>
  <si>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</si>
  <si>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</si>
  <si>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</si>
  <si>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</si>
  <si>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</si>
  <si>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</si>
  <si>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</si>
  <si>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</si>
  <si>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</si>
  <si>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</si>
  <si>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</si>
  <si>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</si>
  <si>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</si>
  <si>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</si>
  <si>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</si>
  <si>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</si>
  <si>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</si>
  <si>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</si>
  <si>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</si>
  <si>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</si>
  <si>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</si>
  <si>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</si>
  <si>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</si>
  <si>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</si>
  <si>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</si>
  <si>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</si>
  <si>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</si>
  <si>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</si>
  <si>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</si>
  <si>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</si>
  <si>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</si>
  <si>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</si>
  <si>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</si>
  <si>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</si>
  <si>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</si>
  <si>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</si>
  <si>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</si>
  <si>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</si>
  <si>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</si>
  <si>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</si>
  <si>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</si>
  <si>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</si>
  <si>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</si>
  <si>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</si>
  <si>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</si>
  <si>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</si>
  <si>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</si>
  <si>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</si>
  <si>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</si>
  <si>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</si>
  <si>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</si>
  <si>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</si>
  <si>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</si>
  <si>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</si>
  <si>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</si>
  <si>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</si>
  <si>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</si>
  <si>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</si>
  <si>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</si>
  <si>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</si>
  <si>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</si>
  <si>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</si>
  <si>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</si>
  <si>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</si>
  <si>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</si>
  <si>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</si>
  <si>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</si>
  <si>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</si>
  <si>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</si>
  <si>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</si>
  <si>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</si>
  <si>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</si>
  <si>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</si>
  <si>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</si>
  <si>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</si>
  <si>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</si>
  <si>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</si>
  <si>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</si>
  <si>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</si>
  <si>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</si>
  <si>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</si>
  <si>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</si>
  <si>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</si>
  <si>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</si>
  <si>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</si>
  <si>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</si>
  <si>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</si>
  <si>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</si>
  <si>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</si>
  <si>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</si>
  <si>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</si>
  <si>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</si>
  <si>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</si>
  <si>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</si>
  <si>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</si>
  <si>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</si>
  <si>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23:15</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</si>
  <si>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</si>
  <si>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</si>
  <si>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</si>
  <si>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</si>
  <si>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</si>
  <si>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</si>
  <si>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</si>
  <si>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</si>
  <si>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</si>
  <si>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</si>
  <si>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</si>
  <si>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</si>
  <si>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</si>
  <si>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</si>
  <si>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</si>
  <si>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</si>
  <si>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</si>
  <si>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</si>
  <si>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T62-161  T6-261</t>
  </si>
  <si>
    <t>MARCONA</t>
  </si>
  <si>
    <t>19:15</t>
  </si>
  <si>
    <t>HIDRANDINA</t>
  </si>
  <si>
    <t>STATKRAFT S.A</t>
  </si>
  <si>
    <t>19:00</t>
  </si>
  <si>
    <t>12:45</t>
  </si>
  <si>
    <t>12:30</t>
  </si>
  <si>
    <t>13:00</t>
  </si>
  <si>
    <t>INVERSION DE ENERGÍA RENOVABLES</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</si>
  <si>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</si>
  <si>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</si>
  <si>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</si>
  <si>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</si>
  <si>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</si>
  <si>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</si>
  <si>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</si>
  <si>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</si>
  <si>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</si>
  <si>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</si>
  <si>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</si>
  <si>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</si>
  <si>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</si>
  <si>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</si>
  <si>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</si>
  <si>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</si>
  <si>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</si>
  <si>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</si>
  <si>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</si>
  <si>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</si>
  <si>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</si>
  <si>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</si>
  <si>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</si>
  <si>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</si>
  <si>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</si>
  <si>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</si>
  <si>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</si>
  <si>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</si>
  <si>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</si>
  <si>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</si>
  <si>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</si>
  <si>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</si>
  <si>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</si>
  <si>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</si>
  <si>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</si>
  <si>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</si>
  <si>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</si>
  <si>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</si>
  <si>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</si>
  <si>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</si>
  <si>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</si>
  <si>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</si>
  <si>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</si>
  <si>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</si>
  <si>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</si>
  <si>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</si>
  <si>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</si>
  <si>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</si>
  <si>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</si>
  <si>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</si>
  <si>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</si>
  <si>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</si>
  <si>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</si>
  <si>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</si>
  <si>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</si>
  <si>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</si>
  <si>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</si>
  <si>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</si>
  <si>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</si>
  <si>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 Se incluye la generación por pruebas de la C.H. Manta propiedad de PERUANA DE INVERSIÓN EN ENERGÍAS RENOVABLES S.A.</t>
  </si>
  <si>
    <t>12:00</t>
  </si>
  <si>
    <t>12:15</t>
  </si>
  <si>
    <t>L-2003  L-2004</t>
  </si>
  <si>
    <t>SANTA ROSA N. - CHAVARRÍA</t>
  </si>
  <si>
    <t>1.1. Producción de energía eléctrica en junio 2020 en comparación al mismo mes del año anterior</t>
  </si>
  <si>
    <t>junio</t>
  </si>
  <si>
    <t>L. PARAMONGA N. - 09 DE OCTUBRE - LINEA L-6655</t>
  </si>
  <si>
    <t>Desconectó la línea en 66 kV L-6655 (Paramonga - 9 de Octubre) por falla monofásica en la fase "T" ubicada a 54.7 km de la S.E. Paramonga, la causa de la falla fue debido a la caída de conductor entre las torres N° 188 y 189 por deterioro de la ferretería de la línea. Según lo indicado por Hidrandina, titular de la línea, el evento está asociada a la falta de mantenimiento, los cuales se encuentran suspendidos por el Estado de Emergencia Nacional. Como consecuencia se interrumpió el suministro de las SS.EE. Huarmey y Puerto Antamina con un total de 2.43 MW. A las 11:17 h la línea se energizó y a las 11:18 h se recuperaron los suministros interrumpidos.</t>
  </si>
  <si>
    <t>2,43</t>
  </si>
  <si>
    <t>COMPAÑIA MINERA ANTAPACCAY S.A.</t>
  </si>
  <si>
    <t>S.E. TINTAYA - SVC SVC-XSTRATA</t>
  </si>
  <si>
    <t>Desconectó el SVC-XTR de la S.E. Tintaya con 14.97 MVar propiedad de la Compañía Minera Antapaccay por falla en el sistema de refrigeración. Se interrumpió 0.1 MW al Campamento minero. A las 05:25 h, se conectó el SVC.</t>
  </si>
  <si>
    <t>0,1</t>
  </si>
  <si>
    <t>ACEROS AREQUIPA</t>
  </si>
  <si>
    <t>L. INDEPENDENCIA - ACEROS AREQUIPA - LINEA L-2217</t>
  </si>
  <si>
    <t>Se produjo la desconexión de la línea L-2217 (Independencia - Aceros Arequipa) de 220 kV por falla cuya causa no fue informada por Aceros Arequipa, titular de la línea. Como consecuencia se interrumpieron los suministros de los usuarios libres Aceros Arequipa y Praxair con un total de 10 MW.La línea quedó indisponible para su inspecciòn. A las 12:14 h, el CC-AAC declaró disponible la línea y se conectó con lo cual se inició el restablecimiento del suministro interrumpido.</t>
  </si>
  <si>
    <t>RED DE ENERGIA DEL PERU S.A.</t>
  </si>
  <si>
    <t>S.E. HUACHO - CELDA CL-10kV</t>
  </si>
  <si>
    <t>Desconexión de la barra de 10 kV de la S.E. Huacho durante maniobras de transferencia de carga del transformador T94-261 al T-34-261; esto se debió a la actuación indeseada del relé de sobrecorriente del T34, tres segundos después de haber asumido la carga en 10 kV; informado por REP, titular de los equipos. Como consecuencia quedó fuera de servicio la línea L-1001P de Paraíso Energy, interrumpiendo 0.7 MW. A las 08:27 h, se energizó la barra y se procedió a recuperar la carga interrumpida.</t>
  </si>
  <si>
    <t>0,7</t>
  </si>
  <si>
    <t>BIOENERGIA DEL CHIRA S.A.</t>
  </si>
  <si>
    <t>C.T. CAÑA BRAVA - CT CENTRAL</t>
  </si>
  <si>
    <t>Desconectó la CT Caña Brava con 3.11 MW por falla en su red de media tensión (22.9 kV) en la SE La Huaca. Se interrumpió la carga de Agrícola La Chira con 3.1 MW. A las 07:58 h, se conectaron las líneas de 22.9 kV y se procedió a normalizar la carga interrumpida. A las 08:33 h, sincronizó la Central con el SEIN</t>
  </si>
  <si>
    <t>3,1</t>
  </si>
  <si>
    <t>L. TRUJILLO NORTE - MOTIL - LINEA L-1115</t>
  </si>
  <si>
    <t>Desconectó la línea en 138 kV L-1115 (Trujillo Norte - Motil) por falla en la fase "R", debido a avería de la cadena de aisladores ubicada en la torreo N° 81 de la línea, informada por Hidrandina, titular de la línea. Como consecuencia se interrumpió el suministro de la S.E. Motil en 1.8 MW. A las 03:56 h, se puso en servicio la línea y se procedió a recuperar el suministro interrumpido.</t>
  </si>
  <si>
    <t>2,35</t>
  </si>
  <si>
    <t>Desconectó la línea L-1115 (Trujillo Norte - Motil) de 138 kV por falla en la fase "R" originado por avería en la cadena de aisladores ubicada en la torre N°81, informado por Hidrandina, titular de la línea. Como consecuencia se interrumpió el suministro de Motil (2.34 MW). A las 11:28 h, se conectó la línea y se procedió a normalizar el suministro interrumpido.</t>
  </si>
  <si>
    <t>S.E. AUCAYACU - TRAFO3D T65-162</t>
  </si>
  <si>
    <t>Desconectó el transformadorT65-162 y T66 de 138/22.9 kV de la S.E. Aucayacu y S.E. Tocache respectivamente, durante maniobras de energizaciónde la línea L-1122 (Tingo María - Aucayacu) en la S.E. Aucayacu, informado por REP propietario del equipo. Como consecuencia se interrumpió 1.37 MW en la SE Aucayacu. A las 11:15 h se conectó el transformador y se procedió a normalizar los suministros interrumpidos.</t>
  </si>
  <si>
    <t>1,4</t>
  </si>
  <si>
    <t>L. CHIMBOTE SUR - NEPEÑA - LINEA L-1112</t>
  </si>
  <si>
    <t>Desconectó la línea L-1112 (Chimbote Sur - Nepeña) de 138 kV con 7.6 MW, por falla en la fase "T" de la línea, debido a bajo de nivel de aislamiento asociado a la falta de mantenimiento, mantenimiento que fue suspendido debido al Estado de Emergencia decretado por el Gobierno, según lo informado por Hidrandina titular de la línea, como consecuencia quedo fuera de servicio las SS.EE. Nepeña, Casma, San Jacinto. A las 08:29 h se conecto la línea L-1112 (Chimbote Sur - Nepeña) de 138 kV. A las 08:30 h se conectó L-1113 (Nepeña - Casma) de 138 kV. A las 08:30 h se conectó L-1114 (Nepeña - San Jacinto) de 138 kV y se recupero las cargas interrumpidas.</t>
  </si>
  <si>
    <t>7,6</t>
  </si>
  <si>
    <t>CEMENTOS PACASMAYO</t>
  </si>
  <si>
    <t>L. GUADALUPE - PACASMAYO - LINEA L-6652</t>
  </si>
  <si>
    <t>Desconectó la linea L-6652 (Guadalupe - Pacasmayo) de 60 kV con 5.59 MW por falla cuya causa no fue informada por Cementos Pacasmayo. Como consecuencia se interrumpió 3.04 MW, la carga fue asumida por la línea paralela L-6669. A las 08:05 h se coordinó recuperar la carga interrumpida y a las 10:20 h, se conectó la línea L-6652.</t>
  </si>
  <si>
    <t>3,04</t>
  </si>
  <si>
    <t>L. PARAMONGA E. - CAHUA - LINEA L-1033</t>
  </si>
  <si>
    <t>Desconectó la línea L-1033 (Paramonga Existente – CH Cahua) de 138 kV por falla bifásica, fases R-S a 8.7 km de la S.E. Cahua,debido a fuertes vientos en la zona. Como consecuencia la CT Paramonga quedó operando en sistema aislado y se produjo reducción de suministro en Quimpac (22.6 MW) y Panasa (3.5 MW) por actuación de protección propias. A las 13:27 h, se conectó la L-1033. A las 13:32 h, el usuario Quimpac - Panasa informó que tuvieron reducción de suministro, coordinándose inmediatamente su reposición. A las 14:21 h, sincronizó la CT Paramonga con el SEIN.</t>
  </si>
  <si>
    <t>26,1</t>
  </si>
  <si>
    <t>TRANSMANTARO</t>
  </si>
  <si>
    <t>L. CARABAYLLO - CHIMBOTE1 - LINEA L-5006</t>
  </si>
  <si>
    <t>Se produjo recierre monofásico exitoso en la fase "S" de la línea L-5006 (Chimbote Nueva - Carabayllo) de 500 kV por falla en la unidad de la fase "S" del reactor R19, según lo informado por Transmantaro, titular de la línea. Como consecuencia el usuario libre Cementos Pacasmayo redujo su carga en 2.13 MW. A las 11:51 h se coordinó recuperar el suministro reducido. El reactor R-19 quedó indisponible para su mantenimiento correctivo por fuga de aceite. A las 19:40 h entró en servicio el reactor R-19.</t>
  </si>
  <si>
    <t>2,13</t>
  </si>
  <si>
    <t>INFRAESTRUCTURA Y ENERGIAS DEL PERU</t>
  </si>
  <si>
    <t>C.T. RESERVA FRIA PTO MALDONADO - CT CENTRAL</t>
  </si>
  <si>
    <t>Desconectó la CT Reserva Fría Puerto Maldonado con 11.4 MW por falla cuando operaba en sistema aislado. Según lo informado por Infraestructuras y Energías del Perú, titular de la central, la desconexión se produjo por desplazamiento de fase, lo cual generó baja tensión y alta frecuencia de los grupos.Como consecuencia, se interrumpió el suministro de la SE Puerto Maldonado con 11.4 MW. A las 13:15 h, se conectó la línea L-1015 para restablecer los suministros interrumpidos. A las 13:35 h, la CTRF quedó disponible</t>
  </si>
  <si>
    <t>11,4</t>
  </si>
  <si>
    <t>ETENORTE</t>
  </si>
  <si>
    <t>L. CARHUAQUERO - CHICLAYO OESTE - LINEA L-2240</t>
  </si>
  <si>
    <t>Recierre Monofásico en la línea L-2240 (Carhuaquero - Chiclayo Oeste) de 220 kV por falla en la fase "S", ubicada a 26.4 km desde la S.E. Chiclayo Oeste, debido a contaminación y presencia de humedad en la zona de "Algarrobo Grande", informada por ETENORTE propietario de la línea, en consecuencia desconectó el grupo G1 de la C.H. Las Pizarras cuando producía 6.48 MW, y Cementos Pacasmayo redujo su carga en 2.13 MW. A las 04:05 h, se coordinó recuperar toda la carga reducida. A las 04:22 h sincronizó con el SEIN la unidad G2 de la CH Pizarras.</t>
  </si>
  <si>
    <t>SEAL</t>
  </si>
  <si>
    <t>L. MARCONA - BELLA UNIÓN - LINEA L-6672</t>
  </si>
  <si>
    <t>Desconectó la línea L-6672 (Marcona - Bella Unión) de 60 kV por falla monofásica en la fase "R",cuyas causas se encuentran en investigación. Como consecuencia se interrumpió la carga de la S.E. Bella Unión de 60 kV aproximadamente 7.09 MW. A las 09:52 h entró en servicio la línea L-6672 y se procedió a recuperar la carga interrumpida.</t>
  </si>
  <si>
    <t>7,09</t>
  </si>
  <si>
    <t>LUZ DEL SUR</t>
  </si>
  <si>
    <t>S.E. SAN JUAN - TRAFO3D TR-2</t>
  </si>
  <si>
    <t>Se produjo la desconexión del transformador TR-2 de la S.E. San Juan por falla cuya causa no fue informada por Luz del Sur, titular del equipo.Se interrumpió suministro en las SET Chorrillos y Pachacamac. A las 07:08 h se recuperó el suministro interrumpido. El transformador quedó indisponible para su inspección. A las 18:55 h, en servicio el transformador TR-2.</t>
  </si>
  <si>
    <t>57,59</t>
  </si>
  <si>
    <t xml:space="preserve">ELECTRO DUNAS </t>
  </si>
  <si>
    <t>L. INDEPENDENCIA - PISCO - LINEA L-6605</t>
  </si>
  <si>
    <t>Se produjo la desconexión de la línea L-6605 (Indepedencia - Pisco) depor falla en la fase "S", debido a contacto de ave con el conductor de la línea en la estructura AT E-96, informada por Electro Dunas, titular del equipo. Como consecuencia se interrumpieron los suministros de las SS.EE. Pisco y Alto La Luna con un total de 14.96 MW. A las 12:55 h, se conectó la línea y se inició el restablecimiento de los suministros interrumpidos.</t>
  </si>
  <si>
    <t>14,96</t>
  </si>
  <si>
    <t>L. CARHUAMAYO - SHELBY - LINEA L-6515</t>
  </si>
  <si>
    <t>Se produjo la desconexión de las líneas L-6515/6517 (Carhuamayo - Shelby - Exelsior) de 50 kV por falla bifásica entre las fases S y T, debido a seccionamiento del conductor de la fase "S" de la línea L-6517 en la estructura E-320, informada por Statkraft, titular de los equipos. Como consecuencia, se interrumpieron los suministros de las subestaciones La fundición, Shelby y San Juan con un total de 2.5 MW. A las 12:46 h, se conectaron las líneas y se procedió a recuperar los suministros interrumpidos.</t>
  </si>
  <si>
    <t>2,5</t>
  </si>
  <si>
    <t>ABY TRANSMISIÓN SUR</t>
  </si>
  <si>
    <t>S.E. MONTALVO - TRAFO3D AUT-5671</t>
  </si>
  <si>
    <t>A las 17:21 h se energizó el transformador AUT-5671 de 500/220 kV en la S.E. Montalvo, después de su mantenimiento programado. Durante la energización desde el lado de 220 kV mediante el interruptor de acople de INT-5600, el cliente Southern Copper reportó una variación de tensión que originó una pérdida de carga de 14.3 MW de la concentradora N2 de la unidad operativa de Toquepala, asi mismo, desconectó el filtro de 7ma armónica en la S.E. Refineria. A las 17:30 h se inicio la recuperación de la carga interrumpida. A las 17:29 h sincronizó el transformador AUT-5671 en el lado de 500 kV. A las 18:20 h se conectó el filtro de 7ma armonica en la S.E. Refineria.</t>
  </si>
  <si>
    <t>14,3</t>
  </si>
  <si>
    <t>L. ARICOTA 2 - TOMASIRI - LINEA L-6620</t>
  </si>
  <si>
    <t>Desconectaron las líneas L-6620 (Aricota 2 - Tomasiri) y L-6637 (Tomasiri - Los Héroes) de 66 kV por falla en la fase "T" de la línea L-6620,originado por clima adverso en la zona de Sama, informado por EGESUR, titular de las líneas. Como consecuencia se interrumpió el suministro de la S.E. Tomasiri con un total de 0.80 MW. A las 01:05 h, se conectó la línea L-6620 y se inició la normalización del suministro interrumpido. La línea L-6637 quedó fuera de servicio para su inspección, el cual entró en servicio el 01.07.2020 a las 08:40 h.</t>
  </si>
  <si>
    <t>1,2</t>
  </si>
  <si>
    <t>ISA PERU</t>
  </si>
  <si>
    <t>L. AGUAYTÍA - PUCALLPA - LINEA L-1125</t>
  </si>
  <si>
    <t>Se produjo la desconexión de la línea L-1125 (Aguaytía - Pucallpa) de 138 kV por falla trifásica en la línea, ubicada a 131 km desde la S.E. Aguaytía, debido a descargas atmosféricas según lo informado por ISA PERÚ, titular del equipo. Como consecuencia se interrumpió el suministro de la S.E. Pucallpa con un total de 19.09 MW. A las 02:39 h, se conectó la línea. A las 02:42 h, se energizó la barra de 60 kV de la S.E. Pucallpa con lo cual se inició el restablecimiento del suministro interrumpido.</t>
  </si>
  <si>
    <t>19,85</t>
  </si>
  <si>
    <t>LINEA DE TRANSMISION</t>
  </si>
  <si>
    <t>TRANSFORMADOR 3D</t>
  </si>
  <si>
    <t>CELDA</t>
  </si>
  <si>
    <t>CENTRAL TERMOELÉCTRICA</t>
  </si>
  <si>
    <t>SVC</t>
  </si>
  <si>
    <t>01/06/2020</t>
  </si>
  <si>
    <t>14:45</t>
  </si>
  <si>
    <t>02/06/2020</t>
  </si>
  <si>
    <t>03/06/2020</t>
  </si>
  <si>
    <t>04/06/2020</t>
  </si>
  <si>
    <t>05/06/2020</t>
  </si>
  <si>
    <t>06/06/2020</t>
  </si>
  <si>
    <t>13:30</t>
  </si>
  <si>
    <t>07/06/2020</t>
  </si>
  <si>
    <t>08/06/2020</t>
  </si>
  <si>
    <t>18:45</t>
  </si>
  <si>
    <t>09/06/2020</t>
  </si>
  <si>
    <t>10/06/2020</t>
  </si>
  <si>
    <t>11/06/2020</t>
  </si>
  <si>
    <t>12/06/2020</t>
  </si>
  <si>
    <t>13/06/2020</t>
  </si>
  <si>
    <t>14/06/2020</t>
  </si>
  <si>
    <t>00:15</t>
  </si>
  <si>
    <t>15/06/2020</t>
  </si>
  <si>
    <t>16/06/2020</t>
  </si>
  <si>
    <t>14:30</t>
  </si>
  <si>
    <t>17/06/2020</t>
  </si>
  <si>
    <t>18/06/2020</t>
  </si>
  <si>
    <t>19/06/2020</t>
  </si>
  <si>
    <t>20/06/2020</t>
  </si>
  <si>
    <t>09:30</t>
  </si>
  <si>
    <t>21/06/2020</t>
  </si>
  <si>
    <t>22/06/2020</t>
  </si>
  <si>
    <t>23/06/2020</t>
  </si>
  <si>
    <t>24/06/2020</t>
  </si>
  <si>
    <t>11:15</t>
  </si>
  <si>
    <t>25/06/2020</t>
  </si>
  <si>
    <t>26/06/2020</t>
  </si>
  <si>
    <t>27/06/2020</t>
  </si>
  <si>
    <t>28/06/2020</t>
  </si>
  <si>
    <t>29/06/2020</t>
  </si>
  <si>
    <t>30/06/2020</t>
  </si>
  <si>
    <t>15:00</t>
  </si>
  <si>
    <t>L-2264</t>
  </si>
  <si>
    <t>PARAGSHA II - CONOCOCHA</t>
  </si>
  <si>
    <t>L-1122</t>
  </si>
  <si>
    <t>TINGO MARÍA - AUCAYACU</t>
  </si>
  <si>
    <t>T-30  T3-261  T4-261</t>
  </si>
  <si>
    <t>INDEPENDENCIA</t>
  </si>
  <si>
    <t>VOLUMEN ÚTIL
30-06-2020</t>
  </si>
  <si>
    <t>VOLUMEN ÚTIL
30-06-2019</t>
  </si>
  <si>
    <t xml:space="preserve">          No se presentaron inicios de operación comercial en el mes junio 2020.</t>
  </si>
  <si>
    <t>(2) Se incluye la generación por pruebas de la C.T. Callao propiedad de PETRAMÁS S.A.</t>
  </si>
  <si>
    <t>C.H. MANTA  (1)</t>
  </si>
  <si>
    <t>C.T. CALLAO  (2)</t>
  </si>
  <si>
    <t>C.H. MANTA (1)</t>
  </si>
  <si>
    <t>C.T. CALLAO (2)</t>
  </si>
  <si>
    <t>El total de la producción de energía eléctrica de la empresas generadoras integrantes del COES en el mes de junio 2020 fue de 3 756,71  GWh, lo que representa una disminución de 532,65 GWh (-12,42%) en comparación con el año 2019.</t>
  </si>
  <si>
    <t>La producción de electricidad con centrales hidroeléctricas durante el mes de junio 2020 fue de 2 153,36 GWh (1,26% mayor al registrado durante junio del año 2019).</t>
  </si>
  <si>
    <t>La producción de electricidad con centrales termoeléctricas durante el mes de junio 2020 fue de 1 386,41 GWh, 29,34% menor al registrado durante junio del año 2019. La participación del gas natural de Camisea fue de 34,69%, mientras que las del gas que proviene de los yacimientos de Aguaytía y Malacas fue del 1,63%, la producción con diesel, residual, carbón, biogás y bagazo tuvieron una intervención del 0,00%, 0,00%, 0,00%, 0,07%, 0,52% respectivamente.</t>
  </si>
  <si>
    <t>La producción de energía eléctrica con centrales eólicas fue de 161,88 GWh y con centrales solares fue de 55,06 GWh, los cuales tuvieron una participación de 4,31% y 1,47%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</si>
</sst>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90">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i/>
      <sz val="8"/>
      <color indexed="12"/>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sz val="8"/>
      <name val="Calibri"/>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58">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right style="hair">
        <color theme="4"/>
      </right>
      <top style="hair">
        <color theme="4"/>
      </top>
      <bottom/>
      <diagonal/>
    </border>
    <border>
      <left/>
      <right style="hair">
        <color theme="4"/>
      </right>
      <top/>
      <bottom/>
      <diagonal/>
    </border>
    <border>
      <left/>
      <right style="hair">
        <color theme="3" tint="0.39991454817346722"/>
      </right>
      <top/>
      <bottom/>
      <diagonal/>
    </border>
    <border>
      <left style="hair">
        <color theme="3" tint="0.39991454817346722"/>
      </left>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5" fillId="0" borderId="0"/>
    <xf numFmtId="0" fontId="39" fillId="0" borderId="0"/>
    <xf numFmtId="0" fontId="39"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4">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quotePrefix="1" applyFont="1" applyFill="1" applyAlignment="1">
      <alignment horizontal="left"/>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2" applyNumberFormat="1" applyFont="1" applyFill="1" applyAlignment="1">
      <alignment horizontal="right"/>
    </xf>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0" fillId="2" borderId="0" xfId="0" quotePrefix="1" applyFill="1" applyAlignment="1">
      <alignment horizontal="left" vertical="center" indent="3"/>
    </xf>
    <xf numFmtId="0" fontId="29" fillId="2" borderId="0" xfId="0" applyFont="1" applyFill="1" applyAlignment="1">
      <alignment horizontal="right"/>
    </xf>
    <xf numFmtId="0" fontId="21" fillId="2" borderId="0" xfId="0" quotePrefix="1" applyFont="1" applyFill="1" applyAlignment="1">
      <alignment horizontal="lef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7" fillId="2" borderId="0" xfId="0" applyFont="1" applyFill="1"/>
    <xf numFmtId="0" fontId="33" fillId="2" borderId="0" xfId="0" applyFont="1" applyFill="1"/>
    <xf numFmtId="0" fontId="21" fillId="2" borderId="0" xfId="0" quotePrefix="1" applyFont="1" applyFill="1" applyAlignment="1">
      <alignment vertical="center"/>
    </xf>
    <xf numFmtId="0" fontId="30" fillId="0" borderId="0" xfId="0" applyFont="1"/>
    <xf numFmtId="174" fontId="0" fillId="0" borderId="0" xfId="0" applyNumberFormat="1"/>
    <xf numFmtId="0" fontId="3" fillId="0" borderId="0" xfId="0" applyFont="1"/>
    <xf numFmtId="0" fontId="4" fillId="0" borderId="0" xfId="0" applyFont="1"/>
    <xf numFmtId="0" fontId="30" fillId="0" borderId="0" xfId="0" applyFont="1" applyAlignment="1">
      <alignment vertical="center"/>
    </xf>
    <xf numFmtId="0" fontId="42" fillId="0" borderId="0" xfId="0" applyFont="1"/>
    <xf numFmtId="0" fontId="43" fillId="0" borderId="0" xfId="0" applyFont="1" applyAlignment="1">
      <alignment vertical="center"/>
    </xf>
    <xf numFmtId="0" fontId="44" fillId="0" borderId="0" xfId="0" applyFont="1" applyAlignment="1">
      <alignment vertical="center"/>
    </xf>
    <xf numFmtId="0" fontId="45" fillId="0" borderId="0" xfId="0" applyFont="1" applyAlignment="1">
      <alignment vertical="center"/>
    </xf>
    <xf numFmtId="0" fontId="43" fillId="0" borderId="0" xfId="0" applyFont="1" applyAlignment="1">
      <alignment horizontal="center" vertical="center"/>
    </xf>
    <xf numFmtId="0" fontId="45" fillId="0" borderId="0" xfId="0" applyFont="1" applyAlignment="1">
      <alignment horizontal="justify" vertical="center"/>
    </xf>
    <xf numFmtId="0" fontId="46" fillId="0" borderId="0" xfId="0" applyFont="1" applyAlignment="1">
      <alignment vertical="center"/>
    </xf>
    <xf numFmtId="0" fontId="44"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7"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1" fillId="0" borderId="0" xfId="0" applyFont="1" applyAlignment="1">
      <alignment horizontal="right" vertical="center"/>
    </xf>
    <xf numFmtId="0" fontId="49" fillId="0" borderId="0" xfId="0" applyFont="1" applyAlignment="1">
      <alignment horizontal="center" vertical="center"/>
    </xf>
    <xf numFmtId="0" fontId="51" fillId="0" borderId="0" xfId="0" applyFont="1" applyAlignment="1">
      <alignment horizontal="justify" vertical="center"/>
    </xf>
    <xf numFmtId="2" fontId="52" fillId="0" borderId="0" xfId="0" applyNumberFormat="1" applyFont="1" applyAlignment="1">
      <alignment vertical="center"/>
    </xf>
    <xf numFmtId="0" fontId="52" fillId="0" borderId="0" xfId="0" quotePrefix="1" applyFont="1" applyAlignment="1">
      <alignment vertical="center" wrapText="1"/>
    </xf>
    <xf numFmtId="0" fontId="52" fillId="0" borderId="0" xfId="0" applyFont="1" applyAlignment="1">
      <alignment vertical="center"/>
    </xf>
    <xf numFmtId="14" fontId="49" fillId="0" borderId="0" xfId="0" applyNumberFormat="1" applyFont="1" applyAlignment="1">
      <alignment vertical="center"/>
    </xf>
    <xf numFmtId="0" fontId="48" fillId="0" borderId="0" xfId="0" applyFont="1" applyAlignment="1">
      <alignment vertical="center"/>
    </xf>
    <xf numFmtId="1" fontId="53" fillId="0" borderId="0" xfId="0" applyNumberFormat="1" applyFont="1" applyAlignment="1">
      <alignment horizontal="center" vertical="center"/>
    </xf>
    <xf numFmtId="171" fontId="54" fillId="6" borderId="0" xfId="3" applyFont="1" applyFill="1"/>
    <xf numFmtId="0" fontId="50" fillId="0" borderId="0" xfId="0" applyFont="1"/>
    <xf numFmtId="1" fontId="55" fillId="0" borderId="0" xfId="3" applyNumberFormat="1" applyFont="1" applyAlignment="1">
      <alignment horizontal="center"/>
    </xf>
    <xf numFmtId="172" fontId="55" fillId="0" borderId="0" xfId="3" applyNumberFormat="1" applyFont="1" applyAlignment="1">
      <alignment horizontal="center"/>
    </xf>
    <xf numFmtId="2" fontId="56" fillId="0" borderId="0" xfId="3" applyNumberFormat="1" applyFont="1"/>
    <xf numFmtId="165" fontId="53" fillId="0" borderId="0" xfId="0" applyNumberFormat="1" applyFont="1" applyAlignment="1">
      <alignment horizontal="right" vertical="center"/>
    </xf>
    <xf numFmtId="166" fontId="53" fillId="0" borderId="0" xfId="0" applyNumberFormat="1" applyFont="1" applyAlignment="1">
      <alignment horizontal="right" vertical="center"/>
    </xf>
    <xf numFmtId="167" fontId="53" fillId="0" borderId="0" xfId="2" applyNumberFormat="1" applyFont="1" applyAlignment="1">
      <alignment horizontal="right" vertical="center"/>
    </xf>
    <xf numFmtId="2" fontId="56" fillId="2" borderId="0" xfId="3" applyNumberFormat="1" applyFont="1" applyFill="1"/>
    <xf numFmtId="0" fontId="53" fillId="0" borderId="0" xfId="0" applyFont="1" applyAlignment="1">
      <alignment vertical="center"/>
    </xf>
    <xf numFmtId="2" fontId="57" fillId="0" borderId="0" xfId="0" applyNumberFormat="1" applyFont="1"/>
    <xf numFmtId="0" fontId="58" fillId="0" borderId="0" xfId="0" applyFont="1" applyAlignment="1">
      <alignment vertical="center"/>
    </xf>
    <xf numFmtId="49" fontId="31" fillId="0" borderId="0" xfId="0" applyNumberFormat="1" applyFont="1" applyAlignment="1">
      <alignment horizontal="center"/>
    </xf>
    <xf numFmtId="0" fontId="31" fillId="0" borderId="0" xfId="0" applyFont="1"/>
    <xf numFmtId="1" fontId="0" fillId="0" borderId="0" xfId="0" applyNumberFormat="1"/>
    <xf numFmtId="1" fontId="31" fillId="0" borderId="0" xfId="0" applyNumberFormat="1" applyFont="1" applyAlignment="1">
      <alignment horizontal="right"/>
    </xf>
    <xf numFmtId="0" fontId="31" fillId="0" borderId="0" xfId="0" applyFont="1" applyAlignment="1">
      <alignment horizontal="right"/>
    </xf>
    <xf numFmtId="165" fontId="0" fillId="0" borderId="0" xfId="0" applyNumberFormat="1" applyAlignment="1">
      <alignment horizontal="right"/>
    </xf>
    <xf numFmtId="49" fontId="31" fillId="0" borderId="0" xfId="0" applyNumberFormat="1" applyFont="1" applyAlignment="1">
      <alignment horizontal="right"/>
    </xf>
    <xf numFmtId="165" fontId="31"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9" fillId="0" borderId="0" xfId="0" applyFont="1" applyAlignment="1">
      <alignment vertical="center"/>
    </xf>
    <xf numFmtId="0" fontId="59"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50" fillId="0" borderId="0" xfId="0" applyNumberFormat="1" applyFont="1" applyAlignment="1">
      <alignment vertical="center"/>
    </xf>
    <xf numFmtId="2" fontId="51" fillId="0" borderId="0" xfId="0" applyNumberFormat="1" applyFont="1" applyAlignment="1">
      <alignment vertical="center"/>
    </xf>
    <xf numFmtId="10" fontId="32"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2" fillId="3" borderId="0" xfId="0" applyFont="1" applyFill="1" applyAlignment="1">
      <alignment vertical="center"/>
    </xf>
    <xf numFmtId="10" fontId="32"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3"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3"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3"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3"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3"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3"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3" fillId="4" borderId="94" xfId="2" applyNumberFormat="1" applyFont="1" applyFill="1" applyBorder="1" applyAlignment="1">
      <alignment vertical="center"/>
    </xf>
    <xf numFmtId="0" fontId="27" fillId="2" borderId="0" xfId="0" applyFont="1" applyFill="1" applyAlignment="1">
      <alignment vertical="center"/>
    </xf>
    <xf numFmtId="167" fontId="33" fillId="2" borderId="47" xfId="2" applyNumberFormat="1" applyFont="1" applyFill="1" applyBorder="1" applyAlignment="1">
      <alignment vertical="center"/>
    </xf>
    <xf numFmtId="0" fontId="27" fillId="4" borderId="0" xfId="0" applyFont="1" applyFill="1" applyAlignment="1">
      <alignment vertical="center"/>
    </xf>
    <xf numFmtId="167" fontId="33" fillId="4" borderId="47" xfId="2" applyNumberFormat="1" applyFont="1" applyFill="1" applyBorder="1" applyAlignment="1">
      <alignment vertical="center"/>
    </xf>
    <xf numFmtId="167" fontId="40"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3" fillId="2" borderId="51" xfId="2" applyNumberFormat="1" applyFont="1" applyFill="1" applyBorder="1" applyAlignment="1">
      <alignment vertical="center"/>
    </xf>
    <xf numFmtId="0" fontId="27" fillId="4" borderId="52" xfId="0" applyFont="1" applyFill="1" applyBorder="1" applyAlignment="1">
      <alignment vertical="center"/>
    </xf>
    <xf numFmtId="0" fontId="37" fillId="2" borderId="0" xfId="0" applyFont="1" applyFill="1" applyAlignment="1">
      <alignment horizontal="left" vertical="center"/>
    </xf>
    <xf numFmtId="170" fontId="0" fillId="0" borderId="0" xfId="0" applyNumberFormat="1" applyAlignment="1">
      <alignment horizontal="center" vertical="center"/>
    </xf>
    <xf numFmtId="0" fontId="62"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30" fillId="7" borderId="0" xfId="0" applyFont="1" applyFill="1"/>
    <xf numFmtId="0" fontId="0" fillId="7" borderId="0" xfId="0" applyFill="1"/>
    <xf numFmtId="0" fontId="63"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4" fillId="0" borderId="0" xfId="0" applyFont="1"/>
    <xf numFmtId="0" fontId="65" fillId="0" borderId="0" xfId="0" applyFont="1"/>
    <xf numFmtId="0" fontId="65" fillId="0" borderId="0" xfId="0" applyFont="1" applyAlignment="1">
      <alignment horizontal="center"/>
    </xf>
    <xf numFmtId="166" fontId="65" fillId="0" borderId="0" xfId="0" applyNumberFormat="1" applyFont="1"/>
    <xf numFmtId="171" fontId="66" fillId="6" borderId="0" xfId="3" applyFont="1" applyFill="1"/>
    <xf numFmtId="172" fontId="66" fillId="6" borderId="0" xfId="3" applyNumberFormat="1" applyFont="1" applyFill="1"/>
    <xf numFmtId="1" fontId="67" fillId="0" borderId="0" xfId="3" applyNumberFormat="1" applyFont="1" applyAlignment="1">
      <alignment horizontal="center"/>
    </xf>
    <xf numFmtId="172" fontId="67" fillId="0" borderId="0" xfId="3" applyNumberFormat="1" applyFont="1" applyAlignment="1">
      <alignment horizontal="center"/>
    </xf>
    <xf numFmtId="2" fontId="68" fillId="0" borderId="0" xfId="3" applyNumberFormat="1" applyFont="1"/>
    <xf numFmtId="2" fontId="68" fillId="0" borderId="0" xfId="3" applyNumberFormat="1" applyFont="1" applyAlignment="1">
      <alignment horizontal="center"/>
    </xf>
    <xf numFmtId="0" fontId="65" fillId="0" borderId="0" xfId="0" applyFont="1" applyAlignment="1">
      <alignment vertical="center"/>
    </xf>
    <xf numFmtId="2" fontId="68" fillId="2" borderId="0" xfId="3" applyNumberFormat="1" applyFont="1" applyFill="1"/>
    <xf numFmtId="2" fontId="69" fillId="0" borderId="0" xfId="0" applyNumberFormat="1" applyFont="1"/>
    <xf numFmtId="2" fontId="70" fillId="0" borderId="0" xfId="4" applyNumberFormat="1" applyFont="1"/>
    <xf numFmtId="0" fontId="31" fillId="0" borderId="86" xfId="0" applyFont="1" applyBorder="1"/>
    <xf numFmtId="43" fontId="31" fillId="0" borderId="86" xfId="1" applyFont="1" applyBorder="1"/>
    <xf numFmtId="43" fontId="31" fillId="0" borderId="0" xfId="0" applyNumberFormat="1" applyFont="1"/>
    <xf numFmtId="0" fontId="61" fillId="0" borderId="0" xfId="0" applyFont="1" applyAlignment="1">
      <alignment vertical="center"/>
    </xf>
    <xf numFmtId="0" fontId="61" fillId="0" borderId="0" xfId="0" applyFont="1" applyAlignment="1">
      <alignment horizontal="center"/>
    </xf>
    <xf numFmtId="0" fontId="61" fillId="0" borderId="0" xfId="0" applyFont="1" applyAlignment="1">
      <alignment vertical="center" wrapText="1"/>
    </xf>
    <xf numFmtId="0" fontId="61" fillId="0" borderId="0" xfId="0" applyFont="1" applyAlignment="1">
      <alignment horizontal="left" vertical="center" wrapText="1"/>
    </xf>
    <xf numFmtId="49" fontId="62" fillId="0" borderId="0" xfId="0" applyNumberFormat="1" applyFont="1" applyAlignment="1">
      <alignment horizontal="right"/>
    </xf>
    <xf numFmtId="43" fontId="31" fillId="0" borderId="86" xfId="0" applyNumberFormat="1" applyFont="1" applyBorder="1"/>
    <xf numFmtId="1" fontId="62" fillId="0" borderId="0" xfId="0" applyNumberFormat="1" applyFont="1" applyAlignment="1">
      <alignment horizontal="right"/>
    </xf>
    <xf numFmtId="49" fontId="62" fillId="0" borderId="0" xfId="0" applyNumberFormat="1" applyFont="1" applyAlignment="1">
      <alignment horizontal="center"/>
    </xf>
    <xf numFmtId="1" fontId="62" fillId="0" borderId="0" xfId="0" applyNumberFormat="1" applyFont="1" applyAlignment="1">
      <alignment horizontal="center"/>
    </xf>
    <xf numFmtId="165" fontId="62" fillId="0" borderId="0" xfId="0" applyNumberFormat="1" applyFont="1" applyAlignment="1">
      <alignment horizontal="center"/>
    </xf>
    <xf numFmtId="0" fontId="31" fillId="0" borderId="0" xfId="0" applyFont="1" applyAlignment="1">
      <alignment horizontal="center"/>
    </xf>
    <xf numFmtId="0" fontId="62" fillId="0" borderId="0" xfId="0" applyFont="1" applyAlignment="1">
      <alignment vertical="center"/>
    </xf>
    <xf numFmtId="0" fontId="62" fillId="0" borderId="0" xfId="0" quotePrefix="1" applyFont="1" applyAlignment="1">
      <alignment horizontal="left" vertical="top"/>
    </xf>
    <xf numFmtId="0" fontId="63" fillId="0" borderId="0" xfId="0" applyFont="1" applyAlignment="1">
      <alignment horizontal="right"/>
    </xf>
    <xf numFmtId="170" fontId="31" fillId="5" borderId="24" xfId="0" applyNumberFormat="1" applyFont="1" applyFill="1" applyBorder="1" applyAlignment="1">
      <alignment horizontal="center" vertical="center"/>
    </xf>
    <xf numFmtId="170" fontId="62" fillId="5" borderId="29" xfId="0" applyNumberFormat="1" applyFont="1" applyFill="1" applyBorder="1" applyAlignment="1">
      <alignment horizontal="center" vertical="center"/>
    </xf>
    <xf numFmtId="167" fontId="62" fillId="5" borderId="24" xfId="2" applyNumberFormat="1" applyFont="1" applyFill="1" applyBorder="1" applyAlignment="1">
      <alignment horizontal="center" vertical="center"/>
    </xf>
    <xf numFmtId="170" fontId="31" fillId="2" borderId="25" xfId="0" applyNumberFormat="1" applyFont="1" applyFill="1" applyBorder="1" applyAlignment="1">
      <alignment horizontal="center" vertical="center"/>
    </xf>
    <xf numFmtId="170" fontId="62" fillId="2" borderId="31" xfId="0" applyNumberFormat="1" applyFont="1" applyFill="1" applyBorder="1" applyAlignment="1">
      <alignment horizontal="center" vertical="center"/>
    </xf>
    <xf numFmtId="167" fontId="62" fillId="2" borderId="25" xfId="2" applyNumberFormat="1" applyFont="1" applyFill="1" applyBorder="1" applyAlignment="1">
      <alignment horizontal="center" vertical="center"/>
    </xf>
    <xf numFmtId="170" fontId="31" fillId="5" borderId="25" xfId="0" applyNumberFormat="1" applyFont="1" applyFill="1" applyBorder="1" applyAlignment="1">
      <alignment horizontal="center" vertical="center"/>
    </xf>
    <xf numFmtId="170" fontId="62" fillId="5" borderId="31" xfId="0" applyNumberFormat="1" applyFont="1" applyFill="1" applyBorder="1" applyAlignment="1">
      <alignment horizontal="center" vertical="center"/>
    </xf>
    <xf numFmtId="167" fontId="62" fillId="5" borderId="25" xfId="2" applyNumberFormat="1" applyFont="1" applyFill="1" applyBorder="1" applyAlignment="1">
      <alignment horizontal="center" vertical="center"/>
    </xf>
    <xf numFmtId="170" fontId="31" fillId="2" borderId="26" xfId="0" applyNumberFormat="1" applyFont="1" applyFill="1" applyBorder="1" applyAlignment="1">
      <alignment horizontal="center" vertical="center"/>
    </xf>
    <xf numFmtId="170" fontId="62" fillId="2" borderId="34" xfId="0" applyNumberFormat="1" applyFont="1" applyFill="1" applyBorder="1" applyAlignment="1">
      <alignment horizontal="center" vertical="center"/>
    </xf>
    <xf numFmtId="167" fontId="62" fillId="2" borderId="26" xfId="2" applyNumberFormat="1" applyFont="1" applyFill="1" applyBorder="1" applyAlignment="1">
      <alignment horizontal="center" vertical="center"/>
    </xf>
    <xf numFmtId="170" fontId="71" fillId="5" borderId="23" xfId="0" applyNumberFormat="1" applyFont="1" applyFill="1" applyBorder="1" applyAlignment="1">
      <alignment horizontal="center" vertical="center"/>
    </xf>
    <xf numFmtId="170" fontId="71" fillId="5" borderId="40" xfId="0" applyNumberFormat="1" applyFont="1" applyFill="1" applyBorder="1" applyAlignment="1">
      <alignment horizontal="center" vertical="center"/>
    </xf>
    <xf numFmtId="167" fontId="61" fillId="5" borderId="23" xfId="2" applyNumberFormat="1" applyFont="1" applyFill="1" applyBorder="1" applyAlignment="1">
      <alignment horizontal="center" vertical="center"/>
    </xf>
    <xf numFmtId="0" fontId="73" fillId="0" borderId="0" xfId="0" applyFont="1" applyAlignment="1">
      <alignment horizontal="right" vertical="center"/>
    </xf>
    <xf numFmtId="17" fontId="36" fillId="8" borderId="26" xfId="0" quotePrefix="1" applyNumberFormat="1" applyFont="1" applyFill="1" applyBorder="1" applyAlignment="1">
      <alignment horizontal="center" vertical="center" wrapText="1"/>
    </xf>
    <xf numFmtId="17" fontId="36"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6" fillId="8" borderId="69" xfId="1" applyFont="1" applyFill="1" applyBorder="1" applyAlignment="1">
      <alignment horizontal="center" vertical="center" wrapText="1"/>
    </xf>
    <xf numFmtId="0" fontId="36" fillId="8" borderId="70" xfId="0" applyFont="1" applyFill="1" applyBorder="1" applyAlignment="1">
      <alignment horizontal="center" vertical="center" wrapText="1"/>
    </xf>
    <xf numFmtId="0" fontId="36" fillId="8" borderId="71" xfId="0" applyFont="1" applyFill="1" applyBorder="1" applyAlignment="1">
      <alignment horizontal="center" vertical="center" wrapText="1"/>
    </xf>
    <xf numFmtId="0" fontId="36" fillId="8" borderId="72" xfId="0" applyFont="1" applyFill="1" applyBorder="1" applyAlignment="1">
      <alignment vertical="center" wrapText="1"/>
    </xf>
    <xf numFmtId="0" fontId="36" fillId="8" borderId="73" xfId="0" applyFont="1" applyFill="1" applyBorder="1" applyAlignment="1">
      <alignment horizontal="center" vertical="center" wrapText="1"/>
    </xf>
    <xf numFmtId="0" fontId="36" fillId="8" borderId="74" xfId="0" applyFont="1" applyFill="1" applyBorder="1" applyAlignment="1">
      <alignment vertical="center" wrapText="1"/>
    </xf>
    <xf numFmtId="4" fontId="36" fillId="8" borderId="57" xfId="0" applyNumberFormat="1" applyFont="1" applyFill="1" applyBorder="1" applyAlignment="1">
      <alignment vertical="center"/>
    </xf>
    <xf numFmtId="0" fontId="36" fillId="8" borderId="90" xfId="0" applyFont="1" applyFill="1" applyBorder="1" applyAlignment="1">
      <alignment vertical="center"/>
    </xf>
    <xf numFmtId="4" fontId="36" fillId="8" borderId="90" xfId="0" applyNumberFormat="1" applyFont="1" applyFill="1" applyBorder="1" applyAlignment="1">
      <alignment vertical="center"/>
    </xf>
    <xf numFmtId="4" fontId="72" fillId="8" borderId="57" xfId="0" applyNumberFormat="1" applyFont="1" applyFill="1" applyBorder="1" applyAlignment="1">
      <alignment vertical="center"/>
    </xf>
    <xf numFmtId="17" fontId="36" fillId="10" borderId="45" xfId="6" quotePrefix="1" applyNumberFormat="1" applyFont="1" applyFill="1" applyBorder="1" applyAlignment="1">
      <alignment horizontal="center" vertical="center" wrapText="1"/>
    </xf>
    <xf numFmtId="0" fontId="36" fillId="10" borderId="45" xfId="6" quotePrefix="1" applyFont="1" applyFill="1" applyBorder="1" applyAlignment="1">
      <alignment horizontal="center" vertical="center" wrapText="1"/>
    </xf>
    <xf numFmtId="0" fontId="36" fillId="10" borderId="45" xfId="6" applyFont="1" applyFill="1" applyBorder="1" applyAlignment="1">
      <alignment horizontal="center" vertical="center" wrapText="1"/>
    </xf>
    <xf numFmtId="14" fontId="36" fillId="10" borderId="45" xfId="6" applyNumberFormat="1" applyFont="1" applyFill="1" applyBorder="1" applyAlignment="1">
      <alignment horizontal="center" vertical="center"/>
    </xf>
    <xf numFmtId="20" fontId="36" fillId="10" borderId="91" xfId="6" applyNumberFormat="1" applyFont="1" applyFill="1" applyBorder="1" applyAlignment="1">
      <alignment horizontal="center" vertical="center"/>
    </xf>
    <xf numFmtId="174" fontId="41" fillId="8" borderId="93" xfId="0" applyNumberFormat="1" applyFont="1" applyFill="1" applyBorder="1" applyAlignment="1">
      <alignment horizontal="center" vertical="center"/>
    </xf>
    <xf numFmtId="174" fontId="41" fillId="8" borderId="93" xfId="0" applyNumberFormat="1" applyFont="1" applyFill="1" applyBorder="1" applyAlignment="1">
      <alignment horizontal="center" vertical="center" wrapText="1"/>
    </xf>
    <xf numFmtId="0" fontId="72"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1" fillId="4" borderId="87" xfId="0" applyFont="1" applyFill="1" applyBorder="1"/>
    <xf numFmtId="43" fontId="71" fillId="4" borderId="87" xfId="1" applyFont="1" applyFill="1" applyBorder="1"/>
    <xf numFmtId="43" fontId="71" fillId="4" borderId="87" xfId="0" applyNumberFormat="1" applyFont="1" applyFill="1" applyBorder="1"/>
    <xf numFmtId="0" fontId="32" fillId="8" borderId="76" xfId="0" quotePrefix="1" applyFont="1" applyFill="1" applyBorder="1" applyAlignment="1">
      <alignment horizontal="center" vertical="center" wrapText="1"/>
    </xf>
    <xf numFmtId="0" fontId="32" fillId="8" borderId="76" xfId="0" applyFont="1" applyFill="1" applyBorder="1" applyAlignment="1">
      <alignment horizontal="center" vertical="center" wrapText="1"/>
    </xf>
    <xf numFmtId="0" fontId="32" fillId="8" borderId="77" xfId="0" applyFont="1" applyFill="1" applyBorder="1" applyAlignment="1">
      <alignment horizontal="center" vertical="center" wrapText="1"/>
    </xf>
    <xf numFmtId="0" fontId="32" fillId="8" borderId="75" xfId="0" applyFont="1" applyFill="1" applyBorder="1" applyAlignment="1">
      <alignment horizontal="center" vertical="center" wrapText="1"/>
    </xf>
    <xf numFmtId="0" fontId="36" fillId="8" borderId="96" xfId="0" applyFont="1" applyFill="1" applyBorder="1" applyAlignment="1">
      <alignment horizontal="center" vertical="center" wrapText="1"/>
    </xf>
    <xf numFmtId="0" fontId="36" fillId="8" borderId="97" xfId="0" applyFont="1" applyFill="1" applyBorder="1" applyAlignment="1">
      <alignment horizontal="center" vertical="center" wrapText="1"/>
    </xf>
    <xf numFmtId="0" fontId="36" fillId="8" borderId="98" xfId="0" applyFont="1" applyFill="1" applyBorder="1" applyAlignment="1">
      <alignment horizontal="center" vertical="center" wrapText="1"/>
    </xf>
    <xf numFmtId="0" fontId="36"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1"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6"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50" fillId="0" borderId="0" xfId="0" applyNumberFormat="1" applyFont="1"/>
    <xf numFmtId="0" fontId="77" fillId="0" borderId="0" xfId="0" applyFont="1"/>
    <xf numFmtId="0" fontId="78" fillId="0" borderId="0" xfId="0" applyFont="1" applyAlignment="1">
      <alignment vertical="center"/>
    </xf>
    <xf numFmtId="49" fontId="77" fillId="0" borderId="0" xfId="0" applyNumberFormat="1" applyFont="1" applyAlignment="1">
      <alignment horizontal="center"/>
    </xf>
    <xf numFmtId="1" fontId="77" fillId="0" borderId="0" xfId="0" applyNumberFormat="1" applyFont="1" applyAlignment="1">
      <alignment horizontal="center"/>
    </xf>
    <xf numFmtId="49" fontId="77" fillId="0" borderId="0" xfId="0" applyNumberFormat="1" applyFont="1" applyAlignment="1">
      <alignment horizontal="left"/>
    </xf>
    <xf numFmtId="1" fontId="77" fillId="0" borderId="0" xfId="0" applyNumberFormat="1" applyFont="1" applyAlignment="1">
      <alignment horizontal="left"/>
    </xf>
    <xf numFmtId="165" fontId="77" fillId="0" borderId="0" xfId="0" applyNumberFormat="1" applyFont="1" applyAlignment="1">
      <alignment horizontal="center"/>
    </xf>
    <xf numFmtId="10" fontId="77" fillId="0" borderId="0" xfId="2" applyNumberFormat="1" applyFont="1"/>
    <xf numFmtId="176" fontId="21" fillId="0" borderId="40" xfId="2" applyNumberFormat="1" applyFont="1" applyBorder="1" applyAlignment="1">
      <alignment horizontal="right" vertical="center"/>
    </xf>
    <xf numFmtId="43" fontId="33" fillId="0" borderId="54" xfId="1" applyFont="1" applyBorder="1" applyAlignment="1">
      <alignment horizontal="right" vertical="center"/>
    </xf>
    <xf numFmtId="43" fontId="33" fillId="0" borderId="55" xfId="1" applyFont="1" applyBorder="1" applyAlignment="1">
      <alignment horizontal="right" vertical="center"/>
    </xf>
    <xf numFmtId="177" fontId="33" fillId="0" borderId="56" xfId="1" applyNumberFormat="1" applyFont="1" applyBorder="1" applyAlignment="1">
      <alignment horizontal="right" vertical="center"/>
    </xf>
    <xf numFmtId="10" fontId="33" fillId="4" borderId="56" xfId="2" applyNumberFormat="1" applyFont="1" applyFill="1" applyBorder="1" applyAlignment="1">
      <alignment horizontal="right" vertical="center"/>
    </xf>
    <xf numFmtId="17" fontId="32" fillId="8" borderId="23" xfId="0" applyNumberFormat="1" applyFont="1" applyFill="1" applyBorder="1" applyAlignment="1">
      <alignment horizontal="center"/>
    </xf>
    <xf numFmtId="16" fontId="32" fillId="8" borderId="24" xfId="0" applyNumberFormat="1" applyFont="1" applyFill="1" applyBorder="1" applyAlignment="1">
      <alignment horizontal="center" vertical="center"/>
    </xf>
    <xf numFmtId="16" fontId="32" fillId="8" borderId="24" xfId="0" applyNumberFormat="1" applyFont="1" applyFill="1" applyBorder="1" applyAlignment="1">
      <alignment horizontal="center" wrapText="1"/>
    </xf>
    <xf numFmtId="20" fontId="32" fillId="8" borderId="26" xfId="0" quotePrefix="1" applyNumberFormat="1" applyFont="1" applyFill="1" applyBorder="1" applyAlignment="1">
      <alignment horizontal="center" vertical="center"/>
    </xf>
    <xf numFmtId="20" fontId="32"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3"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3"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3"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3" fillId="4" borderId="43" xfId="2" applyNumberFormat="1" applyFont="1" applyFill="1" applyBorder="1" applyAlignment="1">
      <alignment horizontal="right" vertical="center"/>
    </xf>
    <xf numFmtId="170" fontId="33"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3"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3" fillId="0" borderId="31" xfId="2" applyNumberFormat="1" applyFont="1" applyBorder="1" applyAlignment="1">
      <alignment horizontal="right" vertical="center"/>
    </xf>
    <xf numFmtId="166" fontId="33" fillId="4" borderId="26" xfId="0" applyNumberFormat="1" applyFont="1" applyFill="1" applyBorder="1" applyAlignment="1">
      <alignment horizontal="left" vertical="center" wrapText="1"/>
    </xf>
    <xf numFmtId="2" fontId="33" fillId="4" borderId="32" xfId="0" applyNumberFormat="1" applyFont="1" applyFill="1" applyBorder="1" applyAlignment="1">
      <alignment horizontal="right" vertical="center"/>
    </xf>
    <xf numFmtId="2" fontId="33" fillId="4" borderId="33" xfId="0" applyNumberFormat="1" applyFont="1" applyFill="1" applyBorder="1" applyAlignment="1">
      <alignment horizontal="right" vertical="center"/>
    </xf>
    <xf numFmtId="2" fontId="33" fillId="4" borderId="34" xfId="0" applyNumberFormat="1" applyFont="1" applyFill="1" applyBorder="1" applyAlignment="1">
      <alignment horizontal="right" vertical="center"/>
    </xf>
    <xf numFmtId="10" fontId="33"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3" fillId="4" borderId="53" xfId="0" quotePrefix="1" applyFont="1" applyFill="1" applyBorder="1" applyAlignment="1">
      <alignment horizontal="left" vertical="center" wrapText="1"/>
    </xf>
    <xf numFmtId="43" fontId="33" fillId="4" borderId="54" xfId="1" applyFont="1" applyFill="1" applyBorder="1" applyAlignment="1">
      <alignment horizontal="right" vertical="center"/>
    </xf>
    <xf numFmtId="43" fontId="33" fillId="4" borderId="55" xfId="1" applyFont="1" applyFill="1" applyBorder="1" applyAlignment="1">
      <alignment horizontal="right" vertical="center"/>
    </xf>
    <xf numFmtId="174" fontId="32" fillId="3" borderId="0" xfId="0" applyNumberFormat="1" applyFont="1" applyFill="1" applyAlignment="1">
      <alignment vertical="center"/>
    </xf>
    <xf numFmtId="174" fontId="36" fillId="8" borderId="57" xfId="0" applyNumberFormat="1" applyFont="1" applyFill="1" applyBorder="1" applyAlignment="1">
      <alignment vertical="center"/>
    </xf>
    <xf numFmtId="177" fontId="33" fillId="4" borderId="56" xfId="1" applyNumberFormat="1" applyFont="1" applyFill="1" applyBorder="1" applyAlignment="1">
      <alignment horizontal="right" vertical="center"/>
    </xf>
    <xf numFmtId="177" fontId="33" fillId="0" borderId="54" xfId="1" applyNumberFormat="1" applyFont="1" applyBorder="1" applyAlignment="1">
      <alignment horizontal="right"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0" fontId="33" fillId="2" borderId="56" xfId="2" applyNumberFormat="1" applyFont="1" applyFill="1" applyBorder="1" applyAlignment="1">
      <alignment horizontal="right" vertical="center"/>
    </xf>
    <xf numFmtId="0" fontId="31" fillId="0" borderId="0" xfId="0" applyFont="1" applyBorder="1"/>
    <xf numFmtId="43" fontId="31" fillId="0" borderId="0" xfId="1" applyFont="1" applyBorder="1"/>
    <xf numFmtId="43" fontId="31" fillId="0" borderId="0" xfId="0" applyNumberFormat="1" applyFont="1" applyBorder="1"/>
    <xf numFmtId="0" fontId="30" fillId="0" borderId="0" xfId="0" applyFont="1" applyBorder="1"/>
    <xf numFmtId="0" fontId="0" fillId="0" borderId="0" xfId="0" applyFont="1"/>
    <xf numFmtId="17" fontId="36" fillId="8" borderId="113" xfId="0" applyNumberFormat="1" applyFont="1" applyFill="1" applyBorder="1" applyAlignment="1">
      <alignment horizontal="center" vertical="center"/>
    </xf>
    <xf numFmtId="0" fontId="36" fillId="8" borderId="115" xfId="5" applyFont="1" applyFill="1" applyBorder="1" applyAlignment="1">
      <alignment horizontal="center" vertical="center"/>
    </xf>
    <xf numFmtId="0" fontId="36" fillId="8" borderId="117" xfId="5" applyFont="1" applyFill="1" applyBorder="1" applyAlignment="1">
      <alignment horizontal="center" vertical="center"/>
    </xf>
    <xf numFmtId="0" fontId="71" fillId="4" borderId="0" xfId="0" applyFont="1" applyFill="1" applyBorder="1"/>
    <xf numFmtId="43" fontId="71" fillId="4" borderId="0" xfId="1" applyFont="1" applyFill="1" applyBorder="1"/>
    <xf numFmtId="0" fontId="31" fillId="0" borderId="0" xfId="0" applyFont="1" applyBorder="1" applyAlignment="1">
      <alignment vertical="center"/>
    </xf>
    <xf numFmtId="43" fontId="31" fillId="0" borderId="0" xfId="1" applyFont="1" applyBorder="1" applyAlignment="1">
      <alignment vertical="center"/>
    </xf>
    <xf numFmtId="0" fontId="31" fillId="2" borderId="0" xfId="0" applyFont="1" applyFill="1" applyBorder="1"/>
    <xf numFmtId="43" fontId="31" fillId="2" borderId="0" xfId="1" applyFont="1" applyFill="1" applyBorder="1"/>
    <xf numFmtId="4" fontId="36" fillId="8" borderId="120" xfId="0" applyNumberFormat="1" applyFont="1" applyFill="1" applyBorder="1" applyAlignment="1">
      <alignment vertical="center"/>
    </xf>
    <xf numFmtId="4" fontId="72" fillId="8" borderId="120" xfId="0" applyNumberFormat="1" applyFont="1" applyFill="1" applyBorder="1" applyAlignment="1">
      <alignment vertical="center"/>
    </xf>
    <xf numFmtId="0" fontId="36" fillId="8" borderId="119" xfId="0" applyFont="1" applyFill="1" applyBorder="1" applyAlignment="1">
      <alignment vertical="center"/>
    </xf>
    <xf numFmtId="0" fontId="0" fillId="0" borderId="121" xfId="0" applyBorder="1"/>
    <xf numFmtId="0" fontId="36" fillId="10" borderId="125" xfId="6" applyFont="1" applyFill="1" applyBorder="1" applyAlignment="1">
      <alignment horizontal="center" vertical="center" wrapText="1"/>
    </xf>
    <xf numFmtId="0" fontId="36" fillId="10" borderId="125" xfId="6" applyFont="1" applyFill="1" applyBorder="1" applyAlignment="1">
      <alignment horizontal="center" vertical="center"/>
    </xf>
    <xf numFmtId="0" fontId="36" fillId="10" borderId="127" xfId="6" applyFont="1" applyFill="1" applyBorder="1" applyAlignment="1">
      <alignment horizontal="center" vertical="center"/>
    </xf>
    <xf numFmtId="20" fontId="36" fillId="10" borderId="129" xfId="6" applyNumberFormat="1" applyFont="1" applyFill="1" applyBorder="1" applyAlignment="1">
      <alignment horizontal="center" vertical="center"/>
    </xf>
    <xf numFmtId="0" fontId="36" fillId="10" borderId="130" xfId="6" applyFont="1" applyFill="1" applyBorder="1" applyAlignment="1">
      <alignment horizontal="center" vertical="center"/>
    </xf>
    <xf numFmtId="10" fontId="36" fillId="8" borderId="120" xfId="2" applyNumberFormat="1" applyFont="1" applyFill="1" applyBorder="1" applyAlignment="1">
      <alignment vertical="center"/>
    </xf>
    <xf numFmtId="10" fontId="72" fillId="8" borderId="120" xfId="2" applyNumberFormat="1" applyFont="1" applyFill="1" applyBorder="1" applyAlignment="1">
      <alignment vertical="center"/>
    </xf>
    <xf numFmtId="0" fontId="72" fillId="8" borderId="119" xfId="0" applyFont="1" applyFill="1" applyBorder="1" applyAlignment="1">
      <alignment vertical="center"/>
    </xf>
    <xf numFmtId="0" fontId="21" fillId="2" borderId="87" xfId="0" quotePrefix="1" applyFont="1" applyFill="1" applyBorder="1" applyAlignment="1">
      <alignment vertical="center"/>
    </xf>
    <xf numFmtId="0" fontId="30" fillId="0" borderId="87" xfId="0" applyFont="1" applyBorder="1"/>
    <xf numFmtId="0" fontId="37"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4" fillId="0" borderId="0" xfId="0" applyFont="1" applyAlignment="1">
      <alignment horizontal="center" vertical="center"/>
    </xf>
    <xf numFmtId="0" fontId="79" fillId="2" borderId="0" xfId="0" applyFont="1" applyFill="1" applyAlignment="1">
      <alignment horizontal="left" vertical="center" wrapText="1"/>
    </xf>
    <xf numFmtId="0" fontId="71" fillId="0" borderId="30" xfId="0" applyFont="1" applyBorder="1"/>
    <xf numFmtId="10" fontId="31" fillId="0" borderId="31" xfId="2" applyNumberFormat="1" applyFont="1" applyBorder="1"/>
    <xf numFmtId="0" fontId="71" fillId="4" borderId="133" xfId="0" applyFont="1" applyFill="1" applyBorder="1"/>
    <xf numFmtId="10" fontId="71" fillId="4" borderId="134" xfId="2" applyNumberFormat="1" applyFont="1" applyFill="1" applyBorder="1"/>
    <xf numFmtId="0" fontId="71" fillId="0" borderId="30" xfId="0" applyFont="1" applyBorder="1" applyAlignment="1">
      <alignment vertical="center" wrapText="1"/>
    </xf>
    <xf numFmtId="43" fontId="31" fillId="0" borderId="31" xfId="1" applyFont="1" applyBorder="1"/>
    <xf numFmtId="43" fontId="71" fillId="4" borderId="134" xfId="1" applyFont="1" applyFill="1" applyBorder="1"/>
    <xf numFmtId="0" fontId="31" fillId="0" borderId="31" xfId="0" applyFont="1" applyBorder="1"/>
    <xf numFmtId="0" fontId="71" fillId="2" borderId="30" xfId="0" applyFont="1" applyFill="1" applyBorder="1"/>
    <xf numFmtId="43" fontId="31" fillId="2" borderId="31" xfId="1" applyFont="1" applyFill="1" applyBorder="1"/>
    <xf numFmtId="0" fontId="71" fillId="4" borderId="135" xfId="0" applyFont="1" applyFill="1" applyBorder="1"/>
    <xf numFmtId="0" fontId="71" fillId="4" borderId="119" xfId="0" applyFont="1" applyFill="1" applyBorder="1"/>
    <xf numFmtId="43" fontId="71" fillId="4" borderId="119" xfId="1" applyFont="1" applyFill="1" applyBorder="1"/>
    <xf numFmtId="43" fontId="71" fillId="4" borderId="136" xfId="1" applyFont="1" applyFill="1" applyBorder="1"/>
    <xf numFmtId="0" fontId="71" fillId="0" borderId="30" xfId="0" applyFont="1" applyBorder="1" applyAlignment="1">
      <alignment wrapText="1"/>
    </xf>
    <xf numFmtId="43" fontId="31" fillId="0" borderId="31" xfId="1" applyFont="1" applyBorder="1" applyAlignment="1">
      <alignment vertical="center"/>
    </xf>
    <xf numFmtId="43" fontId="31" fillId="0" borderId="138" xfId="1" applyFont="1" applyBorder="1"/>
    <xf numFmtId="0" fontId="31" fillId="0" borderId="30" xfId="0" applyFont="1" applyBorder="1"/>
    <xf numFmtId="0" fontId="71" fillId="4" borderId="30" xfId="0" applyFont="1" applyFill="1" applyBorder="1"/>
    <xf numFmtId="43" fontId="71" fillId="4" borderId="31" xfId="1" applyFont="1" applyFill="1" applyBorder="1"/>
    <xf numFmtId="0" fontId="71"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1" fillId="0" borderId="138" xfId="2" applyFont="1" applyBorder="1"/>
    <xf numFmtId="10" fontId="31" fillId="0" borderId="138" xfId="2" applyNumberFormat="1" applyFont="1" applyBorder="1"/>
    <xf numFmtId="0" fontId="36" fillId="8" borderId="140" xfId="0" applyFont="1" applyFill="1" applyBorder="1" applyAlignment="1">
      <alignment horizontal="center" vertical="center" wrapText="1"/>
    </xf>
    <xf numFmtId="0" fontId="36" fillId="8" borderId="108" xfId="0" applyFont="1" applyFill="1" applyBorder="1" applyAlignment="1">
      <alignment horizontal="center" vertical="center" wrapText="1"/>
    </xf>
    <xf numFmtId="0" fontId="36" fillId="8" borderId="141" xfId="0" applyFont="1" applyFill="1" applyBorder="1" applyAlignment="1">
      <alignment horizontal="center" vertical="center" wrapText="1"/>
    </xf>
    <xf numFmtId="0" fontId="61" fillId="4" borderId="143" xfId="0" applyFont="1" applyFill="1" applyBorder="1" applyAlignment="1">
      <alignment horizontal="center" vertical="center"/>
    </xf>
    <xf numFmtId="4" fontId="61" fillId="4" borderId="144" xfId="0" applyNumberFormat="1" applyFont="1" applyFill="1" applyBorder="1" applyAlignment="1">
      <alignment horizontal="center" vertical="center"/>
    </xf>
    <xf numFmtId="0" fontId="31" fillId="0" borderId="0" xfId="0" applyFont="1" applyAlignment="1">
      <alignment vertical="center"/>
    </xf>
    <xf numFmtId="0" fontId="80" fillId="0" borderId="0" xfId="0" applyFont="1"/>
    <xf numFmtId="0" fontId="80" fillId="0" borderId="0" xfId="0" applyFont="1" applyAlignment="1">
      <alignment horizontal="right"/>
    </xf>
    <xf numFmtId="0" fontId="81" fillId="4" borderId="142" xfId="0" applyFont="1" applyFill="1" applyBorder="1" applyAlignment="1">
      <alignment vertical="center"/>
    </xf>
    <xf numFmtId="0" fontId="27" fillId="4" borderId="49" xfId="0" applyFont="1" applyFill="1" applyBorder="1" applyAlignment="1">
      <alignment vertical="center" wrapText="1"/>
    </xf>
    <xf numFmtId="0" fontId="81" fillId="0" borderId="142" xfId="0" applyFont="1" applyFill="1" applyBorder="1" applyAlignment="1">
      <alignment vertical="center" wrapText="1"/>
    </xf>
    <xf numFmtId="0" fontId="62" fillId="0" borderId="143" xfId="0" applyFont="1" applyFill="1" applyBorder="1" applyAlignment="1">
      <alignment horizontal="center" vertical="center"/>
    </xf>
    <xf numFmtId="0" fontId="61" fillId="0" borderId="143" xfId="0" applyFont="1" applyFill="1" applyBorder="1" applyAlignment="1">
      <alignment horizontal="center" vertical="center"/>
    </xf>
    <xf numFmtId="4" fontId="62" fillId="0" borderId="144" xfId="0" applyNumberFormat="1" applyFont="1" applyFill="1" applyBorder="1" applyAlignment="1">
      <alignment horizontal="center" vertical="center"/>
    </xf>
    <xf numFmtId="0" fontId="75" fillId="0" borderId="0" xfId="0" applyFont="1"/>
    <xf numFmtId="2" fontId="75" fillId="0" borderId="0" xfId="0" applyNumberFormat="1" applyFont="1" applyAlignment="1">
      <alignment horizontal="center" vertical="center" wrapText="1"/>
    </xf>
    <xf numFmtId="2" fontId="75" fillId="0" borderId="0" xfId="0" quotePrefix="1" applyNumberFormat="1" applyFont="1" applyAlignment="1">
      <alignment horizontal="center" vertical="center" wrapText="1"/>
    </xf>
    <xf numFmtId="17" fontId="75" fillId="0" borderId="0" xfId="0" quotePrefix="1" applyNumberFormat="1" applyFont="1" applyAlignment="1">
      <alignment horizontal="center" vertical="center" wrapText="1"/>
    </xf>
    <xf numFmtId="0" fontId="75" fillId="0" borderId="0" xfId="0" quotePrefix="1" applyFont="1" applyAlignment="1">
      <alignment horizontal="center" vertical="center" wrapText="1"/>
    </xf>
    <xf numFmtId="2" fontId="75" fillId="0" borderId="0" xfId="0" applyNumberFormat="1" applyFont="1" applyAlignment="1">
      <alignment horizontal="left"/>
    </xf>
    <xf numFmtId="2" fontId="74" fillId="0" borderId="0" xfId="0" applyNumberFormat="1" applyFont="1" applyAlignment="1">
      <alignment horizontal="center"/>
    </xf>
    <xf numFmtId="2" fontId="75" fillId="0" borderId="0" xfId="0" applyNumberFormat="1" applyFont="1" applyAlignment="1">
      <alignment horizontal="center"/>
    </xf>
    <xf numFmtId="43" fontId="75" fillId="0" borderId="0" xfId="1" applyFont="1" applyAlignment="1">
      <alignment horizontal="left"/>
    </xf>
    <xf numFmtId="0" fontId="75" fillId="0" borderId="0" xfId="0" applyFont="1" applyAlignment="1">
      <alignment vertical="top" wrapText="1"/>
    </xf>
    <xf numFmtId="166" fontId="50" fillId="0" borderId="0" xfId="0" applyNumberFormat="1" applyFont="1" applyAlignment="1">
      <alignment vertical="center"/>
    </xf>
    <xf numFmtId="172" fontId="67" fillId="7" borderId="0" xfId="3" applyNumberFormat="1" applyFont="1" applyFill="1" applyAlignment="1">
      <alignment horizontal="center"/>
    </xf>
    <xf numFmtId="2" fontId="67" fillId="7" borderId="0" xfId="3" applyNumberFormat="1" applyFont="1" applyFill="1"/>
    <xf numFmtId="2" fontId="67" fillId="7" borderId="0" xfId="3" applyNumberFormat="1" applyFont="1" applyFill="1" applyAlignment="1">
      <alignment horizontal="center"/>
    </xf>
    <xf numFmtId="175" fontId="82" fillId="7" borderId="0" xfId="0" applyNumberFormat="1" applyFont="1" applyFill="1" applyAlignment="1">
      <alignment vertical="center"/>
    </xf>
    <xf numFmtId="175" fontId="65" fillId="0" borderId="0" xfId="0" applyNumberFormat="1" applyFont="1" applyAlignment="1">
      <alignment vertical="center"/>
    </xf>
    <xf numFmtId="0" fontId="82" fillId="0" borderId="0" xfId="0" applyFont="1"/>
    <xf numFmtId="176" fontId="21" fillId="0" borderId="39" xfId="2" applyNumberFormat="1" applyFont="1" applyBorder="1" applyAlignment="1">
      <alignment horizontal="right" vertical="center"/>
    </xf>
    <xf numFmtId="0" fontId="0" fillId="0" borderId="0" xfId="0"/>
    <xf numFmtId="0" fontId="83" fillId="0" borderId="0" xfId="0" applyFont="1"/>
    <xf numFmtId="166" fontId="65" fillId="7" borderId="0" xfId="0" applyNumberFormat="1" applyFont="1" applyFill="1"/>
    <xf numFmtId="0" fontId="83" fillId="0" borderId="0" xfId="0" applyFont="1" applyAlignment="1">
      <alignment horizontal="center"/>
    </xf>
    <xf numFmtId="175" fontId="83" fillId="0" borderId="0" xfId="0" applyNumberFormat="1" applyFont="1" applyAlignment="1">
      <alignment horizontal="center"/>
    </xf>
    <xf numFmtId="17" fontId="52" fillId="0" borderId="0" xfId="0" applyNumberFormat="1" applyFont="1" applyAlignment="1">
      <alignment horizontal="center" vertical="center"/>
    </xf>
    <xf numFmtId="2" fontId="52" fillId="0" borderId="0" xfId="0" applyNumberFormat="1" applyFont="1" applyAlignment="1">
      <alignment horizontal="center" vertical="center"/>
    </xf>
    <xf numFmtId="2" fontId="52"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2" fillId="3" borderId="91" xfId="0" applyFont="1" applyFill="1" applyBorder="1" applyAlignment="1">
      <alignment vertical="center"/>
    </xf>
    <xf numFmtId="174" fontId="32"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1" fillId="4" borderId="133" xfId="0" applyFont="1" applyFill="1" applyBorder="1" applyAlignment="1">
      <alignment wrapText="1"/>
    </xf>
    <xf numFmtId="0" fontId="84" fillId="0" borderId="93" xfId="0" applyFont="1" applyBorder="1"/>
    <xf numFmtId="174" fontId="84" fillId="0" borderId="93" xfId="0" applyNumberFormat="1" applyFont="1" applyBorder="1"/>
    <xf numFmtId="0" fontId="85" fillId="0" borderId="0" xfId="0" applyFont="1" applyAlignment="1">
      <alignment vertical="center"/>
    </xf>
    <xf numFmtId="49" fontId="64" fillId="0" borderId="0" xfId="0" applyNumberFormat="1" applyFont="1" applyAlignment="1">
      <alignment horizontal="right"/>
    </xf>
    <xf numFmtId="1" fontId="64" fillId="0" borderId="0" xfId="0" applyNumberFormat="1" applyFont="1" applyAlignment="1">
      <alignment horizontal="right"/>
    </xf>
    <xf numFmtId="0" fontId="64" fillId="0" borderId="0" xfId="0" applyFont="1" applyAlignment="1">
      <alignment horizontal="right"/>
    </xf>
    <xf numFmtId="1" fontId="30"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2" fillId="8" borderId="119" xfId="0" applyFont="1" applyFill="1" applyBorder="1" applyAlignment="1">
      <alignment vertical="center"/>
    </xf>
    <xf numFmtId="0" fontId="86" fillId="0" borderId="0" xfId="0" applyFont="1"/>
    <xf numFmtId="175" fontId="86" fillId="0" borderId="0" xfId="0" applyNumberFormat="1" applyFont="1"/>
    <xf numFmtId="175" fontId="86" fillId="0" borderId="0" xfId="0" applyNumberFormat="1" applyFont="1" applyAlignment="1">
      <alignment horizontal="center"/>
    </xf>
    <xf numFmtId="0" fontId="86" fillId="0" borderId="0" xfId="0" applyFont="1" applyAlignment="1">
      <alignment horizontal="center"/>
    </xf>
    <xf numFmtId="0" fontId="27" fillId="4" borderId="0" xfId="0" applyFont="1" applyFill="1" applyBorder="1" applyAlignment="1">
      <alignment vertical="center"/>
    </xf>
    <xf numFmtId="167" fontId="33"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4" fillId="0" borderId="0" xfId="0" applyNumberFormat="1" applyFont="1"/>
    <xf numFmtId="9" fontId="21" fillId="4" borderId="78" xfId="2" applyFont="1" applyFill="1" applyBorder="1" applyAlignment="1">
      <alignment horizontal="center" vertical="center"/>
    </xf>
    <xf numFmtId="0" fontId="31" fillId="0" borderId="0" xfId="0" applyFont="1" applyAlignment="1">
      <alignment vertical="center" wrapText="1"/>
    </xf>
    <xf numFmtId="43" fontId="33"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5" fillId="0" borderId="0" xfId="0" applyFont="1" applyAlignment="1">
      <alignment horizontal="right"/>
    </xf>
    <xf numFmtId="0" fontId="87" fillId="0" borderId="0" xfId="0" applyFont="1"/>
    <xf numFmtId="0" fontId="88" fillId="0" borderId="0" xfId="0" applyFont="1" applyAlignment="1">
      <alignment vertical="center"/>
    </xf>
    <xf numFmtId="0" fontId="88" fillId="0" borderId="0" xfId="0" applyFont="1"/>
    <xf numFmtId="2" fontId="56" fillId="0" borderId="0" xfId="3" applyNumberFormat="1" applyFont="1" applyAlignment="1">
      <alignment horizontal="right"/>
    </xf>
    <xf numFmtId="0" fontId="36" fillId="0" borderId="0" xfId="0" quotePrefix="1" applyFont="1" applyFill="1" applyBorder="1" applyAlignment="1">
      <alignment horizontal="center" vertical="center" wrapText="1"/>
    </xf>
    <xf numFmtId="17" fontId="36" fillId="0" borderId="0" xfId="0" applyNumberFormat="1" applyFont="1" applyFill="1" applyBorder="1" applyAlignment="1">
      <alignment horizontal="center" vertical="center" wrapText="1"/>
    </xf>
    <xf numFmtId="169" fontId="36" fillId="0" borderId="0" xfId="0" applyNumberFormat="1" applyFont="1" applyFill="1" applyBorder="1" applyAlignment="1">
      <alignment horizontal="center" vertical="center" wrapText="1"/>
    </xf>
    <xf numFmtId="0" fontId="36" fillId="0" borderId="0" xfId="0" applyFont="1" applyFill="1" applyBorder="1" applyAlignment="1">
      <alignment horizontal="center" vertical="center" wrapText="1"/>
    </xf>
    <xf numFmtId="0" fontId="60" fillId="0" borderId="0" xfId="0" quotePrefix="1" applyFont="1" applyFill="1" applyBorder="1" applyAlignment="1">
      <alignment vertical="center" wrapText="1"/>
    </xf>
    <xf numFmtId="168" fontId="31" fillId="0" borderId="0" xfId="0" applyNumberFormat="1" applyFont="1" applyFill="1" applyBorder="1" applyAlignment="1">
      <alignment horizontal="center" vertical="center" wrapText="1"/>
    </xf>
    <xf numFmtId="0" fontId="31" fillId="0" borderId="0" xfId="2" applyNumberFormat="1" applyFont="1" applyFill="1" applyBorder="1" applyAlignment="1">
      <alignment horizontal="center" vertical="center" wrapText="1"/>
    </xf>
    <xf numFmtId="2" fontId="31" fillId="0" borderId="0" xfId="2" applyNumberFormat="1" applyFont="1" applyFill="1" applyBorder="1" applyAlignment="1">
      <alignment horizontal="center" vertical="center" wrapText="1"/>
    </xf>
    <xf numFmtId="4" fontId="31" fillId="0" borderId="0" xfId="0" applyNumberFormat="1" applyFont="1" applyFill="1" applyBorder="1" applyAlignment="1">
      <alignment horizontal="center" vertical="center" wrapText="1"/>
    </xf>
    <xf numFmtId="0" fontId="31" fillId="0" borderId="0" xfId="0" applyFont="1" applyFill="1" applyBorder="1" applyAlignment="1">
      <alignment horizontal="center" vertical="center" wrapText="1"/>
    </xf>
    <xf numFmtId="0" fontId="36" fillId="0" borderId="0" xfId="0" quotePrefix="1" applyFont="1" applyFill="1" applyBorder="1" applyAlignment="1">
      <alignment horizontal="left" vertical="center"/>
    </xf>
    <xf numFmtId="168" fontId="36" fillId="0" borderId="0" xfId="0" applyNumberFormat="1" applyFont="1" applyFill="1" applyBorder="1" applyAlignment="1">
      <alignment horizontal="right" vertical="center"/>
    </xf>
    <xf numFmtId="168" fontId="36" fillId="0" borderId="0" xfId="0" applyNumberFormat="1" applyFont="1" applyFill="1" applyBorder="1" applyAlignment="1">
      <alignment horizontal="left" vertical="center"/>
    </xf>
    <xf numFmtId="0" fontId="36" fillId="0" borderId="0" xfId="2" applyNumberFormat="1" applyFont="1" applyFill="1" applyBorder="1" applyAlignment="1">
      <alignment horizontal="left" vertical="center"/>
    </xf>
    <xf numFmtId="0" fontId="36" fillId="0" borderId="0" xfId="2" applyNumberFormat="1" applyFont="1" applyFill="1" applyBorder="1" applyAlignment="1">
      <alignment horizontal="center" vertical="center"/>
    </xf>
    <xf numFmtId="4" fontId="36" fillId="0" borderId="0" xfId="0" applyNumberFormat="1" applyFont="1" applyFill="1" applyBorder="1" applyAlignment="1">
      <alignment horizontal="center" vertical="center"/>
    </xf>
    <xf numFmtId="0" fontId="36" fillId="0" borderId="0" xfId="0" applyFont="1" applyFill="1" applyBorder="1" applyAlignment="1">
      <alignment horizontal="center" vertical="center"/>
    </xf>
    <xf numFmtId="0" fontId="71" fillId="4" borderId="133" xfId="0" applyFont="1" applyFill="1" applyBorder="1" applyAlignment="1"/>
    <xf numFmtId="43" fontId="31" fillId="0" borderId="145" xfId="0" applyNumberFormat="1" applyFont="1" applyBorder="1"/>
    <xf numFmtId="43" fontId="71" fillId="4" borderId="146" xfId="0" applyNumberFormat="1" applyFont="1" applyFill="1" applyBorder="1"/>
    <xf numFmtId="43" fontId="31" fillId="0" borderId="147" xfId="0" applyNumberFormat="1" applyFont="1" applyBorder="1"/>
    <xf numFmtId="43" fontId="31" fillId="0" borderId="148" xfId="0" applyNumberFormat="1" applyFont="1" applyBorder="1"/>
    <xf numFmtId="43" fontId="71" fillId="4" borderId="149" xfId="0" applyNumberFormat="1" applyFont="1" applyFill="1" applyBorder="1"/>
    <xf numFmtId="43" fontId="31" fillId="0" borderId="150" xfId="0" applyNumberFormat="1" applyFont="1" applyBorder="1"/>
    <xf numFmtId="0" fontId="71" fillId="0" borderId="30" xfId="0" applyFont="1" applyBorder="1" applyAlignment="1">
      <alignment vertical="center"/>
    </xf>
    <xf numFmtId="43" fontId="31" fillId="0" borderId="0" xfId="0" applyNumberFormat="1" applyFont="1" applyBorder="1" applyAlignment="1">
      <alignment vertical="center"/>
    </xf>
    <xf numFmtId="43" fontId="31" fillId="0" borderId="147" xfId="0" applyNumberFormat="1" applyFont="1" applyBorder="1" applyAlignment="1">
      <alignment vertical="center"/>
    </xf>
    <xf numFmtId="43" fontId="31" fillId="0" borderId="150" xfId="0" applyNumberFormat="1" applyFont="1" applyBorder="1" applyAlignment="1">
      <alignment vertical="center"/>
    </xf>
    <xf numFmtId="10" fontId="31" fillId="0" borderId="31" xfId="2" applyNumberFormat="1" applyFont="1" applyBorder="1" applyAlignment="1">
      <alignment vertical="center"/>
    </xf>
    <xf numFmtId="0" fontId="71" fillId="4" borderId="133" xfId="0" applyFont="1" applyFill="1" applyBorder="1" applyAlignment="1">
      <alignment vertical="center"/>
    </xf>
    <xf numFmtId="0" fontId="71" fillId="4" borderId="87" xfId="0" applyFont="1" applyFill="1" applyBorder="1" applyAlignment="1">
      <alignment vertical="center"/>
    </xf>
    <xf numFmtId="43" fontId="71" fillId="4" borderId="87" xfId="0" applyNumberFormat="1" applyFont="1" applyFill="1" applyBorder="1" applyAlignment="1">
      <alignment vertical="center"/>
    </xf>
    <xf numFmtId="43" fontId="71" fillId="4" borderId="146" xfId="0" applyNumberFormat="1" applyFont="1" applyFill="1" applyBorder="1" applyAlignment="1">
      <alignment vertical="center"/>
    </xf>
    <xf numFmtId="43" fontId="71" fillId="4" borderId="149" xfId="0" applyNumberFormat="1" applyFont="1" applyFill="1" applyBorder="1" applyAlignment="1">
      <alignment vertical="center"/>
    </xf>
    <xf numFmtId="10" fontId="71" fillId="4" borderId="134" xfId="2" applyNumberFormat="1" applyFont="1" applyFill="1" applyBorder="1" applyAlignment="1">
      <alignment vertical="center"/>
    </xf>
    <xf numFmtId="43" fontId="31" fillId="0" borderId="119" xfId="0" applyNumberFormat="1" applyFont="1" applyBorder="1"/>
    <xf numFmtId="10" fontId="31" fillId="0" borderId="119" xfId="2" applyNumberFormat="1" applyFont="1" applyBorder="1"/>
    <xf numFmtId="0" fontId="23" fillId="0" borderId="0" xfId="0" applyFont="1" applyAlignment="1">
      <alignment horizontal="left" vertical="center"/>
    </xf>
    <xf numFmtId="0" fontId="33" fillId="2" borderId="0" xfId="9" applyFont="1" applyFill="1" applyAlignment="1">
      <alignment horizontal="left" vertical="center"/>
    </xf>
    <xf numFmtId="0" fontId="33" fillId="2" borderId="0" xfId="9" applyFont="1" applyFill="1" applyAlignment="1">
      <alignment vertical="center"/>
    </xf>
    <xf numFmtId="0" fontId="30" fillId="0" borderId="0" xfId="9" applyFont="1" applyAlignment="1">
      <alignment vertical="center"/>
    </xf>
    <xf numFmtId="0" fontId="36" fillId="8" borderId="72" xfId="9" applyFont="1" applyFill="1" applyBorder="1" applyAlignment="1">
      <alignment horizontal="center" vertical="center"/>
    </xf>
    <xf numFmtId="43" fontId="36" fillId="8" borderId="72" xfId="10" applyFont="1" applyFill="1" applyBorder="1" applyAlignment="1">
      <alignment horizontal="center" vertical="center"/>
    </xf>
    <xf numFmtId="4" fontId="36" fillId="8" borderId="72" xfId="9" applyNumberFormat="1" applyFont="1" applyFill="1" applyBorder="1" applyAlignment="1">
      <alignment horizontal="center" vertical="center"/>
    </xf>
    <xf numFmtId="0" fontId="36" fillId="8" borderId="72" xfId="9" applyFont="1" applyFill="1" applyBorder="1" applyAlignment="1">
      <alignment horizontal="center" vertical="center" wrapText="1"/>
    </xf>
    <xf numFmtId="0" fontId="33" fillId="0" borderId="0" xfId="9" applyFont="1" applyAlignment="1">
      <alignment horizontal="left" vertical="center" wrapText="1"/>
    </xf>
    <xf numFmtId="0" fontId="33" fillId="0" borderId="0" xfId="9" applyFont="1" applyAlignment="1">
      <alignment horizontal="center" vertical="center"/>
    </xf>
    <xf numFmtId="0" fontId="33" fillId="0" borderId="0" xfId="9" applyFont="1" applyAlignment="1">
      <alignment vertical="center"/>
    </xf>
    <xf numFmtId="22" fontId="31" fillId="0" borderId="72" xfId="9" applyNumberFormat="1" applyFont="1" applyBorder="1" applyAlignment="1">
      <alignment horizontal="center" vertical="center" wrapText="1"/>
    </xf>
    <xf numFmtId="0" fontId="60" fillId="0" borderId="72" xfId="9" applyFont="1" applyBorder="1" applyAlignment="1">
      <alignment horizontal="justify" vertical="center" wrapText="1"/>
    </xf>
    <xf numFmtId="0" fontId="31" fillId="0" borderId="72" xfId="9" applyFont="1" applyBorder="1" applyAlignment="1">
      <alignment horizontal="center" vertical="center" wrapText="1"/>
    </xf>
    <xf numFmtId="0" fontId="33"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22" fontId="60" fillId="0" borderId="72" xfId="9" applyNumberFormat="1" applyFont="1" applyBorder="1" applyAlignment="1">
      <alignment horizontal="center" vertical="center" wrapText="1"/>
    </xf>
    <xf numFmtId="0" fontId="60" fillId="0" borderId="72" xfId="9" applyFont="1" applyBorder="1" applyAlignment="1">
      <alignment horizontal="center" vertical="center" wrapText="1"/>
    </xf>
    <xf numFmtId="22" fontId="30" fillId="0" borderId="0" xfId="9" applyNumberFormat="1" applyFont="1" applyAlignment="1">
      <alignment vertical="center"/>
    </xf>
    <xf numFmtId="0" fontId="30" fillId="0" borderId="0" xfId="9" applyFont="1" applyAlignment="1">
      <alignment horizontal="center" vertical="center"/>
    </xf>
    <xf numFmtId="0" fontId="32" fillId="8" borderId="23" xfId="0" applyNumberFormat="1" applyFont="1" applyFill="1" applyBorder="1" applyAlignment="1">
      <alignment horizontal="center"/>
    </xf>
    <xf numFmtId="43" fontId="62" fillId="0" borderId="78" xfId="1" applyFont="1" applyBorder="1" applyAlignment="1">
      <alignment vertical="center" wrapText="1"/>
    </xf>
    <xf numFmtId="0" fontId="62"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5" fillId="0" borderId="0" xfId="1" applyFont="1"/>
    <xf numFmtId="43" fontId="65"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3"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4" fillId="0" borderId="0" xfId="0" applyNumberFormat="1" applyFont="1" applyAlignment="1">
      <alignment horizontal="center"/>
    </xf>
    <xf numFmtId="0" fontId="44" fillId="0" borderId="0" xfId="0" applyFont="1" applyAlignment="1">
      <alignment horizontal="center"/>
    </xf>
    <xf numFmtId="2" fontId="44" fillId="0" borderId="0" xfId="0" applyNumberFormat="1" applyFont="1"/>
    <xf numFmtId="10" fontId="44" fillId="0" borderId="0" xfId="2" applyNumberFormat="1" applyFont="1"/>
    <xf numFmtId="0" fontId="27" fillId="2" borderId="0" xfId="0" applyFont="1" applyFill="1" applyBorder="1" applyAlignment="1">
      <alignment vertical="center" wrapText="1"/>
    </xf>
    <xf numFmtId="2" fontId="65" fillId="0" borderId="0" xfId="0" applyNumberFormat="1" applyFont="1"/>
    <xf numFmtId="174" fontId="84" fillId="11" borderId="93" xfId="0" applyNumberFormat="1" applyFont="1" applyFill="1" applyBorder="1"/>
    <xf numFmtId="0" fontId="65" fillId="0" borderId="0" xfId="0" applyFont="1" applyAlignment="1">
      <alignment horizontal="center" vertical="center"/>
    </xf>
    <xf numFmtId="166" fontId="65" fillId="0" borderId="0" xfId="0" applyNumberFormat="1" applyFont="1" applyAlignment="1">
      <alignment vertical="center"/>
    </xf>
    <xf numFmtId="166" fontId="65" fillId="0" borderId="0" xfId="0" applyNumberFormat="1" applyFont="1" applyAlignment="1">
      <alignment horizontal="right" vertical="center"/>
    </xf>
    <xf numFmtId="166" fontId="65" fillId="0" borderId="0" xfId="7" applyNumberFormat="1" applyFont="1" applyAlignment="1">
      <alignment vertical="center"/>
    </xf>
    <xf numFmtId="0" fontId="65" fillId="0" borderId="0" xfId="0" applyFont="1" applyAlignment="1">
      <alignment horizontal="right" vertical="center"/>
    </xf>
    <xf numFmtId="0" fontId="0" fillId="0" borderId="0" xfId="0" applyFont="1" applyAlignment="1">
      <alignment horizontal="center" vertical="center"/>
    </xf>
    <xf numFmtId="43" fontId="36" fillId="8" borderId="153" xfId="1" applyFont="1" applyFill="1" applyBorder="1" applyAlignment="1">
      <alignment horizontal="center" vertical="center" wrapText="1"/>
    </xf>
    <xf numFmtId="0" fontId="36" fillId="8" borderId="154" xfId="0" applyFont="1" applyFill="1" applyBorder="1" applyAlignment="1">
      <alignment horizontal="center" vertical="center" wrapText="1"/>
    </xf>
    <xf numFmtId="0" fontId="36" fillId="8" borderId="0" xfId="0" applyFont="1" applyFill="1" applyBorder="1" applyAlignment="1">
      <alignment horizontal="center" vertical="center" wrapText="1"/>
    </xf>
    <xf numFmtId="0" fontId="81" fillId="0" borderId="155" xfId="0" applyFont="1" applyFill="1" applyBorder="1" applyAlignment="1">
      <alignment vertical="center" wrapText="1"/>
    </xf>
    <xf numFmtId="0" fontId="62" fillId="0" borderId="156" xfId="0" applyFont="1" applyFill="1" applyBorder="1" applyAlignment="1">
      <alignment horizontal="center" vertical="center"/>
    </xf>
    <xf numFmtId="4" fontId="62" fillId="0" borderId="157" xfId="0" applyNumberFormat="1" applyFont="1" applyFill="1" applyBorder="1" applyAlignment="1">
      <alignment horizontal="center" vertical="center"/>
    </xf>
    <xf numFmtId="0" fontId="12" fillId="0" borderId="0" xfId="0" applyFont="1" applyAlignment="1">
      <alignment horizontal="center" vertical="center"/>
    </xf>
    <xf numFmtId="0" fontId="89"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1" fillId="5" borderId="38" xfId="0" applyFont="1" applyFill="1" applyBorder="1" applyAlignment="1">
      <alignment horizontal="left" vertical="center"/>
    </xf>
    <xf numFmtId="0" fontId="61" fillId="5" borderId="40" xfId="0" applyFont="1" applyFill="1" applyBorder="1" applyAlignment="1">
      <alignment horizontal="left" vertical="center"/>
    </xf>
    <xf numFmtId="0" fontId="36" fillId="8" borderId="34" xfId="0" applyFont="1" applyFill="1" applyBorder="1" applyAlignment="1">
      <alignment horizontal="center" vertical="center" wrapText="1"/>
    </xf>
    <xf numFmtId="0" fontId="36" fillId="8" borderId="26" xfId="0" applyFont="1" applyFill="1" applyBorder="1" applyAlignment="1">
      <alignment horizontal="center" vertical="center" wrapText="1"/>
    </xf>
    <xf numFmtId="0" fontId="37" fillId="0" borderId="0" xfId="0" applyFont="1" applyAlignment="1">
      <alignment horizontal="left" wrapText="1"/>
    </xf>
    <xf numFmtId="0" fontId="12" fillId="2" borderId="0" xfId="0" applyFont="1" applyFill="1" applyAlignment="1">
      <alignment horizontal="center" vertical="center" wrapText="1"/>
    </xf>
    <xf numFmtId="0" fontId="61" fillId="5" borderId="27" xfId="0" applyFont="1" applyFill="1" applyBorder="1" applyAlignment="1">
      <alignment horizontal="left" vertical="center"/>
    </xf>
    <xf numFmtId="0" fontId="61" fillId="5" borderId="29" xfId="0" applyFont="1" applyFill="1" applyBorder="1" applyAlignment="1">
      <alignment horizontal="left" vertical="center"/>
    </xf>
    <xf numFmtId="0" fontId="61" fillId="2" borderId="30" xfId="0" applyFont="1" applyFill="1" applyBorder="1" applyAlignment="1">
      <alignment horizontal="left" vertical="center"/>
    </xf>
    <xf numFmtId="0" fontId="61" fillId="2" borderId="31" xfId="0" applyFont="1" applyFill="1" applyBorder="1" applyAlignment="1">
      <alignment horizontal="left" vertical="center"/>
    </xf>
    <xf numFmtId="0" fontId="61" fillId="5" borderId="30" xfId="0" applyFont="1" applyFill="1" applyBorder="1" applyAlignment="1">
      <alignment horizontal="left" vertical="center"/>
    </xf>
    <xf numFmtId="0" fontId="61" fillId="5" borderId="31" xfId="0" applyFont="1" applyFill="1" applyBorder="1" applyAlignment="1">
      <alignment horizontal="left" vertical="center"/>
    </xf>
    <xf numFmtId="0" fontId="61" fillId="2" borderId="32" xfId="0" applyFont="1" applyFill="1" applyBorder="1" applyAlignment="1">
      <alignment horizontal="left" vertical="center"/>
    </xf>
    <xf numFmtId="0" fontId="61" fillId="2" borderId="34" xfId="0" applyFont="1" applyFill="1" applyBorder="1" applyAlignment="1">
      <alignment horizontal="left" vertical="center"/>
    </xf>
    <xf numFmtId="0" fontId="62" fillId="2" borderId="0" xfId="0" quotePrefix="1" applyFont="1" applyFill="1" applyAlignment="1">
      <alignment horizontal="left" vertical="center"/>
    </xf>
    <xf numFmtId="0" fontId="62" fillId="2" borderId="0" xfId="0" quotePrefix="1" applyFont="1" applyFill="1" applyAlignment="1">
      <alignment horizontal="left" vertical="center" wrapText="1"/>
    </xf>
    <xf numFmtId="0" fontId="31"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2" fillId="8" borderId="23" xfId="1" applyFont="1" applyFill="1" applyBorder="1" applyAlignment="1">
      <alignment horizontal="center" vertical="center"/>
    </xf>
    <xf numFmtId="17" fontId="32" fillId="8" borderId="23" xfId="0" applyNumberFormat="1" applyFont="1" applyFill="1" applyBorder="1" applyAlignment="1">
      <alignment horizontal="center" vertical="center"/>
    </xf>
    <xf numFmtId="0" fontId="32" fillId="8" borderId="23" xfId="0" applyFont="1" applyFill="1" applyBorder="1" applyAlignment="1">
      <alignment horizontal="center" vertical="center"/>
    </xf>
    <xf numFmtId="167" fontId="32" fillId="8" borderId="23" xfId="2" applyNumberFormat="1" applyFont="1" applyFill="1" applyBorder="1" applyAlignment="1">
      <alignment horizontal="center" vertical="center" wrapText="1"/>
    </xf>
    <xf numFmtId="167" fontId="32" fillId="8" borderId="23" xfId="2" applyNumberFormat="1" applyFont="1" applyFill="1" applyBorder="1" applyAlignment="1">
      <alignment horizontal="center" vertical="center"/>
    </xf>
    <xf numFmtId="0" fontId="32"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4"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7" fillId="2" borderId="0" xfId="0" applyNumberFormat="1" applyFont="1" applyFill="1" applyAlignment="1">
      <alignment horizontal="left" vertical="center" wrapText="1"/>
    </xf>
    <xf numFmtId="2" fontId="37" fillId="2" borderId="0" xfId="0" applyNumberFormat="1" applyFont="1" applyFill="1" applyAlignment="1">
      <alignment horizontal="left" vertical="center"/>
    </xf>
    <xf numFmtId="2" fontId="37" fillId="2" borderId="95" xfId="0" applyNumberFormat="1" applyFont="1" applyFill="1" applyBorder="1" applyAlignment="1">
      <alignment horizontal="left" vertical="center" wrapText="1"/>
    </xf>
    <xf numFmtId="0" fontId="76" fillId="2" borderId="0" xfId="0" applyFont="1" applyFill="1" applyAlignment="1">
      <alignment horizontal="left" vertical="center"/>
    </xf>
    <xf numFmtId="43" fontId="62" fillId="0" borderId="151" xfId="1" applyFont="1" applyBorder="1" applyAlignment="1">
      <alignment horizontal="left" vertical="center" wrapText="1"/>
    </xf>
    <xf numFmtId="43" fontId="62" fillId="0" borderId="152" xfId="1" applyFont="1" applyBorder="1" applyAlignment="1">
      <alignment horizontal="left" vertical="center" wrapText="1"/>
    </xf>
    <xf numFmtId="43" fontId="36" fillId="8" borderId="82" xfId="1" applyFont="1" applyFill="1" applyBorder="1" applyAlignment="1">
      <alignment horizontal="center" vertical="center" wrapText="1"/>
    </xf>
    <xf numFmtId="43" fontId="36"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7"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7" fillId="2" borderId="0" xfId="0" applyFont="1" applyFill="1" applyAlignment="1">
      <alignment wrapText="1"/>
    </xf>
    <xf numFmtId="0" fontId="38" fillId="2" borderId="0" xfId="0" quotePrefix="1" applyFont="1" applyFill="1" applyAlignment="1">
      <alignment horizontal="center" vertical="center" wrapText="1"/>
    </xf>
    <xf numFmtId="0" fontId="38" fillId="2" borderId="0" xfId="0" applyFont="1" applyFill="1" applyAlignment="1">
      <alignment horizontal="center"/>
    </xf>
    <xf numFmtId="0" fontId="37" fillId="2" borderId="0" xfId="0" applyFont="1" applyFill="1" applyAlignment="1">
      <alignment vertical="center" wrapText="1"/>
    </xf>
    <xf numFmtId="0" fontId="36" fillId="8" borderId="112" xfId="5" applyFont="1" applyFill="1" applyBorder="1" applyAlignment="1">
      <alignment horizontal="center" vertical="center"/>
    </xf>
    <xf numFmtId="0" fontId="36" fillId="8" borderId="114" xfId="5" applyFont="1" applyFill="1" applyBorder="1" applyAlignment="1">
      <alignment horizontal="center" vertical="center"/>
    </xf>
    <xf numFmtId="0" fontId="36" fillId="8" borderId="116" xfId="5" applyFont="1" applyFill="1" applyBorder="1" applyAlignment="1">
      <alignment horizontal="center" vertical="center"/>
    </xf>
    <xf numFmtId="0" fontId="36" fillId="8" borderId="85" xfId="5" applyFont="1" applyFill="1" applyBorder="1" applyAlignment="1">
      <alignment horizontal="center" vertical="center"/>
    </xf>
    <xf numFmtId="0" fontId="36" fillId="8" borderId="84" xfId="5" applyFont="1" applyFill="1" applyBorder="1" applyAlignment="1">
      <alignment horizontal="center" vertical="center"/>
    </xf>
    <xf numFmtId="0" fontId="36" fillId="8" borderId="88" xfId="5" applyFont="1" applyFill="1" applyBorder="1" applyAlignment="1">
      <alignment horizontal="center" vertical="center"/>
    </xf>
    <xf numFmtId="17" fontId="36" fillId="8" borderId="85" xfId="0" applyNumberFormat="1" applyFont="1" applyFill="1" applyBorder="1" applyAlignment="1">
      <alignment horizontal="center" vertical="center"/>
    </xf>
    <xf numFmtId="0" fontId="36" fillId="8" borderId="84" xfId="0" applyFont="1" applyFill="1" applyBorder="1" applyAlignment="1">
      <alignment horizontal="center" vertical="center"/>
    </xf>
    <xf numFmtId="0" fontId="36" fillId="8" borderId="44" xfId="5" applyFont="1" applyFill="1" applyBorder="1" applyAlignment="1">
      <alignment horizontal="center" vertical="center" wrapText="1"/>
    </xf>
    <xf numFmtId="0" fontId="36" fillId="8" borderId="85" xfId="5" applyFont="1" applyFill="1" applyBorder="1" applyAlignment="1">
      <alignment horizontal="center" vertical="center" wrapText="1"/>
    </xf>
    <xf numFmtId="0" fontId="36" fillId="8" borderId="118" xfId="5" applyFont="1" applyFill="1" applyBorder="1" applyAlignment="1">
      <alignment horizontal="center" vertical="center"/>
    </xf>
    <xf numFmtId="0" fontId="36" fillId="8" borderId="44" xfId="5" applyFont="1" applyFill="1" applyBorder="1" applyAlignment="1">
      <alignment horizontal="center" vertical="center"/>
    </xf>
    <xf numFmtId="0" fontId="31" fillId="0" borderId="0" xfId="0" applyFont="1" applyAlignment="1">
      <alignment horizontal="left" vertical="center" wrapText="1"/>
    </xf>
    <xf numFmtId="0" fontId="31" fillId="0" borderId="0" xfId="0" applyFont="1" applyBorder="1" applyAlignment="1">
      <alignment horizontal="left" vertical="center" wrapText="1"/>
    </xf>
    <xf numFmtId="0" fontId="36" fillId="10" borderId="122" xfId="6" applyFont="1" applyFill="1" applyBorder="1" applyAlignment="1">
      <alignment horizontal="center" vertical="center"/>
    </xf>
    <xf numFmtId="0" fontId="36" fillId="10" borderId="124" xfId="6" applyFont="1" applyFill="1" applyBorder="1" applyAlignment="1">
      <alignment horizontal="center" vertical="center"/>
    </xf>
    <xf numFmtId="0" fontId="36" fillId="10" borderId="128" xfId="6" applyFont="1" applyFill="1" applyBorder="1" applyAlignment="1">
      <alignment horizontal="center" vertical="center"/>
    </xf>
    <xf numFmtId="0" fontId="36" fillId="10" borderId="92" xfId="6" applyFont="1" applyFill="1" applyBorder="1" applyAlignment="1">
      <alignment horizontal="center" vertical="center"/>
    </xf>
    <xf numFmtId="0" fontId="36" fillId="10" borderId="45" xfId="6" applyFont="1" applyFill="1" applyBorder="1" applyAlignment="1">
      <alignment horizontal="center" vertical="center"/>
    </xf>
    <xf numFmtId="0" fontId="36" fillId="10" borderId="129" xfId="6" applyFont="1" applyFill="1" applyBorder="1" applyAlignment="1">
      <alignment horizontal="center" vertical="center"/>
    </xf>
    <xf numFmtId="0" fontId="36" fillId="10" borderId="123" xfId="6" applyFont="1" applyFill="1" applyBorder="1" applyAlignment="1">
      <alignment horizontal="center" vertical="center"/>
    </xf>
    <xf numFmtId="0" fontId="36" fillId="10" borderId="131" xfId="6" applyFont="1" applyFill="1" applyBorder="1" applyAlignment="1">
      <alignment horizontal="center" vertical="center"/>
    </xf>
    <xf numFmtId="0" fontId="36" fillId="10" borderId="126" xfId="6" applyFont="1" applyFill="1" applyBorder="1" applyAlignment="1">
      <alignment horizontal="center" vertical="center"/>
    </xf>
    <xf numFmtId="0" fontId="36" fillId="10" borderId="18" xfId="6" applyFont="1" applyFill="1" applyBorder="1" applyAlignment="1">
      <alignment horizontal="center" vertical="center"/>
    </xf>
    <xf numFmtId="0" fontId="36" fillId="10" borderId="91" xfId="6" applyFont="1" applyFill="1" applyBorder="1" applyAlignment="1">
      <alignment horizontal="center" vertical="center"/>
    </xf>
    <xf numFmtId="0" fontId="36" fillId="10" borderId="132" xfId="6" applyFont="1" applyFill="1" applyBorder="1" applyAlignment="1">
      <alignment horizontal="center" vertical="center"/>
    </xf>
    <xf numFmtId="0" fontId="31" fillId="0" borderId="0" xfId="0" applyFont="1" applyAlignment="1">
      <alignment horizontal="left" vertical="center"/>
    </xf>
    <xf numFmtId="0" fontId="41" fillId="8" borderId="93" xfId="0" applyFont="1" applyFill="1" applyBorder="1" applyAlignment="1">
      <alignment horizontal="center" vertical="center"/>
    </xf>
    <xf numFmtId="174" fontId="41"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6">
    <dxf>
      <font>
        <color rgb="FF9C0006"/>
      </font>
    </dxf>
    <dxf>
      <font>
        <color rgb="FF9C0006"/>
      </font>
    </dxf>
    <dxf>
      <font>
        <color rgb="FF9C0006"/>
      </font>
    </dxf>
    <dxf>
      <font>
        <color rgb="FF9C0006"/>
      </font>
    </dxf>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6.xml"/><Relationship Id="rId1" Type="http://schemas.microsoft.com/office/2011/relationships/chartStyle" Target="style6.xml"/></Relationships>
</file>

<file path=xl/charts/_rels/chart29.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7.xml"/><Relationship Id="rId1" Type="http://schemas.microsoft.com/office/2011/relationships/chartStyle" Target="style7.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1218371651717391E-2"/>
                  <c:y val="0.1103716693938600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2153.3551646150004</c:v>
                </c:pt>
                <c:pt idx="1">
                  <c:v>1364.5182918550006</c:v>
                </c:pt>
                <c:pt idx="2">
                  <c:v>0</c:v>
                </c:pt>
                <c:pt idx="3">
                  <c:v>2.45639E-2</c:v>
                </c:pt>
                <c:pt idx="4">
                  <c:v>21.865095594999996</c:v>
                </c:pt>
                <c:pt idx="5">
                  <c:v>161.8844647825</c:v>
                </c:pt>
                <c:pt idx="6">
                  <c:v>55.064190197499997</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1364.5182918550006</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2.45639E-2</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21.865095594999996</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161.8844647825</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55.064190197499997</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RER'!$L$40:$L$46</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RER'!$O$40:$O$46</c:f>
              <c:numCache>
                <c:formatCode>0.00</c:formatCode>
                <c:ptCount val="7"/>
                <c:pt idx="0">
                  <c:v>30.991950109999998</c:v>
                </c:pt>
                <c:pt idx="1">
                  <c:v>7.4953588299999998</c:v>
                </c:pt>
                <c:pt idx="2">
                  <c:v>3.8023325275000004</c:v>
                </c:pt>
                <c:pt idx="3">
                  <c:v>3.3394412349999998</c:v>
                </c:pt>
                <c:pt idx="4">
                  <c:v>3.3092989999999998</c:v>
                </c:pt>
                <c:pt idx="5">
                  <c:v>3.1982834100000002</c:v>
                </c:pt>
                <c:pt idx="6">
                  <c:v>2.9275250850000001</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RER'!$L$40:$L$46</c:f>
              <c:strCache>
                <c:ptCount val="7"/>
                <c:pt idx="0">
                  <c:v>C.S. RUBI</c:v>
                </c:pt>
                <c:pt idx="1">
                  <c:v>C.S. INTIPAMPA</c:v>
                </c:pt>
                <c:pt idx="2">
                  <c:v>C.S. PANAMERICANA SOLAR</c:v>
                </c:pt>
                <c:pt idx="3">
                  <c:v>C.S. REPARTICION</c:v>
                </c:pt>
                <c:pt idx="4">
                  <c:v>C.S. MAJES SOLAR</c:v>
                </c:pt>
                <c:pt idx="5">
                  <c:v>C.S. MOQUEGUA FV</c:v>
                </c:pt>
                <c:pt idx="6">
                  <c:v>C.S. TACNA SOLAR</c:v>
                </c:pt>
              </c:strCache>
            </c:strRef>
          </c:cat>
          <c:val>
            <c:numRef>
              <c:f>'6. FP RER'!$P$40:$P$46</c:f>
              <c:numCache>
                <c:formatCode>0.00</c:formatCode>
                <c:ptCount val="7"/>
                <c:pt idx="0">
                  <c:v>0.28831566252798324</c:v>
                </c:pt>
                <c:pt idx="1">
                  <c:v>0.22618785427862353</c:v>
                </c:pt>
                <c:pt idx="2">
                  <c:v>0.25553309996639784</c:v>
                </c:pt>
                <c:pt idx="3">
                  <c:v>0.22442481418010751</c:v>
                </c:pt>
                <c:pt idx="4">
                  <c:v>0.22239912634408601</c:v>
                </c:pt>
                <c:pt idx="5">
                  <c:v>0.26867300151209678</c:v>
                </c:pt>
                <c:pt idx="6">
                  <c:v>0.19674227721774196</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RER'!$L$47:$L$50</c:f>
              <c:strCache>
                <c:ptCount val="4"/>
                <c:pt idx="0">
                  <c:v>C.T. PARAMONGA</c:v>
                </c:pt>
                <c:pt idx="1">
                  <c:v>C.T. LA GRINGA</c:v>
                </c:pt>
                <c:pt idx="2">
                  <c:v>C.T. HUAYCOLORO</c:v>
                </c:pt>
                <c:pt idx="3">
                  <c:v>C.T. DOÑA CATALINA</c:v>
                </c:pt>
              </c:strCache>
            </c:strRef>
          </c:cat>
          <c:val>
            <c:numRef>
              <c:f>'6. FP RER'!$O$47:$O$50</c:f>
              <c:numCache>
                <c:formatCode>0.00</c:formatCode>
                <c:ptCount val="4"/>
                <c:pt idx="0">
                  <c:v>8.7488638724999994</c:v>
                </c:pt>
                <c:pt idx="1">
                  <c:v>1.649512375</c:v>
                </c:pt>
                <c:pt idx="2">
                  <c:v>0.79044162500000015</c:v>
                </c:pt>
                <c:pt idx="3">
                  <c:v>0</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RER'!$L$47:$L$50</c:f>
              <c:strCache>
                <c:ptCount val="4"/>
                <c:pt idx="0">
                  <c:v>C.T. PARAMONGA</c:v>
                </c:pt>
                <c:pt idx="1">
                  <c:v>C.T. LA GRINGA</c:v>
                </c:pt>
                <c:pt idx="2">
                  <c:v>C.T. HUAYCOLORO</c:v>
                </c:pt>
                <c:pt idx="3">
                  <c:v>C.T. DOÑA CATALINA</c:v>
                </c:pt>
              </c:strCache>
            </c:strRef>
          </c:cat>
          <c:val>
            <c:numRef>
              <c:f>'6. FP RER'!$P$47:$P$50</c:f>
              <c:numCache>
                <c:formatCode>0.00</c:formatCode>
                <c:ptCount val="4"/>
                <c:pt idx="0">
                  <c:v>0.92294007441150039</c:v>
                </c:pt>
                <c:pt idx="1">
                  <c:v>0.75061330722065023</c:v>
                </c:pt>
                <c:pt idx="2">
                  <c:v>0.24924845489231548</c:v>
                </c:pt>
                <c:pt idx="3">
                  <c:v>0</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RER'!$S$6:$T$50</c:f>
              <c:multiLvlStrCache>
                <c:ptCount val="45"/>
                <c:lvl>
                  <c:pt idx="0">
                    <c:v>C.H. RENOVANDES H1</c:v>
                  </c:pt>
                  <c:pt idx="1">
                    <c:v>C.H. CHANCAY</c:v>
                  </c:pt>
                  <c:pt idx="2">
                    <c:v>C.H. RUCUY</c:v>
                  </c:pt>
                  <c:pt idx="3">
                    <c:v>C.H. RUNATULLO III</c:v>
                  </c:pt>
                  <c:pt idx="4">
                    <c:v>C.H. ÁNGEL II</c:v>
                  </c:pt>
                  <c:pt idx="5">
                    <c:v>C.H. YARUCAYA</c:v>
                  </c:pt>
                  <c:pt idx="6">
                    <c:v>C.H. ÁNGEL I</c:v>
                  </c:pt>
                  <c:pt idx="7">
                    <c:v>C.H. POTRERO</c:v>
                  </c:pt>
                  <c:pt idx="8">
                    <c:v>C.H. ÁNGEL III</c:v>
                  </c:pt>
                  <c:pt idx="9">
                    <c:v>C.H. RUNATULLO II</c:v>
                  </c:pt>
                  <c:pt idx="10">
                    <c:v>C.H. LAS PIZARRAS</c:v>
                  </c:pt>
                  <c:pt idx="11">
                    <c:v>C.H. CARHUAC</c:v>
                  </c:pt>
                  <c:pt idx="12">
                    <c:v>C.H. 8 DE AGOSTO</c:v>
                  </c:pt>
                  <c:pt idx="13">
                    <c:v>C.H. ZAÑA</c:v>
                  </c:pt>
                  <c:pt idx="14">
                    <c:v>C.H. CARHUAQUERO IV</c:v>
                  </c:pt>
                  <c:pt idx="15">
                    <c:v>C.H. HUASAHUASI II</c:v>
                  </c:pt>
                  <c:pt idx="16">
                    <c:v>C.H. HUASAHUASI I</c:v>
                  </c:pt>
                  <c:pt idx="17">
                    <c:v>C.H. POECHOS II</c:v>
                  </c:pt>
                  <c:pt idx="18">
                    <c:v>C.H. LA JOYA</c:v>
                  </c:pt>
                  <c:pt idx="19">
                    <c:v>C.H. CAÑA BRAVA</c:v>
                  </c:pt>
                  <c:pt idx="20">
                    <c:v>C.H. SANTA CRUZ II</c:v>
                  </c:pt>
                  <c:pt idx="21">
                    <c:v>C.H. SANTA CRUZ I</c:v>
                  </c:pt>
                  <c:pt idx="22">
                    <c:v>C.H. CANCHAYLLO</c:v>
                  </c:pt>
                  <c:pt idx="23">
                    <c:v>C.H. YANAPAMPA</c:v>
                  </c:pt>
                  <c:pt idx="24">
                    <c:v>C.H. IMPERIAL</c:v>
                  </c:pt>
                  <c:pt idx="25">
                    <c:v>C.H. RONCADOR</c:v>
                  </c:pt>
                  <c:pt idx="26">
                    <c:v>C.H. EL CARMEN</c:v>
                  </c:pt>
                  <c:pt idx="27">
                    <c:v>C.H. PURMACANA</c:v>
                  </c:pt>
                  <c:pt idx="28">
                    <c:v>C.H. HER 1</c:v>
                  </c:pt>
                  <c:pt idx="29">
                    <c:v>C.E. WAYRA I</c:v>
                  </c:pt>
                  <c:pt idx="30">
                    <c:v>C.E. TRES HERMANAS</c:v>
                  </c:pt>
                  <c:pt idx="31">
                    <c:v>C.E. CUPISNIQUE</c:v>
                  </c:pt>
                  <c:pt idx="32">
                    <c:v>C.E. MARCONA</c:v>
                  </c:pt>
                  <c:pt idx="33">
                    <c:v>C.E. TALARA</c:v>
                  </c:pt>
                  <c:pt idx="34">
                    <c:v>C.S. RUBI</c:v>
                  </c:pt>
                  <c:pt idx="35">
                    <c:v>C.S. INTIPAMPA</c:v>
                  </c:pt>
                  <c:pt idx="36">
                    <c:v>C.S. PANAMERICANA SOLAR</c:v>
                  </c:pt>
                  <c:pt idx="37">
                    <c:v>C.S. TACNA SOLAR</c:v>
                  </c:pt>
                  <c:pt idx="38">
                    <c:v>C.S. MOQUEGUA FV</c:v>
                  </c:pt>
                  <c:pt idx="39">
                    <c:v>C.S. MAJES SOLAR</c:v>
                  </c:pt>
                  <c:pt idx="40">
                    <c:v>C.S. REPARTICION</c:v>
                  </c:pt>
                  <c:pt idx="41">
                    <c:v>C.T. PARAMONGA</c:v>
                  </c:pt>
                  <c:pt idx="42">
                    <c:v>C.T. HUAYCOLORO</c:v>
                  </c:pt>
                  <c:pt idx="43">
                    <c:v>C.T. LA GRINGA</c:v>
                  </c:pt>
                  <c:pt idx="44">
                    <c:v>C.T. DOÑA CATALINA</c:v>
                  </c:pt>
                </c:lvl>
                <c:lvl>
                  <c:pt idx="0">
                    <c:v>HIDROELÉCTRICAS</c:v>
                  </c:pt>
                  <c:pt idx="29">
                    <c:v>EÓLICAS</c:v>
                  </c:pt>
                  <c:pt idx="34">
                    <c:v>SOLARES</c:v>
                  </c:pt>
                  <c:pt idx="41">
                    <c:v>TERMOELÉCTRICAS</c:v>
                  </c:pt>
                </c:lvl>
              </c:multiLvlStrCache>
            </c:multiLvlStrRef>
          </c:cat>
          <c:val>
            <c:numRef>
              <c:f>'6. FP RER'!$U$6:$U$50</c:f>
              <c:numCache>
                <c:formatCode>0.000</c:formatCode>
                <c:ptCount val="45"/>
                <c:pt idx="0">
                  <c:v>1.0108599371702853</c:v>
                </c:pt>
                <c:pt idx="1">
                  <c:v>0.95720026024496341</c:v>
                </c:pt>
                <c:pt idx="2">
                  <c:v>0.90639394041895605</c:v>
                </c:pt>
                <c:pt idx="3">
                  <c:v>0.84184204860717438</c:v>
                </c:pt>
                <c:pt idx="4">
                  <c:v>0.82705605340426758</c:v>
                </c:pt>
                <c:pt idx="5">
                  <c:v>1.095400339400183</c:v>
                </c:pt>
                <c:pt idx="6">
                  <c:v>0.79110595995542976</c:v>
                </c:pt>
                <c:pt idx="7">
                  <c:v>0.76078917817682734</c:v>
                </c:pt>
                <c:pt idx="8">
                  <c:v>0.73602895670487745</c:v>
                </c:pt>
                <c:pt idx="9">
                  <c:v>0.70059766881723895</c:v>
                </c:pt>
                <c:pt idx="10">
                  <c:v>0.72824117070904903</c:v>
                </c:pt>
                <c:pt idx="11">
                  <c:v>0.69115007371794868</c:v>
                </c:pt>
                <c:pt idx="12">
                  <c:v>0.67912106109625037</c:v>
                </c:pt>
                <c:pt idx="13">
                  <c:v>0.82273089384573772</c:v>
                </c:pt>
                <c:pt idx="14">
                  <c:v>0.98504888547481262</c:v>
                </c:pt>
                <c:pt idx="15">
                  <c:v>0.79667191843814567</c:v>
                </c:pt>
                <c:pt idx="16">
                  <c:v>0.80961326665086175</c:v>
                </c:pt>
                <c:pt idx="17">
                  <c:v>0.75712592308620874</c:v>
                </c:pt>
                <c:pt idx="18">
                  <c:v>0.86825174260186777</c:v>
                </c:pt>
                <c:pt idx="19">
                  <c:v>0.84904079613801842</c:v>
                </c:pt>
                <c:pt idx="20">
                  <c:v>0.64195034684806018</c:v>
                </c:pt>
                <c:pt idx="21">
                  <c:v>0.61321371328770635</c:v>
                </c:pt>
                <c:pt idx="22">
                  <c:v>0.79080764225376021</c:v>
                </c:pt>
                <c:pt idx="23">
                  <c:v>0.86108549535067125</c:v>
                </c:pt>
                <c:pt idx="24">
                  <c:v>0.80970261658959941</c:v>
                </c:pt>
                <c:pt idx="25">
                  <c:v>0.68419439428208284</c:v>
                </c:pt>
                <c:pt idx="26">
                  <c:v>0.25412295482295483</c:v>
                </c:pt>
                <c:pt idx="27">
                  <c:v>0.36060475089865407</c:v>
                </c:pt>
                <c:pt idx="28">
                  <c:v>0.71374283833725805</c:v>
                </c:pt>
                <c:pt idx="29">
                  <c:v>0.46080154263450396</c:v>
                </c:pt>
                <c:pt idx="30">
                  <c:v>0.5278933928606776</c:v>
                </c:pt>
                <c:pt idx="31">
                  <c:v>0.48813972030362407</c:v>
                </c:pt>
                <c:pt idx="32">
                  <c:v>0.54449347652672841</c:v>
                </c:pt>
                <c:pt idx="33">
                  <c:v>0.42503318091095549</c:v>
                </c:pt>
                <c:pt idx="34">
                  <c:v>0.30953192245704186</c:v>
                </c:pt>
                <c:pt idx="35">
                  <c:v>0.2375466789328767</c:v>
                </c:pt>
                <c:pt idx="36">
                  <c:v>0.27838034632554948</c:v>
                </c:pt>
                <c:pt idx="37">
                  <c:v>0.25921535608402013</c:v>
                </c:pt>
                <c:pt idx="38">
                  <c:v>0.30640816180889419</c:v>
                </c:pt>
                <c:pt idx="39">
                  <c:v>0.23651505723443222</c:v>
                </c:pt>
                <c:pt idx="40">
                  <c:v>0.22929850071543037</c:v>
                </c:pt>
                <c:pt idx="41">
                  <c:v>0.74927398270613943</c:v>
                </c:pt>
                <c:pt idx="42">
                  <c:v>0.48486496514238453</c:v>
                </c:pt>
                <c:pt idx="43">
                  <c:v>0.51530026139996266</c:v>
                </c:pt>
                <c:pt idx="44">
                  <c:v>0.50704021195818072</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RER'!$S$6:$T$50</c:f>
              <c:multiLvlStrCache>
                <c:ptCount val="45"/>
                <c:lvl>
                  <c:pt idx="0">
                    <c:v>C.H. RENOVANDES H1</c:v>
                  </c:pt>
                  <c:pt idx="1">
                    <c:v>C.H. CHANCAY</c:v>
                  </c:pt>
                  <c:pt idx="2">
                    <c:v>C.H. RUCUY</c:v>
                  </c:pt>
                  <c:pt idx="3">
                    <c:v>C.H. RUNATULLO III</c:v>
                  </c:pt>
                  <c:pt idx="4">
                    <c:v>C.H. ÁNGEL II</c:v>
                  </c:pt>
                  <c:pt idx="5">
                    <c:v>C.H. YARUCAYA</c:v>
                  </c:pt>
                  <c:pt idx="6">
                    <c:v>C.H. ÁNGEL I</c:v>
                  </c:pt>
                  <c:pt idx="7">
                    <c:v>C.H. POTRERO</c:v>
                  </c:pt>
                  <c:pt idx="8">
                    <c:v>C.H. ÁNGEL III</c:v>
                  </c:pt>
                  <c:pt idx="9">
                    <c:v>C.H. RUNATULLO II</c:v>
                  </c:pt>
                  <c:pt idx="10">
                    <c:v>C.H. LAS PIZARRAS</c:v>
                  </c:pt>
                  <c:pt idx="11">
                    <c:v>C.H. CARHUAC</c:v>
                  </c:pt>
                  <c:pt idx="12">
                    <c:v>C.H. 8 DE AGOSTO</c:v>
                  </c:pt>
                  <c:pt idx="13">
                    <c:v>C.H. ZAÑA</c:v>
                  </c:pt>
                  <c:pt idx="14">
                    <c:v>C.H. CARHUAQUERO IV</c:v>
                  </c:pt>
                  <c:pt idx="15">
                    <c:v>C.H. HUASAHUASI II</c:v>
                  </c:pt>
                  <c:pt idx="16">
                    <c:v>C.H. HUASAHUASI I</c:v>
                  </c:pt>
                  <c:pt idx="17">
                    <c:v>C.H. POECHOS II</c:v>
                  </c:pt>
                  <c:pt idx="18">
                    <c:v>C.H. LA JOYA</c:v>
                  </c:pt>
                  <c:pt idx="19">
                    <c:v>C.H. CAÑA BRAVA</c:v>
                  </c:pt>
                  <c:pt idx="20">
                    <c:v>C.H. SANTA CRUZ II</c:v>
                  </c:pt>
                  <c:pt idx="21">
                    <c:v>C.H. SANTA CRUZ I</c:v>
                  </c:pt>
                  <c:pt idx="22">
                    <c:v>C.H. CANCHAYLLO</c:v>
                  </c:pt>
                  <c:pt idx="23">
                    <c:v>C.H. YANAPAMPA</c:v>
                  </c:pt>
                  <c:pt idx="24">
                    <c:v>C.H. IMPERIAL</c:v>
                  </c:pt>
                  <c:pt idx="25">
                    <c:v>C.H. RONCADOR</c:v>
                  </c:pt>
                  <c:pt idx="26">
                    <c:v>C.H. EL CARMEN</c:v>
                  </c:pt>
                  <c:pt idx="27">
                    <c:v>C.H. PURMACANA</c:v>
                  </c:pt>
                  <c:pt idx="28">
                    <c:v>C.H. HER 1</c:v>
                  </c:pt>
                  <c:pt idx="29">
                    <c:v>C.E. WAYRA I</c:v>
                  </c:pt>
                  <c:pt idx="30">
                    <c:v>C.E. TRES HERMANAS</c:v>
                  </c:pt>
                  <c:pt idx="31">
                    <c:v>C.E. CUPISNIQUE</c:v>
                  </c:pt>
                  <c:pt idx="32">
                    <c:v>C.E. MARCONA</c:v>
                  </c:pt>
                  <c:pt idx="33">
                    <c:v>C.E. TALARA</c:v>
                  </c:pt>
                  <c:pt idx="34">
                    <c:v>C.S. RUBI</c:v>
                  </c:pt>
                  <c:pt idx="35">
                    <c:v>C.S. INTIPAMPA</c:v>
                  </c:pt>
                  <c:pt idx="36">
                    <c:v>C.S. PANAMERICANA SOLAR</c:v>
                  </c:pt>
                  <c:pt idx="37">
                    <c:v>C.S. TACNA SOLAR</c:v>
                  </c:pt>
                  <c:pt idx="38">
                    <c:v>C.S. MOQUEGUA FV</c:v>
                  </c:pt>
                  <c:pt idx="39">
                    <c:v>C.S. MAJES SOLAR</c:v>
                  </c:pt>
                  <c:pt idx="40">
                    <c:v>C.S. REPARTICION</c:v>
                  </c:pt>
                  <c:pt idx="41">
                    <c:v>C.T. PARAMONGA</c:v>
                  </c:pt>
                  <c:pt idx="42">
                    <c:v>C.T. HUAYCOLORO</c:v>
                  </c:pt>
                  <c:pt idx="43">
                    <c:v>C.T. LA GRINGA</c:v>
                  </c:pt>
                  <c:pt idx="44">
                    <c:v>C.T. DOÑA CATALINA</c:v>
                  </c:pt>
                </c:lvl>
                <c:lvl>
                  <c:pt idx="0">
                    <c:v>HIDROELÉCTRICAS</c:v>
                  </c:pt>
                  <c:pt idx="29">
                    <c:v>EÓLICAS</c:v>
                  </c:pt>
                  <c:pt idx="34">
                    <c:v>SOLARES</c:v>
                  </c:pt>
                  <c:pt idx="41">
                    <c:v>TERMOELÉCTRICAS</c:v>
                  </c:pt>
                </c:lvl>
              </c:multiLvlStrCache>
            </c:multiLvlStrRef>
          </c:cat>
          <c:val>
            <c:numRef>
              <c:f>'6. FP RER'!$V$6:$V$50</c:f>
              <c:numCache>
                <c:formatCode>0.000</c:formatCode>
                <c:ptCount val="45"/>
                <c:pt idx="0">
                  <c:v>0.91314932086423239</c:v>
                </c:pt>
                <c:pt idx="3">
                  <c:v>0.83796735349034412</c:v>
                </c:pt>
                <c:pt idx="4">
                  <c:v>0.50945329199963818</c:v>
                </c:pt>
                <c:pt idx="5">
                  <c:v>1</c:v>
                </c:pt>
                <c:pt idx="6">
                  <c:v>0.46613436482586817</c:v>
                </c:pt>
                <c:pt idx="7">
                  <c:v>0.83884575160563435</c:v>
                </c:pt>
                <c:pt idx="8">
                  <c:v>0.50178003632656076</c:v>
                </c:pt>
                <c:pt idx="9">
                  <c:v>0.69757106577948491</c:v>
                </c:pt>
                <c:pt idx="10">
                  <c:v>0.83286616076414288</c:v>
                </c:pt>
                <c:pt idx="11">
                  <c:v>0.67445903522099415</c:v>
                </c:pt>
                <c:pt idx="13">
                  <c:v>0.77921907572792848</c:v>
                </c:pt>
                <c:pt idx="14">
                  <c:v>0.84200050427577666</c:v>
                </c:pt>
                <c:pt idx="15">
                  <c:v>0.76981830413620589</c:v>
                </c:pt>
                <c:pt idx="16">
                  <c:v>0.76185422766450717</c:v>
                </c:pt>
                <c:pt idx="17">
                  <c:v>0.69370181273580955</c:v>
                </c:pt>
                <c:pt idx="18">
                  <c:v>0.80360317028630124</c:v>
                </c:pt>
                <c:pt idx="19">
                  <c:v>0.88157391461717372</c:v>
                </c:pt>
                <c:pt idx="20">
                  <c:v>0.70686604352589955</c:v>
                </c:pt>
                <c:pt idx="21">
                  <c:v>0.70253064881991201</c:v>
                </c:pt>
                <c:pt idx="22">
                  <c:v>0.71010240177283923</c:v>
                </c:pt>
                <c:pt idx="23">
                  <c:v>0.71172597660887238</c:v>
                </c:pt>
                <c:pt idx="24">
                  <c:v>0.80171358060482389</c:v>
                </c:pt>
                <c:pt idx="25">
                  <c:v>0.5722691557651195</c:v>
                </c:pt>
                <c:pt idx="27">
                  <c:v>0.10902908671357751</c:v>
                </c:pt>
                <c:pt idx="28">
                  <c:v>0.57291269567219161</c:v>
                </c:pt>
                <c:pt idx="29">
                  <c:v>0.47574337307155307</c:v>
                </c:pt>
                <c:pt idx="30">
                  <c:v>0.54720170909716037</c:v>
                </c:pt>
                <c:pt idx="31">
                  <c:v>0.44701753976150832</c:v>
                </c:pt>
                <c:pt idx="32">
                  <c:v>0.55914264202420005</c:v>
                </c:pt>
                <c:pt idx="33">
                  <c:v>0.38480913039670622</c:v>
                </c:pt>
                <c:pt idx="34">
                  <c:v>0.29603227328455739</c:v>
                </c:pt>
                <c:pt idx="35">
                  <c:v>0.23959179066801953</c:v>
                </c:pt>
                <c:pt idx="36">
                  <c:v>0.26827097269221922</c:v>
                </c:pt>
                <c:pt idx="37">
                  <c:v>0.26276105884553408</c:v>
                </c:pt>
                <c:pt idx="38">
                  <c:v>0.30867903688996307</c:v>
                </c:pt>
                <c:pt idx="39">
                  <c:v>0.24399783684392268</c:v>
                </c:pt>
                <c:pt idx="40">
                  <c:v>0.23503944406077346</c:v>
                </c:pt>
                <c:pt idx="41">
                  <c:v>0.80351072979564497</c:v>
                </c:pt>
                <c:pt idx="42">
                  <c:v>0.9016831376948955</c:v>
                </c:pt>
                <c:pt idx="43">
                  <c:v>0.56804366652282579</c:v>
                </c:pt>
                <c:pt idx="44">
                  <c:v>0.73220944645871766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SHOUGESA</c:v>
                </c:pt>
                <c:pt idx="1">
                  <c:v>SDF ENERGIA</c:v>
                </c:pt>
                <c:pt idx="2">
                  <c:v>SAMAY I</c:v>
                </c:pt>
                <c:pt idx="3">
                  <c:v>CERRO VERDE</c:v>
                </c:pt>
                <c:pt idx="4">
                  <c:v>AGROAURORA</c:v>
                </c:pt>
                <c:pt idx="5">
                  <c:v>TERMOSELVA</c:v>
                </c:pt>
                <c:pt idx="6">
                  <c:v>PLANTA  ETEN</c:v>
                </c:pt>
                <c:pt idx="7">
                  <c:v>HYDRO PATAPO</c:v>
                </c:pt>
                <c:pt idx="8">
                  <c:v>IYEPSA</c:v>
                </c:pt>
                <c:pt idx="9">
                  <c:v>ELECTRICA SANTA ROSA / ATRIA</c:v>
                </c:pt>
                <c:pt idx="10">
                  <c:v>MAJA ENERGIA</c:v>
                </c:pt>
                <c:pt idx="11">
                  <c:v>ELECTRICA YANAPAMPA</c:v>
                </c:pt>
                <c:pt idx="12">
                  <c:v>EGECSAC</c:v>
                </c:pt>
                <c:pt idx="13">
                  <c:v>HIDROCAÑETE</c:v>
                </c:pt>
                <c:pt idx="14">
                  <c:v>INVERSION DE ENERGÍA RENOVABLES</c:v>
                </c:pt>
                <c:pt idx="15">
                  <c:v>PETRAMAS</c:v>
                </c:pt>
                <c:pt idx="16">
                  <c:v>AGUA AZUL</c:v>
                </c:pt>
                <c:pt idx="17">
                  <c:v>TACNA SOLAR</c:v>
                </c:pt>
                <c:pt idx="18">
                  <c:v>MOQUEGUA FV</c:v>
                </c:pt>
                <c:pt idx="19">
                  <c:v>GTS MAJES</c:v>
                </c:pt>
                <c:pt idx="20">
                  <c:v>GTS REPARTICION</c:v>
                </c:pt>
                <c:pt idx="21">
                  <c:v>PANAMERICANA SOLAR</c:v>
                </c:pt>
                <c:pt idx="22">
                  <c:v>SAN JACINTO</c:v>
                </c:pt>
                <c:pt idx="23">
                  <c:v>BIOENERGIA</c:v>
                </c:pt>
                <c:pt idx="24">
                  <c:v>GENERACIÓN ANDINA</c:v>
                </c:pt>
                <c:pt idx="25">
                  <c:v>ELECTRO ZAÑA</c:v>
                </c:pt>
                <c:pt idx="26">
                  <c:v>RIO DOBLE</c:v>
                </c:pt>
                <c:pt idx="27">
                  <c:v>AIPSA</c:v>
                </c:pt>
                <c:pt idx="28">
                  <c:v>ANDEAN POWER</c:v>
                </c:pt>
                <c:pt idx="29">
                  <c:v>HIDROELECTRICA HUANCHOR</c:v>
                </c:pt>
                <c:pt idx="30">
                  <c:v>RIO BAÑOS</c:v>
                </c:pt>
                <c:pt idx="31">
                  <c:v>EGESUR</c:v>
                </c:pt>
                <c:pt idx="32">
                  <c:v>HUAURA POWER</c:v>
                </c:pt>
                <c:pt idx="33">
                  <c:v>HIDROMARAÑON/ CELEPSA RENOVABLES</c:v>
                </c:pt>
                <c:pt idx="34">
                  <c:v>P.E. MARCONA</c:v>
                </c:pt>
                <c:pt idx="35">
                  <c:v>SANTA ANA</c:v>
                </c:pt>
                <c:pt idx="36">
                  <c:v>SINERSA</c:v>
                </c:pt>
                <c:pt idx="37">
                  <c:v>EMGE JUNÍN / SANTA CRUZ</c:v>
                </c:pt>
                <c:pt idx="38">
                  <c:v>GEPSA</c:v>
                </c:pt>
                <c:pt idx="39">
                  <c:v>EMGE HUANZA</c:v>
                </c:pt>
                <c:pt idx="40">
                  <c:v>ENERGÍA EÓLICA</c:v>
                </c:pt>
                <c:pt idx="41">
                  <c:v>P.E. TRES HERMANAS</c:v>
                </c:pt>
                <c:pt idx="42">
                  <c:v>SAN GABAN</c:v>
                </c:pt>
                <c:pt idx="43">
                  <c:v>INLAND</c:v>
                </c:pt>
                <c:pt idx="44">
                  <c:v>ENEL GENERACION PIURA</c:v>
                </c:pt>
                <c:pt idx="45">
                  <c:v>CELEPSA</c:v>
                </c:pt>
                <c:pt idx="46">
                  <c:v>CHINANGO</c:v>
                </c:pt>
                <c:pt idx="47">
                  <c:v>EGASA</c:v>
                </c:pt>
                <c:pt idx="48">
                  <c:v>ENEL GREEN POWER PERU</c:v>
                </c:pt>
                <c:pt idx="49">
                  <c:v>EMGE HUALLAGA</c:v>
                </c:pt>
                <c:pt idx="50">
                  <c:v>EGEMSA</c:v>
                </c:pt>
                <c:pt idx="51">
                  <c:v>ORAZUL ENERGY PERÚ</c:v>
                </c:pt>
                <c:pt idx="52">
                  <c:v>TERMOCHILCA</c:v>
                </c:pt>
                <c:pt idx="53">
                  <c:v>STATKRAFT</c:v>
                </c:pt>
                <c:pt idx="54">
                  <c:v>FENIX POWER</c:v>
                </c:pt>
                <c:pt idx="55">
                  <c:v>KALLPA</c:v>
                </c:pt>
                <c:pt idx="56">
                  <c:v>ENEL GENERACION PERU</c:v>
                </c:pt>
                <c:pt idx="57">
                  <c:v>ENGIE</c:v>
                </c:pt>
                <c:pt idx="58">
                  <c:v>ELECTROPERU</c:v>
                </c:pt>
              </c:strCache>
            </c:strRef>
          </c:cat>
          <c:val>
            <c:numRef>
              <c:f>'7. Generacion empresa'!$M$5:$M$63</c:f>
              <c:numCache>
                <c:formatCode>General</c:formatCode>
                <c:ptCount val="59"/>
                <c:pt idx="0">
                  <c:v>0</c:v>
                </c:pt>
                <c:pt idx="1">
                  <c:v>0</c:v>
                </c:pt>
                <c:pt idx="2">
                  <c:v>0</c:v>
                </c:pt>
                <c:pt idx="3">
                  <c:v>0</c:v>
                </c:pt>
                <c:pt idx="4">
                  <c:v>0</c:v>
                </c:pt>
                <c:pt idx="5">
                  <c:v>1.3787250000000002E-4</c:v>
                </c:pt>
                <c:pt idx="6">
                  <c:v>2.3127475000000002E-3</c:v>
                </c:pt>
                <c:pt idx="7">
                  <c:v>1.9248000000000001E-2</c:v>
                </c:pt>
                <c:pt idx="8">
                  <c:v>2.0583757499999997E-2</c:v>
                </c:pt>
                <c:pt idx="9">
                  <c:v>0.29502389499999998</c:v>
                </c:pt>
                <c:pt idx="10">
                  <c:v>1.1218027825000001</c:v>
                </c:pt>
                <c:pt idx="11">
                  <c:v>1.7968975674999998</c:v>
                </c:pt>
                <c:pt idx="12">
                  <c:v>2.12640377</c:v>
                </c:pt>
                <c:pt idx="13">
                  <c:v>2.2176</c:v>
                </c:pt>
                <c:pt idx="14">
                  <c:v>2.3152220425000003</c:v>
                </c:pt>
                <c:pt idx="15">
                  <c:v>2.4690676000000003</c:v>
                </c:pt>
                <c:pt idx="16">
                  <c:v>2.5531149850000001</c:v>
                </c:pt>
                <c:pt idx="17">
                  <c:v>2.9275250850000001</c:v>
                </c:pt>
                <c:pt idx="18">
                  <c:v>3.1982834100000002</c:v>
                </c:pt>
                <c:pt idx="19">
                  <c:v>3.3092989999999998</c:v>
                </c:pt>
                <c:pt idx="20">
                  <c:v>3.3394412349999998</c:v>
                </c:pt>
                <c:pt idx="21">
                  <c:v>3.8023325275000004</c:v>
                </c:pt>
                <c:pt idx="22">
                  <c:v>4.7489047499999995</c:v>
                </c:pt>
                <c:pt idx="23">
                  <c:v>5.8982593724999992</c:v>
                </c:pt>
                <c:pt idx="24">
                  <c:v>6.0410269574999997</c:v>
                </c:pt>
                <c:pt idx="25">
                  <c:v>6.1175919424999998</c:v>
                </c:pt>
                <c:pt idx="26">
                  <c:v>6.930165165</c:v>
                </c:pt>
                <c:pt idx="27">
                  <c:v>8.7488638724999994</c:v>
                </c:pt>
                <c:pt idx="28">
                  <c:v>9.3673749849999997</c:v>
                </c:pt>
                <c:pt idx="29">
                  <c:v>9.4649494475000004</c:v>
                </c:pt>
                <c:pt idx="30">
                  <c:v>9.5612677625</c:v>
                </c:pt>
                <c:pt idx="31">
                  <c:v>9.6163806674999996</c:v>
                </c:pt>
                <c:pt idx="32">
                  <c:v>11.345840219999999</c:v>
                </c:pt>
                <c:pt idx="33">
                  <c:v>12.60795622</c:v>
                </c:pt>
                <c:pt idx="34">
                  <c:v>13.4524993675</c:v>
                </c:pt>
                <c:pt idx="35">
                  <c:v>14.4008622175</c:v>
                </c:pt>
                <c:pt idx="36">
                  <c:v>16.321826267500001</c:v>
                </c:pt>
                <c:pt idx="37">
                  <c:v>18.1049693625</c:v>
                </c:pt>
                <c:pt idx="38">
                  <c:v>22.301874475000005</c:v>
                </c:pt>
                <c:pt idx="39">
                  <c:v>37.451579500000001</c:v>
                </c:pt>
                <c:pt idx="40">
                  <c:v>44.014606310000005</c:v>
                </c:pt>
                <c:pt idx="41">
                  <c:v>46.796291310000001</c:v>
                </c:pt>
                <c:pt idx="42">
                  <c:v>50.641498837499995</c:v>
                </c:pt>
                <c:pt idx="43">
                  <c:v>60.631306335000005</c:v>
                </c:pt>
                <c:pt idx="44">
                  <c:v>61.168153510000003</c:v>
                </c:pt>
                <c:pt idx="45">
                  <c:v>63.7613017575</c:v>
                </c:pt>
                <c:pt idx="46">
                  <c:v>66.997822694999996</c:v>
                </c:pt>
                <c:pt idx="47">
                  <c:v>70.159468447500004</c:v>
                </c:pt>
                <c:pt idx="48">
                  <c:v>88.613017904999992</c:v>
                </c:pt>
                <c:pt idx="49">
                  <c:v>99.662383347499997</c:v>
                </c:pt>
                <c:pt idx="50">
                  <c:v>112.71340004000001</c:v>
                </c:pt>
                <c:pt idx="51">
                  <c:v>127.09308077249999</c:v>
                </c:pt>
                <c:pt idx="52">
                  <c:v>153.73033570749999</c:v>
                </c:pt>
                <c:pt idx="53">
                  <c:v>154.21513433499996</c:v>
                </c:pt>
                <c:pt idx="54">
                  <c:v>298.82168594000007</c:v>
                </c:pt>
                <c:pt idx="55">
                  <c:v>366.03391326249999</c:v>
                </c:pt>
                <c:pt idx="56">
                  <c:v>455.57443099749997</c:v>
                </c:pt>
                <c:pt idx="57">
                  <c:v>577.23144132499999</c:v>
                </c:pt>
                <c:pt idx="58">
                  <c:v>604.85600927999985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SHOUGESA</c:v>
                </c:pt>
                <c:pt idx="1">
                  <c:v>SDF ENERGIA</c:v>
                </c:pt>
                <c:pt idx="2">
                  <c:v>SAMAY I</c:v>
                </c:pt>
                <c:pt idx="3">
                  <c:v>CERRO VERDE</c:v>
                </c:pt>
                <c:pt idx="4">
                  <c:v>AGROAURORA</c:v>
                </c:pt>
                <c:pt idx="5">
                  <c:v>TERMOSELVA</c:v>
                </c:pt>
                <c:pt idx="6">
                  <c:v>PLANTA  ETEN</c:v>
                </c:pt>
                <c:pt idx="7">
                  <c:v>HYDRO PATAPO</c:v>
                </c:pt>
                <c:pt idx="8">
                  <c:v>IYEPSA</c:v>
                </c:pt>
                <c:pt idx="9">
                  <c:v>ELECTRICA SANTA ROSA / ATRIA</c:v>
                </c:pt>
                <c:pt idx="10">
                  <c:v>MAJA ENERGIA</c:v>
                </c:pt>
                <c:pt idx="11">
                  <c:v>ELECTRICA YANAPAMPA</c:v>
                </c:pt>
                <c:pt idx="12">
                  <c:v>EGECSAC</c:v>
                </c:pt>
                <c:pt idx="13">
                  <c:v>HIDROCAÑETE</c:v>
                </c:pt>
                <c:pt idx="14">
                  <c:v>INVERSION DE ENERGÍA RENOVABLES</c:v>
                </c:pt>
                <c:pt idx="15">
                  <c:v>PETRAMAS</c:v>
                </c:pt>
                <c:pt idx="16">
                  <c:v>AGUA AZUL</c:v>
                </c:pt>
                <c:pt idx="17">
                  <c:v>TACNA SOLAR</c:v>
                </c:pt>
                <c:pt idx="18">
                  <c:v>MOQUEGUA FV</c:v>
                </c:pt>
                <c:pt idx="19">
                  <c:v>GTS MAJES</c:v>
                </c:pt>
                <c:pt idx="20">
                  <c:v>GTS REPARTICION</c:v>
                </c:pt>
                <c:pt idx="21">
                  <c:v>PANAMERICANA SOLAR</c:v>
                </c:pt>
                <c:pt idx="22">
                  <c:v>SAN JACINTO</c:v>
                </c:pt>
                <c:pt idx="23">
                  <c:v>BIOENERGIA</c:v>
                </c:pt>
                <c:pt idx="24">
                  <c:v>GENERACIÓN ANDINA</c:v>
                </c:pt>
                <c:pt idx="25">
                  <c:v>ELECTRO ZAÑA</c:v>
                </c:pt>
                <c:pt idx="26">
                  <c:v>RIO DOBLE</c:v>
                </c:pt>
                <c:pt idx="27">
                  <c:v>AIPSA</c:v>
                </c:pt>
                <c:pt idx="28">
                  <c:v>ANDEAN POWER</c:v>
                </c:pt>
                <c:pt idx="29">
                  <c:v>HIDROELECTRICA HUANCHOR</c:v>
                </c:pt>
                <c:pt idx="30">
                  <c:v>RIO BAÑOS</c:v>
                </c:pt>
                <c:pt idx="31">
                  <c:v>EGESUR</c:v>
                </c:pt>
                <c:pt idx="32">
                  <c:v>HUAURA POWER</c:v>
                </c:pt>
                <c:pt idx="33">
                  <c:v>HIDROMARAÑON/ CELEPSA RENOVABLES</c:v>
                </c:pt>
                <c:pt idx="34">
                  <c:v>P.E. MARCONA</c:v>
                </c:pt>
                <c:pt idx="35">
                  <c:v>SANTA ANA</c:v>
                </c:pt>
                <c:pt idx="36">
                  <c:v>SINERSA</c:v>
                </c:pt>
                <c:pt idx="37">
                  <c:v>EMGE JUNÍN / SANTA CRUZ</c:v>
                </c:pt>
                <c:pt idx="38">
                  <c:v>GEPSA</c:v>
                </c:pt>
                <c:pt idx="39">
                  <c:v>EMGE HUANZA</c:v>
                </c:pt>
                <c:pt idx="40">
                  <c:v>ENERGÍA EÓLICA</c:v>
                </c:pt>
                <c:pt idx="41">
                  <c:v>P.E. TRES HERMANAS</c:v>
                </c:pt>
                <c:pt idx="42">
                  <c:v>SAN GABAN</c:v>
                </c:pt>
                <c:pt idx="43">
                  <c:v>INLAND</c:v>
                </c:pt>
                <c:pt idx="44">
                  <c:v>ENEL GENERACION PIURA</c:v>
                </c:pt>
                <c:pt idx="45">
                  <c:v>CELEPSA</c:v>
                </c:pt>
                <c:pt idx="46">
                  <c:v>CHINANGO</c:v>
                </c:pt>
                <c:pt idx="47">
                  <c:v>EGASA</c:v>
                </c:pt>
                <c:pt idx="48">
                  <c:v>ENEL GREEN POWER PERU</c:v>
                </c:pt>
                <c:pt idx="49">
                  <c:v>EMGE HUALLAGA</c:v>
                </c:pt>
                <c:pt idx="50">
                  <c:v>EGEMSA</c:v>
                </c:pt>
                <c:pt idx="51">
                  <c:v>ORAZUL ENERGY PERÚ</c:v>
                </c:pt>
                <c:pt idx="52">
                  <c:v>TERMOCHILCA</c:v>
                </c:pt>
                <c:pt idx="53">
                  <c:v>STATKRAFT</c:v>
                </c:pt>
                <c:pt idx="54">
                  <c:v>FENIX POWER</c:v>
                </c:pt>
                <c:pt idx="55">
                  <c:v>KALLPA</c:v>
                </c:pt>
                <c:pt idx="56">
                  <c:v>ENEL GENERACION PERU</c:v>
                </c:pt>
                <c:pt idx="57">
                  <c:v>ENGIE</c:v>
                </c:pt>
                <c:pt idx="58">
                  <c:v>ELECTROPERU</c:v>
                </c:pt>
              </c:strCache>
            </c:strRef>
          </c:cat>
          <c:val>
            <c:numRef>
              <c:f>'7. Generacion empresa'!$N$5:$N$63</c:f>
              <c:numCache>
                <c:formatCode>General</c:formatCode>
                <c:ptCount val="59"/>
                <c:pt idx="0">
                  <c:v>0.26427637250000002</c:v>
                </c:pt>
                <c:pt idx="1">
                  <c:v>20.5833899675</c:v>
                </c:pt>
                <c:pt idx="2">
                  <c:v>0</c:v>
                </c:pt>
                <c:pt idx="3">
                  <c:v>0</c:v>
                </c:pt>
                <c:pt idx="4">
                  <c:v>5.6257770449999995</c:v>
                </c:pt>
                <c:pt idx="5">
                  <c:v>22.282443610000001</c:v>
                </c:pt>
                <c:pt idx="6">
                  <c:v>0.57651218999999998</c:v>
                </c:pt>
                <c:pt idx="7">
                  <c:v>0.22750075</c:v>
                </c:pt>
                <c:pt idx="8">
                  <c:v>0.39942037250000001</c:v>
                </c:pt>
                <c:pt idx="9">
                  <c:v>0.1493651225</c:v>
                </c:pt>
                <c:pt idx="10">
                  <c:v>1.2968324550000001</c:v>
                </c:pt>
                <c:pt idx="11">
                  <c:v>1.8726233400000001</c:v>
                </c:pt>
                <c:pt idx="12">
                  <c:v>0.64195259750000011</c:v>
                </c:pt>
                <c:pt idx="13">
                  <c:v>2.3144</c:v>
                </c:pt>
                <c:pt idx="15">
                  <c:v>4.4198010925000002</c:v>
                </c:pt>
                <c:pt idx="16">
                  <c:v>5.9306113324999998</c:v>
                </c:pt>
                <c:pt idx="17">
                  <c:v>2.8413957125000002</c:v>
                </c:pt>
                <c:pt idx="18">
                  <c:v>3.2727369275</c:v>
                </c:pt>
                <c:pt idx="19">
                  <c:v>3.3033308000000003</c:v>
                </c:pt>
                <c:pt idx="20">
                  <c:v>3.2226788800000001</c:v>
                </c:pt>
                <c:pt idx="21">
                  <c:v>3.4844144999999997</c:v>
                </c:pt>
                <c:pt idx="22">
                  <c:v>4.3704773724999999</c:v>
                </c:pt>
                <c:pt idx="25">
                  <c:v>8.2182454450000009</c:v>
                </c:pt>
                <c:pt idx="26">
                  <c:v>7.2777289625000003</c:v>
                </c:pt>
                <c:pt idx="27">
                  <c:v>7.837976995</c:v>
                </c:pt>
                <c:pt idx="28">
                  <c:v>8.1348132374999995</c:v>
                </c:pt>
                <c:pt idx="29">
                  <c:v>12.212356</c:v>
                </c:pt>
                <c:pt idx="30">
                  <c:v>8.2740776750000009</c:v>
                </c:pt>
                <c:pt idx="31">
                  <c:v>20.231141337500002</c:v>
                </c:pt>
                <c:pt idx="32">
                  <c:v>12.1263112175</c:v>
                </c:pt>
                <c:pt idx="33">
                  <c:v>13.1436509125</c:v>
                </c:pt>
                <c:pt idx="34">
                  <c:v>13.713851442499999</c:v>
                </c:pt>
                <c:pt idx="35">
                  <c:v>14.4065407175</c:v>
                </c:pt>
                <c:pt idx="36">
                  <c:v>17.974134992499998</c:v>
                </c:pt>
                <c:pt idx="37">
                  <c:v>17.266480102500001</c:v>
                </c:pt>
                <c:pt idx="38">
                  <c:v>21.692901102500002</c:v>
                </c:pt>
                <c:pt idx="39">
                  <c:v>32.757448444999994</c:v>
                </c:pt>
                <c:pt idx="40">
                  <c:v>41.390101354999999</c:v>
                </c:pt>
                <c:pt idx="41">
                  <c:v>39.74377037</c:v>
                </c:pt>
                <c:pt idx="42">
                  <c:v>53.306523067499995</c:v>
                </c:pt>
                <c:pt idx="43">
                  <c:v>48.274155284999999</c:v>
                </c:pt>
                <c:pt idx="44">
                  <c:v>58.869007142500003</c:v>
                </c:pt>
                <c:pt idx="45">
                  <c:v>70.613938875000002</c:v>
                </c:pt>
                <c:pt idx="46">
                  <c:v>55.464974492499998</c:v>
                </c:pt>
                <c:pt idx="47">
                  <c:v>69.812027057500003</c:v>
                </c:pt>
                <c:pt idx="48">
                  <c:v>82.422306442500002</c:v>
                </c:pt>
                <c:pt idx="49">
                  <c:v>103.07324302250001</c:v>
                </c:pt>
                <c:pt idx="50">
                  <c:v>92.365385545000009</c:v>
                </c:pt>
                <c:pt idx="51">
                  <c:v>133.59416018249999</c:v>
                </c:pt>
                <c:pt idx="52">
                  <c:v>125.52103481249999</c:v>
                </c:pt>
                <c:pt idx="53">
                  <c:v>159.56987290249998</c:v>
                </c:pt>
                <c:pt idx="54">
                  <c:v>392.351498795</c:v>
                </c:pt>
                <c:pt idx="55">
                  <c:v>715.561220585</c:v>
                </c:pt>
                <c:pt idx="56">
                  <c:v>606.7002686525002</c:v>
                </c:pt>
                <c:pt idx="57">
                  <c:v>532.56405460499991</c:v>
                </c:pt>
                <c:pt idx="58">
                  <c:v>605.81295895749997</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7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ANDEAN POWER</c:v>
                </c:pt>
                <c:pt idx="16">
                  <c:v>AIPSA</c:v>
                </c:pt>
                <c:pt idx="17">
                  <c:v>AGROAURORA</c:v>
                </c:pt>
                <c:pt idx="18">
                  <c:v>ELECTRICA SANTA ROSA / ATRIA</c:v>
                </c:pt>
                <c:pt idx="19">
                  <c:v>MAJA ENERGIA</c:v>
                </c:pt>
                <c:pt idx="20">
                  <c:v>EGECSAC</c:v>
                </c:pt>
                <c:pt idx="21">
                  <c:v>HIDROCAÑETE</c:v>
                </c:pt>
                <c:pt idx="22">
                  <c:v>ELECTRICA YANAPAMPA</c:v>
                </c:pt>
                <c:pt idx="23">
                  <c:v>AGUA AZUL</c:v>
                </c:pt>
                <c:pt idx="24">
                  <c:v>GENERACIÓN ANDINA</c:v>
                </c:pt>
                <c:pt idx="25">
                  <c:v>PETRAMAS</c:v>
                </c:pt>
                <c:pt idx="26">
                  <c:v>SAN JACINTO</c:v>
                </c:pt>
                <c:pt idx="27">
                  <c:v>RIO DOBLE</c:v>
                </c:pt>
                <c:pt idx="28">
                  <c:v>ELECTRO ZAÑA</c:v>
                </c:pt>
                <c:pt idx="29">
                  <c:v>BIOENERGIA</c:v>
                </c:pt>
                <c:pt idx="30">
                  <c:v>RIO BAÑOS</c:v>
                </c:pt>
                <c:pt idx="31">
                  <c:v>HUAURA POWER</c:v>
                </c:pt>
                <c:pt idx="32">
                  <c:v>HIDROELECTRICA HUANCHOR</c:v>
                </c:pt>
                <c:pt idx="33">
                  <c:v>EMGE JUNÍN / SANTA CRUZ</c:v>
                </c:pt>
                <c:pt idx="34">
                  <c:v>HIDROMARAÑON/ CELEPSA RENOVABLES</c:v>
                </c:pt>
                <c:pt idx="35">
                  <c:v>SANTA ANA</c:v>
                </c:pt>
                <c:pt idx="36">
                  <c:v>SINERSA</c:v>
                </c:pt>
                <c:pt idx="37">
                  <c:v>GEPSA</c:v>
                </c:pt>
                <c:pt idx="38">
                  <c:v>EGESUR</c:v>
                </c:pt>
                <c:pt idx="39">
                  <c:v>EMGE HUALLAGA</c:v>
                </c:pt>
                <c:pt idx="40">
                  <c:v>P.E. MARCONA</c:v>
                </c:pt>
                <c:pt idx="41">
                  <c:v>INLAND</c:v>
                </c:pt>
                <c:pt idx="42">
                  <c:v>ENERGÍA EÓLICA</c:v>
                </c:pt>
                <c:pt idx="43">
                  <c:v>ENEL GENERACION PIURA</c:v>
                </c:pt>
                <c:pt idx="44">
                  <c:v>P.E. TRES HERMANAS</c:v>
                </c:pt>
                <c:pt idx="45">
                  <c:v>EMGE HUANZA</c:v>
                </c:pt>
                <c:pt idx="46">
                  <c:v>SAN GABAN</c:v>
                </c:pt>
                <c:pt idx="47">
                  <c:v>ENEL GREEN POWER PERU</c:v>
                </c:pt>
                <c:pt idx="48">
                  <c:v>EGEMSA</c:v>
                </c:pt>
                <c:pt idx="49">
                  <c:v>CHINANGO</c:v>
                </c:pt>
                <c:pt idx="50">
                  <c:v>EGASA</c:v>
                </c:pt>
                <c:pt idx="51">
                  <c:v>ORAZUL ENERGY PERÚ</c:v>
                </c:pt>
                <c:pt idx="52">
                  <c:v>CELEPSA</c:v>
                </c:pt>
                <c:pt idx="53">
                  <c:v>STATKRAFT</c:v>
                </c:pt>
                <c:pt idx="54">
                  <c:v>FENIX POWER</c:v>
                </c:pt>
                <c:pt idx="55">
                  <c:v>KALLPA</c:v>
                </c:pt>
                <c:pt idx="56">
                  <c:v>ELECTROPERU</c:v>
                </c:pt>
                <c:pt idx="57">
                  <c:v>ENEL GENERACION PERU</c:v>
                </c:pt>
                <c:pt idx="58">
                  <c:v>ENGIE</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0.82318000000000002</c:v>
                </c:pt>
                <c:pt idx="19">
                  <c:v>1.3103199999999999</c:v>
                </c:pt>
                <c:pt idx="20">
                  <c:v>2.31291</c:v>
                </c:pt>
                <c:pt idx="21">
                  <c:v>2.4</c:v>
                </c:pt>
                <c:pt idx="22">
                  <c:v>2.42727</c:v>
                </c:pt>
                <c:pt idx="23">
                  <c:v>3.1417199999999998</c:v>
                </c:pt>
                <c:pt idx="24">
                  <c:v>4.8914400000000002</c:v>
                </c:pt>
                <c:pt idx="25">
                  <c:v>5.1585000000000001</c:v>
                </c:pt>
                <c:pt idx="26">
                  <c:v>5.82</c:v>
                </c:pt>
                <c:pt idx="27">
                  <c:v>6.5880700000000001</c:v>
                </c:pt>
                <c:pt idx="28">
                  <c:v>6.9821400000000002</c:v>
                </c:pt>
                <c:pt idx="29">
                  <c:v>8.875</c:v>
                </c:pt>
                <c:pt idx="30">
                  <c:v>10.220700000000001</c:v>
                </c:pt>
                <c:pt idx="31">
                  <c:v>15.024900000000001</c:v>
                </c:pt>
                <c:pt idx="32">
                  <c:v>15.61232</c:v>
                </c:pt>
                <c:pt idx="33">
                  <c:v>16.742919999999998</c:v>
                </c:pt>
                <c:pt idx="34">
                  <c:v>17.854979999999998</c:v>
                </c:pt>
                <c:pt idx="35">
                  <c:v>20.038219999999999</c:v>
                </c:pt>
                <c:pt idx="36">
                  <c:v>22.56897</c:v>
                </c:pt>
                <c:pt idx="37">
                  <c:v>26.41188</c:v>
                </c:pt>
                <c:pt idx="38">
                  <c:v>26.856000000000002</c:v>
                </c:pt>
                <c:pt idx="39">
                  <c:v>30.739879999999999</c:v>
                </c:pt>
                <c:pt idx="40">
                  <c:v>31.261310000000002</c:v>
                </c:pt>
                <c:pt idx="41">
                  <c:v>74.079190000000011</c:v>
                </c:pt>
                <c:pt idx="42">
                  <c:v>88.377430000000004</c:v>
                </c:pt>
                <c:pt idx="43">
                  <c:v>91.338499999999996</c:v>
                </c:pt>
                <c:pt idx="44">
                  <c:v>92.051659999999998</c:v>
                </c:pt>
                <c:pt idx="45">
                  <c:v>94.074659999999994</c:v>
                </c:pt>
                <c:pt idx="46">
                  <c:v>108.07562</c:v>
                </c:pt>
                <c:pt idx="47">
                  <c:v>128.52634</c:v>
                </c:pt>
                <c:pt idx="48">
                  <c:v>139.61899</c:v>
                </c:pt>
                <c:pt idx="49">
                  <c:v>144.20676</c:v>
                </c:pt>
                <c:pt idx="50">
                  <c:v>167.37198999999998</c:v>
                </c:pt>
                <c:pt idx="51">
                  <c:v>179.07745999999997</c:v>
                </c:pt>
                <c:pt idx="52">
                  <c:v>203.70605999999998</c:v>
                </c:pt>
                <c:pt idx="53">
                  <c:v>259.27860999999996</c:v>
                </c:pt>
                <c:pt idx="54">
                  <c:v>546.11649</c:v>
                </c:pt>
                <c:pt idx="55">
                  <c:v>791.83739000000003</c:v>
                </c:pt>
                <c:pt idx="56">
                  <c:v>869.16816000000006</c:v>
                </c:pt>
                <c:pt idx="57">
                  <c:v>872.75891000000001</c:v>
                </c:pt>
                <c:pt idx="58">
                  <c:v>929.21021999999994</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INVERSION DE ENERGÍA RENOVABLES</c:v>
                </c:pt>
                <c:pt idx="1">
                  <c:v>TERMOSELVA</c:v>
                </c:pt>
                <c:pt idx="2">
                  <c:v>TERMOCHILCA</c:v>
                </c:pt>
                <c:pt idx="3">
                  <c:v>TACNA SOLAR</c:v>
                </c:pt>
                <c:pt idx="4">
                  <c:v>SHOUGESA</c:v>
                </c:pt>
                <c:pt idx="5">
                  <c:v>SDF ENERGIA</c:v>
                </c:pt>
                <c:pt idx="6">
                  <c:v>SAMAY I</c:v>
                </c:pt>
                <c:pt idx="7">
                  <c:v>PLANTA  ETEN</c:v>
                </c:pt>
                <c:pt idx="8">
                  <c:v>PANAMERICANA SOLAR</c:v>
                </c:pt>
                <c:pt idx="9">
                  <c:v>MOQUEGUA FV</c:v>
                </c:pt>
                <c:pt idx="10">
                  <c:v>IYEPSA</c:v>
                </c:pt>
                <c:pt idx="11">
                  <c:v>HYDRO PATAPO</c:v>
                </c:pt>
                <c:pt idx="12">
                  <c:v>GTS REPARTICION</c:v>
                </c:pt>
                <c:pt idx="13">
                  <c:v>GTS MAJES</c:v>
                </c:pt>
                <c:pt idx="14">
                  <c:v>CERRO VERDE</c:v>
                </c:pt>
                <c:pt idx="15">
                  <c:v>ANDEAN POWER</c:v>
                </c:pt>
                <c:pt idx="16">
                  <c:v>AIPSA</c:v>
                </c:pt>
                <c:pt idx="17">
                  <c:v>AGROAURORA</c:v>
                </c:pt>
                <c:pt idx="18">
                  <c:v>ELECTRICA SANTA ROSA / ATRIA</c:v>
                </c:pt>
                <c:pt idx="19">
                  <c:v>MAJA ENERGIA</c:v>
                </c:pt>
                <c:pt idx="20">
                  <c:v>EGECSAC</c:v>
                </c:pt>
                <c:pt idx="21">
                  <c:v>HIDROCAÑETE</c:v>
                </c:pt>
                <c:pt idx="22">
                  <c:v>ELECTRICA YANAPAMPA</c:v>
                </c:pt>
                <c:pt idx="23">
                  <c:v>AGUA AZUL</c:v>
                </c:pt>
                <c:pt idx="24">
                  <c:v>GENERACIÓN ANDINA</c:v>
                </c:pt>
                <c:pt idx="25">
                  <c:v>PETRAMAS</c:v>
                </c:pt>
                <c:pt idx="26">
                  <c:v>SAN JACINTO</c:v>
                </c:pt>
                <c:pt idx="27">
                  <c:v>RIO DOBLE</c:v>
                </c:pt>
                <c:pt idx="28">
                  <c:v>ELECTRO ZAÑA</c:v>
                </c:pt>
                <c:pt idx="29">
                  <c:v>BIOENERGIA</c:v>
                </c:pt>
                <c:pt idx="30">
                  <c:v>RIO BAÑOS</c:v>
                </c:pt>
                <c:pt idx="31">
                  <c:v>HUAURA POWER</c:v>
                </c:pt>
                <c:pt idx="32">
                  <c:v>HIDROELECTRICA HUANCHOR</c:v>
                </c:pt>
                <c:pt idx="33">
                  <c:v>EMGE JUNÍN / SANTA CRUZ</c:v>
                </c:pt>
                <c:pt idx="34">
                  <c:v>HIDROMARAÑON/ CELEPSA RENOVABLES</c:v>
                </c:pt>
                <c:pt idx="35">
                  <c:v>SANTA ANA</c:v>
                </c:pt>
                <c:pt idx="36">
                  <c:v>SINERSA</c:v>
                </c:pt>
                <c:pt idx="37">
                  <c:v>GEPSA</c:v>
                </c:pt>
                <c:pt idx="38">
                  <c:v>EGESUR</c:v>
                </c:pt>
                <c:pt idx="39">
                  <c:v>EMGE HUALLAGA</c:v>
                </c:pt>
                <c:pt idx="40">
                  <c:v>P.E. MARCONA</c:v>
                </c:pt>
                <c:pt idx="41">
                  <c:v>INLAND</c:v>
                </c:pt>
                <c:pt idx="42">
                  <c:v>ENERGÍA EÓLICA</c:v>
                </c:pt>
                <c:pt idx="43">
                  <c:v>ENEL GENERACION PIURA</c:v>
                </c:pt>
                <c:pt idx="44">
                  <c:v>P.E. TRES HERMANAS</c:v>
                </c:pt>
                <c:pt idx="45">
                  <c:v>EMGE HUANZA</c:v>
                </c:pt>
                <c:pt idx="46">
                  <c:v>SAN GABAN</c:v>
                </c:pt>
                <c:pt idx="47">
                  <c:v>ENEL GREEN POWER PERU</c:v>
                </c:pt>
                <c:pt idx="48">
                  <c:v>EGEMSA</c:v>
                </c:pt>
                <c:pt idx="49">
                  <c:v>CHINANGO</c:v>
                </c:pt>
                <c:pt idx="50">
                  <c:v>EGASA</c:v>
                </c:pt>
                <c:pt idx="51">
                  <c:v>ORAZUL ENERGY PERÚ</c:v>
                </c:pt>
                <c:pt idx="52">
                  <c:v>CELEPSA</c:v>
                </c:pt>
                <c:pt idx="53">
                  <c:v>STATKRAFT</c:v>
                </c:pt>
                <c:pt idx="54">
                  <c:v>FENIX POWER</c:v>
                </c:pt>
                <c:pt idx="55">
                  <c:v>KALLPA</c:v>
                </c:pt>
                <c:pt idx="56">
                  <c:v>ELECTROPERU</c:v>
                </c:pt>
                <c:pt idx="57">
                  <c:v>ENEL GENERACION PERU</c:v>
                </c:pt>
                <c:pt idx="58">
                  <c:v>ENGIE</c:v>
                </c:pt>
              </c:strCache>
            </c:strRef>
          </c:cat>
          <c:val>
            <c:numRef>
              <c:f>'9. Pot. Empresa'!$N$7:$N$65</c:f>
              <c:numCache>
                <c:formatCode>0</c:formatCode>
                <c:ptCount val="59"/>
                <c:pt idx="1">
                  <c:v>0</c:v>
                </c:pt>
                <c:pt idx="2">
                  <c:v>287.08664999999996</c:v>
                </c:pt>
                <c:pt idx="3">
                  <c:v>0</c:v>
                </c:pt>
                <c:pt idx="4">
                  <c:v>0</c:v>
                </c:pt>
                <c:pt idx="5">
                  <c:v>28.782550000000001</c:v>
                </c:pt>
                <c:pt idx="6">
                  <c:v>0</c:v>
                </c:pt>
                <c:pt idx="7">
                  <c:v>0</c:v>
                </c:pt>
                <c:pt idx="8">
                  <c:v>0</c:v>
                </c:pt>
                <c:pt idx="9">
                  <c:v>0</c:v>
                </c:pt>
                <c:pt idx="10">
                  <c:v>0</c:v>
                </c:pt>
                <c:pt idx="11">
                  <c:v>0</c:v>
                </c:pt>
                <c:pt idx="12">
                  <c:v>0</c:v>
                </c:pt>
                <c:pt idx="13">
                  <c:v>0</c:v>
                </c:pt>
                <c:pt idx="14">
                  <c:v>0</c:v>
                </c:pt>
                <c:pt idx="15">
                  <c:v>19.996739999999999</c:v>
                </c:pt>
                <c:pt idx="16">
                  <c:v>14.48222</c:v>
                </c:pt>
                <c:pt idx="17">
                  <c:v>17.947790000000001</c:v>
                </c:pt>
                <c:pt idx="18">
                  <c:v>0.23782</c:v>
                </c:pt>
                <c:pt idx="19">
                  <c:v>1.6800600000000001</c:v>
                </c:pt>
                <c:pt idx="20">
                  <c:v>0</c:v>
                </c:pt>
                <c:pt idx="21">
                  <c:v>3.6</c:v>
                </c:pt>
                <c:pt idx="22">
                  <c:v>2.7240599999999997</c:v>
                </c:pt>
                <c:pt idx="23">
                  <c:v>0</c:v>
                </c:pt>
                <c:pt idx="25">
                  <c:v>3.7716000000000003</c:v>
                </c:pt>
                <c:pt idx="26">
                  <c:v>4.6315499999999998</c:v>
                </c:pt>
                <c:pt idx="27">
                  <c:v>8.13354</c:v>
                </c:pt>
                <c:pt idx="28">
                  <c:v>10.28848</c:v>
                </c:pt>
                <c:pt idx="30">
                  <c:v>10.07152</c:v>
                </c:pt>
                <c:pt idx="31">
                  <c:v>17.051090000000002</c:v>
                </c:pt>
                <c:pt idx="32">
                  <c:v>16.555999999999997</c:v>
                </c:pt>
                <c:pt idx="33">
                  <c:v>22.029139999999998</c:v>
                </c:pt>
                <c:pt idx="34">
                  <c:v>18.66602</c:v>
                </c:pt>
                <c:pt idx="35">
                  <c:v>19.914870000000001</c:v>
                </c:pt>
                <c:pt idx="36">
                  <c:v>24.50949</c:v>
                </c:pt>
                <c:pt idx="37">
                  <c:v>30.290699999999998</c:v>
                </c:pt>
                <c:pt idx="38">
                  <c:v>41.265819999999998</c:v>
                </c:pt>
                <c:pt idx="39">
                  <c:v>232.74938</c:v>
                </c:pt>
                <c:pt idx="40">
                  <c:v>0</c:v>
                </c:pt>
                <c:pt idx="41">
                  <c:v>71.596620000000001</c:v>
                </c:pt>
                <c:pt idx="42">
                  <c:v>61.452120000000001</c:v>
                </c:pt>
                <c:pt idx="43">
                  <c:v>85.119879999999995</c:v>
                </c:pt>
                <c:pt idx="44">
                  <c:v>0</c:v>
                </c:pt>
                <c:pt idx="45">
                  <c:v>81.902439999999999</c:v>
                </c:pt>
                <c:pt idx="46">
                  <c:v>106.34021999999999</c:v>
                </c:pt>
                <c:pt idx="47">
                  <c:v>106.94519</c:v>
                </c:pt>
                <c:pt idx="48">
                  <c:v>136.76603</c:v>
                </c:pt>
                <c:pt idx="49">
                  <c:v>122.62738</c:v>
                </c:pt>
                <c:pt idx="50">
                  <c:v>143.25579000000002</c:v>
                </c:pt>
                <c:pt idx="51">
                  <c:v>216.11092000000002</c:v>
                </c:pt>
                <c:pt idx="52">
                  <c:v>167.84417999999999</c:v>
                </c:pt>
                <c:pt idx="53">
                  <c:v>287.90769999999998</c:v>
                </c:pt>
                <c:pt idx="54">
                  <c:v>543.88617999999997</c:v>
                </c:pt>
                <c:pt idx="55">
                  <c:v>1299.22794</c:v>
                </c:pt>
                <c:pt idx="56">
                  <c:v>865.56577000000016</c:v>
                </c:pt>
                <c:pt idx="57">
                  <c:v>876.0515200000001</c:v>
                </c:pt>
                <c:pt idx="58">
                  <c:v>784.70128999999997</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2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0.000">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'12.Caudales'!$N$4:$N$186</c:f>
              <c:numCache>
                <c:formatCode>0.0</c:formatCode>
                <c:ptCount val="183"/>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'12.Caudales'!$O$4:$O$186</c:f>
              <c:numCache>
                <c:formatCode>0.0</c:formatCode>
                <c:ptCount val="183"/>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'12.Caudales'!$M$4:$M$186</c:f>
              <c:numCache>
                <c:formatCode>0.0</c:formatCode>
                <c:ptCount val="183"/>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2126.5101631349999</c:v>
                </c:pt>
                <c:pt idx="1">
                  <c:v>1934.2168367825004</c:v>
                </c:pt>
                <c:pt idx="2">
                  <c:v>0</c:v>
                </c:pt>
                <c:pt idx="3">
                  <c:v>5.7228150250000001</c:v>
                </c:pt>
                <c:pt idx="4">
                  <c:v>22.254032505000001</c:v>
                </c:pt>
                <c:pt idx="5">
                  <c:v>147.78231510000001</c:v>
                </c:pt>
                <c:pt idx="6">
                  <c:v>52.871938625000006</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1364.5182918550006</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2.45639E-2</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21.865095594999996</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161.8844647825</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55.064190197499997</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'13.Caudales'!$Q$4:$Q$186</c:f>
              <c:numCache>
                <c:formatCode>0.0</c:formatCode>
                <c:ptCount val="183"/>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'13.Caudales'!$R$4:$R$186</c:f>
              <c:numCache>
                <c:formatCode>0.0</c:formatCode>
                <c:ptCount val="183"/>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'13.Caudales'!$N$4:$O$1746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'13.Caudales'!$S$4:$S$186</c:f>
              <c:numCache>
                <c:formatCode>0.0</c:formatCode>
                <c:ptCount val="183"/>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'13.Caudales'!$N$4:$O$1746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'13.Caudales'!$T$4:$T$186</c:f>
              <c:numCache>
                <c:formatCode>0.0</c:formatCode>
                <c:ptCount val="183"/>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'13.Caudales'!$U$4:$U$186</c:f>
              <c:numCache>
                <c:formatCode>0.0</c:formatCode>
                <c:ptCount val="183"/>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'13.Caudales'!$V$4:$V$186</c:f>
              <c:numCache>
                <c:formatCode>0.0</c:formatCode>
                <c:ptCount val="183"/>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'13.Caudales'!$N$4:$O$186</c:f>
              <c:multiLvlStrCache>
                <c:ptCount val="183"/>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2">
                    <c:v>26</c:v>
                  </c:pt>
                </c:lvl>
                <c:lvl>
                  <c:pt idx="0">
                    <c:v>2017</c:v>
                  </c:pt>
                  <c:pt idx="52">
                    <c:v>2018</c:v>
                  </c:pt>
                  <c:pt idx="104">
                    <c:v>2019</c:v>
                  </c:pt>
                  <c:pt idx="157">
                    <c:v>2020</c:v>
                  </c:pt>
                </c:lvl>
              </c:multiLvlStrCache>
            </c:multiLvlStrRef>
          </c:cat>
          <c:val>
            <c:numRef>
              <c:f>'13.Caudales'!$W$4:$W$186</c:f>
              <c:numCache>
                <c:formatCode>0.0</c:formatCode>
                <c:ptCount val="183"/>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'13.Caudales'!$Y$4:$Y$186</c:f>
              <c:numCache>
                <c:formatCode>0.0</c:formatCode>
                <c:ptCount val="183"/>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'13.Caudales'!$X$4:$X$186</c:f>
              <c:numCache>
                <c:formatCode>0.0</c:formatCode>
                <c:ptCount val="183"/>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9.143627084706127</c:v>
                </c:pt>
                <c:pt idx="1">
                  <c:v>9.0793446678198197</c:v>
                </c:pt>
                <c:pt idx="2">
                  <c:v>8.9464810807524575</c:v>
                </c:pt>
                <c:pt idx="3">
                  <c:v>8.8921967631162229</c:v>
                </c:pt>
                <c:pt idx="4">
                  <c:v>8.9800059673977923</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8.5186121750368589</c:v>
                </c:pt>
                <c:pt idx="1">
                  <c:v>8.5105508607502784</c:v>
                </c:pt>
                <c:pt idx="2">
                  <c:v>8.5322343062615573</c:v>
                </c:pt>
                <c:pt idx="3">
                  <c:v>8.4742161198970809</c:v>
                </c:pt>
                <c:pt idx="4">
                  <c:v>8.4141316889061475</c:v>
                </c:pt>
                <c:pt idx="5">
                  <c:v>8.3233197362640663</c:v>
                </c:pt>
                <c:pt idx="6">
                  <c:v>8.2633095584659095</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9.1376186568452162</c:v>
                </c:pt>
                <c:pt idx="1">
                  <c:v>8.8243870236358255</c:v>
                </c:pt>
                <c:pt idx="2">
                  <c:v>8.823292154601635</c:v>
                </c:pt>
                <c:pt idx="3">
                  <c:v>8.883837565698661</c:v>
                </c:pt>
                <c:pt idx="4">
                  <c:v>8.4993915468401937</c:v>
                </c:pt>
                <c:pt idx="5">
                  <c:v>8.4742297771737292</c:v>
                </c:pt>
                <c:pt idx="6">
                  <c:v>8.1953658267046183</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53786633415710627"/>
        </c:manualLayout>
      </c:layout>
      <c:barChart>
        <c:barDir val="col"/>
        <c:grouping val="clustered"/>
        <c:varyColors val="0"/>
        <c:ser>
          <c:idx val="2"/>
          <c:order val="0"/>
          <c:tx>
            <c:strRef>
              <c:f>'16. Congestiones'!$F$6</c:f>
              <c:strCache>
                <c:ptCount val="1"/>
                <c:pt idx="0">
                  <c:v>JUNIO
 2018</c:v>
                </c:pt>
              </c:strCache>
            </c:strRef>
          </c:tx>
          <c:spPr>
            <a:solidFill>
              <a:schemeClr val="accent6"/>
            </a:solidFill>
          </c:spPr>
          <c:invertIfNegative val="0"/>
          <c:cat>
            <c:strRef>
              <c:f>'16. Congestiones'!$C$7:$C$11</c:f>
              <c:strCache>
                <c:ptCount val="5"/>
                <c:pt idx="0">
                  <c:v>PARAGSHA II - CONOCOCHA</c:v>
                </c:pt>
                <c:pt idx="1">
                  <c:v>SANTA ROSA N. - CHAVARRÍA</c:v>
                </c:pt>
                <c:pt idx="2">
                  <c:v>TINGO MARÍA - AUCAYACU</c:v>
                </c:pt>
                <c:pt idx="3">
                  <c:v>INDEPENDENCIA</c:v>
                </c:pt>
                <c:pt idx="4">
                  <c:v>MARCONA</c:v>
                </c:pt>
              </c:strCache>
            </c:strRef>
          </c:cat>
          <c:val>
            <c:numRef>
              <c:f>'16. Congestiones'!$F$7:$F$11</c:f>
              <c:numCache>
                <c:formatCode>#,##0.00</c:formatCode>
                <c:ptCount val="5"/>
                <c:pt idx="0">
                  <c:v>4.033333333333335</c:v>
                </c:pt>
                <c:pt idx="1">
                  <c:v>4.7833333333333323</c:v>
                </c:pt>
                <c:pt idx="2">
                  <c:v>3.5333333333333341</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JUNIO
 2019</c:v>
                </c:pt>
              </c:strCache>
            </c:strRef>
          </c:tx>
          <c:invertIfNegative val="0"/>
          <c:cat>
            <c:strRef>
              <c:f>'16. Congestiones'!$C$7:$C$11</c:f>
              <c:strCache>
                <c:ptCount val="5"/>
                <c:pt idx="0">
                  <c:v>PARAGSHA II - CONOCOCHA</c:v>
                </c:pt>
                <c:pt idx="1">
                  <c:v>SANTA ROSA N. - CHAVARRÍA</c:v>
                </c:pt>
                <c:pt idx="2">
                  <c:v>TINGO MARÍA - AUCAYACU</c:v>
                </c:pt>
                <c:pt idx="3">
                  <c:v>INDEPENDENCIA</c:v>
                </c:pt>
                <c:pt idx="4">
                  <c:v>MARCONA</c:v>
                </c:pt>
              </c:strCache>
            </c:strRef>
          </c:cat>
          <c:val>
            <c:numRef>
              <c:f>'16. Congestiones'!$E$7:$E$11</c:f>
              <c:numCache>
                <c:formatCode>#,##0.00</c:formatCode>
                <c:ptCount val="5"/>
                <c:pt idx="4">
                  <c:v>3.5833333333333326</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JUNIO
 2020</c:v>
                </c:pt>
              </c:strCache>
            </c:strRef>
          </c:tx>
          <c:invertIfNegative val="0"/>
          <c:cat>
            <c:strRef>
              <c:f>'16. Congestiones'!$C$7:$C$11</c:f>
              <c:strCache>
                <c:ptCount val="5"/>
                <c:pt idx="0">
                  <c:v>PARAGSHA II - CONOCOCHA</c:v>
                </c:pt>
                <c:pt idx="1">
                  <c:v>SANTA ROSA N. - CHAVARRÍA</c:v>
                </c:pt>
                <c:pt idx="2">
                  <c:v>TINGO MARÍA - AUCAYACU</c:v>
                </c:pt>
                <c:pt idx="3">
                  <c:v>INDEPENDENCIA</c:v>
                </c:pt>
                <c:pt idx="4">
                  <c:v>MARCONA</c:v>
                </c:pt>
              </c:strCache>
            </c:strRef>
          </c:cat>
          <c:val>
            <c:numRef>
              <c:f>'16. Congestiones'!$D$7:$D$11</c:f>
              <c:numCache>
                <c:formatCode>#,##0.00</c:formatCode>
                <c:ptCount val="5"/>
                <c:pt idx="3">
                  <c:v>12.883333333333335</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8.4002039775625623E-3"/>
                  <c:y val="6.4170372689099753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57106020121"/>
                      <c:h val="0.17799981070423421"/>
                    </c:manualLayout>
                  </c15:layout>
                </c:ext>
                <c:ext xmlns:c16="http://schemas.microsoft.com/office/drawing/2014/chart" uri="{C3380CC4-5D6E-409C-BE32-E72D297353CC}">
                  <c16:uniqueId val="{00000003-E0CC-4AD3-904F-2124A98CD904}"/>
                </c:ext>
              </c:extLst>
            </c:dLbl>
            <c:dLbl>
              <c:idx val="2"/>
              <c:layout>
                <c:manualLayout>
                  <c:x val="-2.7469654071552899E-2"/>
                  <c:y val="7.35649311800432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4.8836308006119326E-3"/>
                  <c:y val="1.953927395918034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4.0812780271382944E-2"/>
                  <c:y val="-5.66498174618021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Eventos'!$B$13:$H$13</c:f>
              <c:numCache>
                <c:formatCode>General</c:formatCode>
                <c:ptCount val="7"/>
                <c:pt idx="0">
                  <c:v>4</c:v>
                </c:pt>
                <c:pt idx="1">
                  <c:v>7</c:v>
                </c:pt>
                <c:pt idx="2">
                  <c:v>2</c:v>
                </c:pt>
                <c:pt idx="3">
                  <c:v>1</c:v>
                </c:pt>
                <c:pt idx="4">
                  <c:v>6</c:v>
                </c:pt>
                <c:pt idx="5">
                  <c:v>1</c:v>
                </c:pt>
                <c:pt idx="6">
                  <c:v>0</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Eventos'!$A$8:$A$12</c:f>
              <c:strCache>
                <c:ptCount val="5"/>
                <c:pt idx="0">
                  <c:v>LINEA DE TRANSMISION</c:v>
                </c:pt>
                <c:pt idx="1">
                  <c:v>TRANSFORMADOR 3D</c:v>
                </c:pt>
                <c:pt idx="2">
                  <c:v>CELDA</c:v>
                </c:pt>
                <c:pt idx="3">
                  <c:v>CENTRAL TERMOELÉCTRICA</c:v>
                </c:pt>
                <c:pt idx="4">
                  <c:v>SVC</c:v>
                </c:pt>
              </c:strCache>
            </c:strRef>
          </c:cat>
          <c:val>
            <c:numRef>
              <c:f>'17. Eventos'!$J$8:$J$12</c:f>
              <c:numCache>
                <c:formatCode>#,##0.00</c:formatCode>
                <c:ptCount val="5"/>
                <c:pt idx="0">
                  <c:v>49.529999999999994</c:v>
                </c:pt>
                <c:pt idx="1">
                  <c:v>4.17</c:v>
                </c:pt>
                <c:pt idx="2">
                  <c:v>0.12</c:v>
                </c:pt>
                <c:pt idx="3">
                  <c:v>1.0899999999999999</c:v>
                </c:pt>
                <c:pt idx="4">
                  <c:v>0.53</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Eventos'!$B$7:$B$12</c:f>
              <c:numCache>
                <c:formatCode>General</c:formatCode>
                <c:ptCount val="6"/>
                <c:pt idx="1">
                  <c:v>4</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Eventos'!$C$7:$C$12</c:f>
              <c:numCache>
                <c:formatCode>General</c:formatCode>
                <c:ptCount val="6"/>
                <c:pt idx="1">
                  <c:v>5</c:v>
                </c:pt>
                <c:pt idx="4">
                  <c:v>1</c:v>
                </c:pt>
                <c:pt idx="5">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Eventos'!$D$7:$D$12</c:f>
              <c:numCache>
                <c:formatCode>General</c:formatCode>
                <c:ptCount val="6"/>
                <c:pt idx="1">
                  <c:v>1</c:v>
                </c:pt>
                <c:pt idx="2">
                  <c:v>1</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Eventos'!$E$7:$E$12</c:f>
              <c:numCache>
                <c:formatCode>General</c:formatCode>
                <c:ptCount val="6"/>
                <c:pt idx="1">
                  <c:v>1</c:v>
                </c:pt>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Eventos'!$F$7:$F$12</c:f>
              <c:numCache>
                <c:formatCode>General</c:formatCode>
                <c:ptCount val="6"/>
                <c:pt idx="1">
                  <c:v>3</c:v>
                </c:pt>
                <c:pt idx="2">
                  <c:v>2</c:v>
                </c:pt>
                <c:pt idx="4">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Eventos'!$G$7:$G$12</c:f>
              <c:numCache>
                <c:formatCode>General</c:formatCode>
                <c:ptCount val="6"/>
                <c:pt idx="3">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Eventos'!$A$7:$A$12</c:f>
              <c:strCache>
                <c:ptCount val="6"/>
                <c:pt idx="1">
                  <c:v>LINEA DE TRANSMISION</c:v>
                </c:pt>
                <c:pt idx="2">
                  <c:v>TRANSFORMADOR 3D</c:v>
                </c:pt>
                <c:pt idx="3">
                  <c:v>CELDA</c:v>
                </c:pt>
                <c:pt idx="4">
                  <c:v>CENTRAL TERMOELÉCTRICA</c:v>
                </c:pt>
                <c:pt idx="5">
                  <c:v>SVC</c:v>
                </c:pt>
              </c:strCache>
            </c:strRef>
          </c:cat>
          <c:val>
            <c:numRef>
              <c:f>'17. Eventos'!$H$7:$H$12</c:f>
              <c:numCache>
                <c:formatCode>General</c:formatCode>
                <c:ptCount val="6"/>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generación'!$B$38:$C$38</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generación'!$D$37:$E$37</c:f>
              <c:strCache>
                <c:ptCount val="2"/>
                <c:pt idx="0">
                  <c:v>JUNIO 2020</c:v>
                </c:pt>
                <c:pt idx="1">
                  <c:v>JUNIO 2019</c:v>
                </c:pt>
              </c:strCache>
            </c:strRef>
          </c:cat>
          <c:val>
            <c:numRef>
              <c:f>'2. Oferta de generación'!$D$38:$E$38</c:f>
              <c:numCache>
                <c:formatCode>#,##0.0</c:formatCode>
                <c:ptCount val="2"/>
                <c:pt idx="0">
                  <c:v>5163.1192474999998</c:v>
                </c:pt>
                <c:pt idx="1">
                  <c:v>5122.3492474999994</c:v>
                </c:pt>
              </c:numCache>
            </c:numRef>
          </c:val>
          <c:extLst>
            <c:ext xmlns:c16="http://schemas.microsoft.com/office/drawing/2014/chart" uri="{C3380CC4-5D6E-409C-BE32-E72D297353CC}">
              <c16:uniqueId val="{00000004-54B0-402D-913D-0304413B844F}"/>
            </c:ext>
          </c:extLst>
        </c:ser>
        <c:ser>
          <c:idx val="1"/>
          <c:order val="1"/>
          <c:tx>
            <c:strRef>
              <c:f>'2. Oferta de generación'!$B$39:$C$39</c:f>
              <c:strCache>
                <c:ptCount val="2"/>
                <c:pt idx="0">
                  <c:v>TERMOELÉCTRICA</c:v>
                </c:pt>
              </c:strCache>
            </c:strRef>
          </c:tx>
          <c:spPr>
            <a:solidFill>
              <a:schemeClr val="accent2"/>
            </a:solidFill>
          </c:spPr>
          <c:invertIfNegative val="0"/>
          <c:cat>
            <c:strRef>
              <c:f>'2. Oferta de generación'!$D$37:$E$37</c:f>
              <c:strCache>
                <c:ptCount val="2"/>
                <c:pt idx="0">
                  <c:v>JUNIO 2020</c:v>
                </c:pt>
                <c:pt idx="1">
                  <c:v>JUNIO 2019</c:v>
                </c:pt>
              </c:strCache>
            </c:strRef>
          </c:cat>
          <c:val>
            <c:numRef>
              <c:f>'2. Oferta de generación'!$D$39:$E$39</c:f>
              <c:numCache>
                <c:formatCode>#,##0.0</c:formatCode>
                <c:ptCount val="2"/>
                <c:pt idx="0">
                  <c:v>7395.9645</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generación'!$B$40:$C$40</c:f>
              <c:strCache>
                <c:ptCount val="2"/>
                <c:pt idx="0">
                  <c:v>EÓLICA</c:v>
                </c:pt>
              </c:strCache>
            </c:strRef>
          </c:tx>
          <c:spPr>
            <a:solidFill>
              <a:srgbClr val="6DA6D9"/>
            </a:solidFill>
          </c:spPr>
          <c:invertIfNegative val="0"/>
          <c:cat>
            <c:strRef>
              <c:f>'2. Oferta de generación'!$D$37:$E$37</c:f>
              <c:strCache>
                <c:ptCount val="2"/>
                <c:pt idx="0">
                  <c:v>JUNIO 2020</c:v>
                </c:pt>
                <c:pt idx="1">
                  <c:v>JUNIO 2019</c:v>
                </c:pt>
              </c:strCache>
            </c:strRef>
          </c:cat>
          <c:val>
            <c:numRef>
              <c:f>'2. Oferta de generación'!$D$40:$E$40</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generación'!$B$41:$C$41</c:f>
              <c:strCache>
                <c:ptCount val="2"/>
                <c:pt idx="0">
                  <c:v>SOLAR</c:v>
                </c:pt>
              </c:strCache>
            </c:strRef>
          </c:tx>
          <c:invertIfNegative val="0"/>
          <c:cat>
            <c:strRef>
              <c:f>'2. Oferta de generación'!$D$37:$E$37</c:f>
              <c:strCache>
                <c:ptCount val="2"/>
                <c:pt idx="0">
                  <c:v>JUNIO 2020</c:v>
                </c:pt>
                <c:pt idx="1">
                  <c:v>JUNIO 2019</c:v>
                </c:pt>
              </c:strCache>
            </c:strRef>
          </c:cat>
          <c:val>
            <c:numRef>
              <c:f>'2. Oferta de generación'!$D$41:$E$41</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16327.994869525002</c:v>
                </c:pt>
                <c:pt idx="1">
                  <c:v>7804.0830211675002</c:v>
                </c:pt>
                <c:pt idx="2">
                  <c:v>658.58462278000013</c:v>
                </c:pt>
                <c:pt idx="3">
                  <c:v>330.79512248999998</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16593.078632462508</c:v>
                </c:pt>
                <c:pt idx="1">
                  <c:v>8618.5820859150026</c:v>
                </c:pt>
                <c:pt idx="2">
                  <c:v>795.12044744499997</c:v>
                </c:pt>
                <c:pt idx="3">
                  <c:v>341.36199789999995</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16968.109444374997</c:v>
                </c:pt>
                <c:pt idx="1">
                  <c:v>5023.9724376499998</c:v>
                </c:pt>
                <c:pt idx="2">
                  <c:v>800.99519206749994</c:v>
                </c:pt>
                <c:pt idx="3">
                  <c:v>350.62904399749999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16968.109444374997</c:v>
                </c:pt>
                <c:pt idx="1">
                  <c:v>4643.9973746100004</c:v>
                </c:pt>
                <c:pt idx="2">
                  <c:v>227.43830298750001</c:v>
                </c:pt>
                <c:pt idx="3">
                  <c:v>15.849400752499999</c:v>
                </c:pt>
                <c:pt idx="4">
                  <c:v>0</c:v>
                </c:pt>
                <c:pt idx="5">
                  <c:v>0</c:v>
                </c:pt>
                <c:pt idx="6">
                  <c:v>1.2236413724999999</c:v>
                </c:pt>
                <c:pt idx="7">
                  <c:v>0</c:v>
                </c:pt>
                <c:pt idx="8">
                  <c:v>8.0604177100000012</c:v>
                </c:pt>
                <c:pt idx="9">
                  <c:v>106.3829947025</c:v>
                </c:pt>
                <c:pt idx="10">
                  <c:v>21.020305515</c:v>
                </c:pt>
                <c:pt idx="11">
                  <c:v>350.62904399749999</c:v>
                </c:pt>
                <c:pt idx="12">
                  <c:v>800.99519206749994</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16593.078632462508</c:v>
                </c:pt>
                <c:pt idx="1">
                  <c:v>7996.0885491945328</c:v>
                </c:pt>
                <c:pt idx="2">
                  <c:v>250.84280231499991</c:v>
                </c:pt>
                <c:pt idx="3">
                  <c:v>107.077483865</c:v>
                </c:pt>
                <c:pt idx="4">
                  <c:v>0</c:v>
                </c:pt>
                <c:pt idx="5">
                  <c:v>18.283256609999999</c:v>
                </c:pt>
                <c:pt idx="6">
                  <c:v>41.949142722499985</c:v>
                </c:pt>
                <c:pt idx="7">
                  <c:v>8.9529357500000004E-2</c:v>
                </c:pt>
                <c:pt idx="8">
                  <c:v>96.16921034546877</c:v>
                </c:pt>
                <c:pt idx="9">
                  <c:v>76.464057187500003</c:v>
                </c:pt>
                <c:pt idx="10">
                  <c:v>31.618054317499997</c:v>
                </c:pt>
                <c:pt idx="11">
                  <c:v>341.36199789999995</c:v>
                </c:pt>
                <c:pt idx="12">
                  <c:v>795.12044744499997</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16327.994869525002</c:v>
                </c:pt>
                <c:pt idx="1">
                  <c:v>7316.9316987624998</c:v>
                </c:pt>
                <c:pt idx="2">
                  <c:v>220.17485597750002</c:v>
                </c:pt>
                <c:pt idx="3">
                  <c:v>113.07860665000001</c:v>
                </c:pt>
                <c:pt idx="4">
                  <c:v>0</c:v>
                </c:pt>
                <c:pt idx="5">
                  <c:v>26.9015129625</c:v>
                </c:pt>
                <c:pt idx="6">
                  <c:v>1.8026657475000003</c:v>
                </c:pt>
                <c:pt idx="7">
                  <c:v>1.4230004125</c:v>
                </c:pt>
                <c:pt idx="8">
                  <c:v>58.4930734625</c:v>
                </c:pt>
                <c:pt idx="9">
                  <c:v>42.383671962499996</c:v>
                </c:pt>
                <c:pt idx="10">
                  <c:v>22.89393523</c:v>
                </c:pt>
                <c:pt idx="11">
                  <c:v>330.79512248999998</c:v>
                </c:pt>
                <c:pt idx="12">
                  <c:v>658.58462278000013</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673.57594439000013</c:v>
                </c:pt>
                <c:pt idx="1">
                  <c:v>658.58462278000013</c:v>
                </c:pt>
                <c:pt idx="2">
                  <c:v>330.79512248999998</c:v>
                </c:pt>
                <c:pt idx="3">
                  <c:v>42.383671962499996</c:v>
                </c:pt>
                <c:pt idx="4">
                  <c:v>22.89393523</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958.31141548750008</c:v>
                </c:pt>
                <c:pt idx="1">
                  <c:v>795.12044744499997</c:v>
                </c:pt>
                <c:pt idx="2">
                  <c:v>341.36199789999995</c:v>
                </c:pt>
                <c:pt idx="3">
                  <c:v>76.464057187500003</c:v>
                </c:pt>
                <c:pt idx="4">
                  <c:v>31.618054317499997</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1270.3747325024999</c:v>
                </c:pt>
                <c:pt idx="1">
                  <c:v>800.99519206749994</c:v>
                </c:pt>
                <c:pt idx="2">
                  <c:v>350.62904399749999</c:v>
                </c:pt>
                <c:pt idx="3">
                  <c:v>106.3829947025</c:v>
                </c:pt>
                <c:pt idx="4">
                  <c:v>21.020305515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1.3827691091736328E-2"/>
                  <c:y val="-5.2454963372213101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10,175%</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3374.4717709450015</c:v>
                </c:pt>
                <c:pt idx="1">
                  <c:v>143.43081614249999</c:v>
                </c:pt>
                <c:pt idx="2">
                  <c:v>161.8844647825</c:v>
                </c:pt>
                <c:pt idx="3">
                  <c:v>55.064190197499997</c:v>
                </c:pt>
                <c:pt idx="4">
                  <c:v>19.396027994999997</c:v>
                </c:pt>
                <c:pt idx="5">
                  <c:v>2.4690675999999998</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RER'!$L$6:$L$34</c:f>
              <c:strCache>
                <c:ptCount val="29"/>
                <c:pt idx="0">
                  <c:v>C.H. RENOVANDES H1</c:v>
                </c:pt>
                <c:pt idx="1">
                  <c:v>C.H. CHANCAY</c:v>
                </c:pt>
                <c:pt idx="2">
                  <c:v>C.H. YARUCAYA</c:v>
                </c:pt>
                <c:pt idx="3">
                  <c:v>C.H. RUCUY</c:v>
                </c:pt>
                <c:pt idx="4">
                  <c:v>C.H. CARHUAC</c:v>
                </c:pt>
                <c:pt idx="5">
                  <c:v>C.H. CARHUAQUERO IV</c:v>
                </c:pt>
                <c:pt idx="6">
                  <c:v>C.H. LAS PIZARRAS</c:v>
                </c:pt>
                <c:pt idx="7">
                  <c:v>C.H. ÁNGEL III</c:v>
                </c:pt>
                <c:pt idx="8">
                  <c:v>C.H. ZAÑA</c:v>
                </c:pt>
                <c:pt idx="9">
                  <c:v>C.H. ÁNGEL II</c:v>
                </c:pt>
                <c:pt idx="10">
                  <c:v>C.H. 8 DE AGOSTO</c:v>
                </c:pt>
                <c:pt idx="11">
                  <c:v>C.H. LA JOYA</c:v>
                </c:pt>
                <c:pt idx="12">
                  <c:v>C.H. RUNATULLO III</c:v>
                </c:pt>
                <c:pt idx="13">
                  <c:v>C.H. ÁNGEL I</c:v>
                </c:pt>
                <c:pt idx="14">
                  <c:v>C.H. POECHOS II</c:v>
                </c:pt>
                <c:pt idx="15">
                  <c:v>C.H. RUNATULLO II</c:v>
                </c:pt>
                <c:pt idx="16">
                  <c:v>C.H. CAÑA BRAVA</c:v>
                </c:pt>
                <c:pt idx="17">
                  <c:v>C.H. HUASAHUASI II</c:v>
                </c:pt>
                <c:pt idx="18">
                  <c:v>C.H. HUASAHUASI I</c:v>
                </c:pt>
                <c:pt idx="19">
                  <c:v>C.H. POTRERO</c:v>
                </c:pt>
                <c:pt idx="20">
                  <c:v>C.H. IMPERIAL</c:v>
                </c:pt>
                <c:pt idx="21">
                  <c:v>C.H. CANCHAYLLO</c:v>
                </c:pt>
                <c:pt idx="22">
                  <c:v>C.H. SANTA CRUZ II</c:v>
                </c:pt>
                <c:pt idx="23">
                  <c:v>C.H. YANAPAMPA</c:v>
                </c:pt>
                <c:pt idx="24">
                  <c:v>C.H. SANTA CRUZ I</c:v>
                </c:pt>
                <c:pt idx="25">
                  <c:v>C.H. RONCADOR</c:v>
                </c:pt>
                <c:pt idx="26">
                  <c:v>C.H. HER 1</c:v>
                </c:pt>
                <c:pt idx="27">
                  <c:v>C.H. PURMACANA</c:v>
                </c:pt>
                <c:pt idx="28">
                  <c:v>C.H. EL CARMEN</c:v>
                </c:pt>
              </c:strCache>
            </c:strRef>
          </c:cat>
          <c:val>
            <c:numRef>
              <c:f>'6. FP RER'!$O$6:$O$34</c:f>
              <c:numCache>
                <c:formatCode>0.00</c:formatCode>
                <c:ptCount val="29"/>
                <c:pt idx="0">
                  <c:v>14.4008622175</c:v>
                </c:pt>
                <c:pt idx="1">
                  <c:v>12.018270287499998</c:v>
                </c:pt>
                <c:pt idx="2">
                  <c:v>11.345840219999999</c:v>
                </c:pt>
                <c:pt idx="3">
                  <c:v>9.5612677625</c:v>
                </c:pt>
                <c:pt idx="4">
                  <c:v>9.3673749849999997</c:v>
                </c:pt>
                <c:pt idx="5">
                  <c:v>7.1436445050000001</c:v>
                </c:pt>
                <c:pt idx="6">
                  <c:v>6.930165165</c:v>
                </c:pt>
                <c:pt idx="7">
                  <c:v>6.1366541349999997</c:v>
                </c:pt>
                <c:pt idx="8">
                  <c:v>6.1175919424999998</c:v>
                </c:pt>
                <c:pt idx="9">
                  <c:v>6.1076817099999996</c:v>
                </c:pt>
                <c:pt idx="10">
                  <c:v>6.0410269574999997</c:v>
                </c:pt>
                <c:pt idx="11">
                  <c:v>5.5391570325000004</c:v>
                </c:pt>
                <c:pt idx="12">
                  <c:v>5.3863698124999999</c:v>
                </c:pt>
                <c:pt idx="13">
                  <c:v>4.5183815974999995</c:v>
                </c:pt>
                <c:pt idx="14">
                  <c:v>4.3035559800000005</c:v>
                </c:pt>
                <c:pt idx="15">
                  <c:v>3.9449169450000001</c:v>
                </c:pt>
                <c:pt idx="16">
                  <c:v>2.953807555</c:v>
                </c:pt>
                <c:pt idx="17">
                  <c:v>2.6652023850000002</c:v>
                </c:pt>
                <c:pt idx="18">
                  <c:v>2.5750884924999999</c:v>
                </c:pt>
                <c:pt idx="19">
                  <c:v>2.5531149850000001</c:v>
                </c:pt>
                <c:pt idx="20">
                  <c:v>2.2176</c:v>
                </c:pt>
                <c:pt idx="21">
                  <c:v>2.12640377</c:v>
                </c:pt>
                <c:pt idx="22">
                  <c:v>1.9190955599999999</c:v>
                </c:pt>
                <c:pt idx="23">
                  <c:v>1.7968975674999998</c:v>
                </c:pt>
                <c:pt idx="24">
                  <c:v>1.6142961674999998</c:v>
                </c:pt>
                <c:pt idx="25">
                  <c:v>1.1218027825000001</c:v>
                </c:pt>
                <c:pt idx="26">
                  <c:v>0.41449968500000001</c:v>
                </c:pt>
                <c:pt idx="27">
                  <c:v>0.29502389499999998</c:v>
                </c:pt>
                <c:pt idx="28">
                  <c:v>0</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RER'!$L$6:$L$34</c:f>
              <c:strCache>
                <c:ptCount val="29"/>
                <c:pt idx="0">
                  <c:v>C.H. RENOVANDES H1</c:v>
                </c:pt>
                <c:pt idx="1">
                  <c:v>C.H. CHANCAY</c:v>
                </c:pt>
                <c:pt idx="2">
                  <c:v>C.H. YARUCAYA</c:v>
                </c:pt>
                <c:pt idx="3">
                  <c:v>C.H. RUCUY</c:v>
                </c:pt>
                <c:pt idx="4">
                  <c:v>C.H. CARHUAC</c:v>
                </c:pt>
                <c:pt idx="5">
                  <c:v>C.H. CARHUAQUERO IV</c:v>
                </c:pt>
                <c:pt idx="6">
                  <c:v>C.H. LAS PIZARRAS</c:v>
                </c:pt>
                <c:pt idx="7">
                  <c:v>C.H. ÁNGEL III</c:v>
                </c:pt>
                <c:pt idx="8">
                  <c:v>C.H. ZAÑA</c:v>
                </c:pt>
                <c:pt idx="9">
                  <c:v>C.H. ÁNGEL II</c:v>
                </c:pt>
                <c:pt idx="10">
                  <c:v>C.H. 8 DE AGOSTO</c:v>
                </c:pt>
                <c:pt idx="11">
                  <c:v>C.H. LA JOYA</c:v>
                </c:pt>
                <c:pt idx="12">
                  <c:v>C.H. RUNATULLO III</c:v>
                </c:pt>
                <c:pt idx="13">
                  <c:v>C.H. ÁNGEL I</c:v>
                </c:pt>
                <c:pt idx="14">
                  <c:v>C.H. POECHOS II</c:v>
                </c:pt>
                <c:pt idx="15">
                  <c:v>C.H. RUNATULLO II</c:v>
                </c:pt>
                <c:pt idx="16">
                  <c:v>C.H. CAÑA BRAVA</c:v>
                </c:pt>
                <c:pt idx="17">
                  <c:v>C.H. HUASAHUASI II</c:v>
                </c:pt>
                <c:pt idx="18">
                  <c:v>C.H. HUASAHUASI I</c:v>
                </c:pt>
                <c:pt idx="19">
                  <c:v>C.H. POTRERO</c:v>
                </c:pt>
                <c:pt idx="20">
                  <c:v>C.H. IMPERIAL</c:v>
                </c:pt>
                <c:pt idx="21">
                  <c:v>C.H. CANCHAYLLO</c:v>
                </c:pt>
                <c:pt idx="22">
                  <c:v>C.H. SANTA CRUZ II</c:v>
                </c:pt>
                <c:pt idx="23">
                  <c:v>C.H. YANAPAMPA</c:v>
                </c:pt>
                <c:pt idx="24">
                  <c:v>C.H. SANTA CRUZ I</c:v>
                </c:pt>
                <c:pt idx="25">
                  <c:v>C.H. RONCADOR</c:v>
                </c:pt>
                <c:pt idx="26">
                  <c:v>C.H. HER 1</c:v>
                </c:pt>
                <c:pt idx="27">
                  <c:v>C.H. PURMACANA</c:v>
                </c:pt>
                <c:pt idx="28">
                  <c:v>C.H. EL CARMEN</c:v>
                </c:pt>
              </c:strCache>
            </c:strRef>
          </c:cat>
          <c:val>
            <c:numRef>
              <c:f>'6. FP RER'!$P$6:$P$34</c:f>
              <c:numCache>
                <c:formatCode>0.00</c:formatCode>
                <c:ptCount val="29"/>
                <c:pt idx="0">
                  <c:v>0.98729903617274517</c:v>
                </c:pt>
                <c:pt idx="1">
                  <c:v>0.80767945480510739</c:v>
                </c:pt>
                <c:pt idx="2">
                  <c:v>1.0166523494623656</c:v>
                </c:pt>
                <c:pt idx="3">
                  <c:v>0.64255831737231184</c:v>
                </c:pt>
                <c:pt idx="4">
                  <c:v>0.62952788877688171</c:v>
                </c:pt>
                <c:pt idx="5">
                  <c:v>0.96180233614887234</c:v>
                </c:pt>
                <c:pt idx="6">
                  <c:v>0.48515524492825335</c:v>
                </c:pt>
                <c:pt idx="7">
                  <c:v>0.40913646040013224</c:v>
                </c:pt>
                <c:pt idx="8">
                  <c:v>0.62292195569607367</c:v>
                </c:pt>
                <c:pt idx="9">
                  <c:v>0.40720484177654032</c:v>
                </c:pt>
                <c:pt idx="10">
                  <c:v>0.42735052047962646</c:v>
                </c:pt>
                <c:pt idx="11">
                  <c:v>0.96127870087881884</c:v>
                </c:pt>
                <c:pt idx="12">
                  <c:v>0.36260364477811202</c:v>
                </c:pt>
                <c:pt idx="13">
                  <c:v>0.30124471949538101</c:v>
                </c:pt>
                <c:pt idx="14">
                  <c:v>0.60467796733053214</c:v>
                </c:pt>
                <c:pt idx="15">
                  <c:v>0.26555354944529441</c:v>
                </c:pt>
                <c:pt idx="16">
                  <c:v>0.70020660403747326</c:v>
                </c:pt>
                <c:pt idx="17">
                  <c:v>0.35044622091188521</c:v>
                </c:pt>
                <c:pt idx="18">
                  <c:v>0.35138481694503576</c:v>
                </c:pt>
                <c:pt idx="19">
                  <c:v>0.17244252073539745</c:v>
                </c:pt>
                <c:pt idx="20">
                  <c:v>0.75192864815598448</c:v>
                </c:pt>
                <c:pt idx="21">
                  <c:v>0.55079390698271979</c:v>
                </c:pt>
                <c:pt idx="22">
                  <c:v>0.34744470853031145</c:v>
                </c:pt>
                <c:pt idx="23">
                  <c:v>0.61671486017189148</c:v>
                </c:pt>
                <c:pt idx="24">
                  <c:v>0.31183571619811029</c:v>
                </c:pt>
                <c:pt idx="25">
                  <c:v>0.43327570081726619</c:v>
                </c:pt>
                <c:pt idx="26">
                  <c:v>0.79589033218125971</c:v>
                </c:pt>
                <c:pt idx="27">
                  <c:v>0.23135209642915397</c:v>
                </c:pt>
                <c:pt idx="28">
                  <c:v>0</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RER'!$L$35:$L$39</c:f>
              <c:strCache>
                <c:ptCount val="5"/>
                <c:pt idx="0">
                  <c:v>C.E. WAYRA I</c:v>
                </c:pt>
                <c:pt idx="1">
                  <c:v>C.E. TRES HERMANAS</c:v>
                </c:pt>
                <c:pt idx="2">
                  <c:v>C.E. CUPISNIQUE</c:v>
                </c:pt>
                <c:pt idx="3">
                  <c:v>C.E. TALARA</c:v>
                </c:pt>
                <c:pt idx="4">
                  <c:v>C.E. MARCONA</c:v>
                </c:pt>
              </c:strCache>
            </c:strRef>
          </c:cat>
          <c:val>
            <c:numRef>
              <c:f>'6. FP RER'!$O$35:$O$39</c:f>
              <c:numCache>
                <c:formatCode>0.00</c:formatCode>
                <c:ptCount val="5"/>
                <c:pt idx="0">
                  <c:v>57.621067795000002</c:v>
                </c:pt>
                <c:pt idx="1">
                  <c:v>46.796291310000001</c:v>
                </c:pt>
                <c:pt idx="2">
                  <c:v>29.596191402500001</c:v>
                </c:pt>
                <c:pt idx="3">
                  <c:v>14.418414907500001</c:v>
                </c:pt>
                <c:pt idx="4">
                  <c:v>13.4524993675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RER'!$L$35:$L$39</c:f>
              <c:strCache>
                <c:ptCount val="5"/>
                <c:pt idx="0">
                  <c:v>C.E. WAYRA I</c:v>
                </c:pt>
                <c:pt idx="1">
                  <c:v>C.E. TRES HERMANAS</c:v>
                </c:pt>
                <c:pt idx="2">
                  <c:v>C.E. CUPISNIQUE</c:v>
                </c:pt>
                <c:pt idx="3">
                  <c:v>C.E. TALARA</c:v>
                </c:pt>
                <c:pt idx="4">
                  <c:v>C.E. MARCONA</c:v>
                </c:pt>
              </c:strCache>
            </c:strRef>
          </c:cat>
          <c:val>
            <c:numRef>
              <c:f>'6. FP RER'!$P$35:$P$39</c:f>
              <c:numCache>
                <c:formatCode>0.00</c:formatCode>
                <c:ptCount val="5"/>
                <c:pt idx="0">
                  <c:v>0.58539434442534477</c:v>
                </c:pt>
                <c:pt idx="1">
                  <c:v>0.64743428726777674</c:v>
                </c:pt>
                <c:pt idx="2">
                  <c:v>0.47841042879011242</c:v>
                </c:pt>
                <c:pt idx="3">
                  <c:v>0.62798411955396904</c:v>
                </c:pt>
                <c:pt idx="4">
                  <c:v>0.56504113606770834</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chart" Target="../charts/chart28.xml"/><Relationship Id="rId1" Type="http://schemas.openxmlformats.org/officeDocument/2006/relationships/chart" Target="../charts/chart27.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13 de julio</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Junio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INFSGI-MES-06-2020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(8,98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(9,08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(8,89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(9,14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(8,47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(8,5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(8,95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(8,88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(8,53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(8,82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(8,2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(8,52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(8,41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(8,26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(9,14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(8,32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(8,47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(8,51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(8,82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14</xdr:row>
      <xdr:rowOff>124238</xdr:rowOff>
    </xdr:from>
    <xdr:to>
      <xdr:col>7</xdr:col>
      <xdr:colOff>430696</xdr:colOff>
      <xdr:row>52</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34605</xdr:colOff>
      <xdr:row>18</xdr:row>
      <xdr:rowOff>62670</xdr:rowOff>
    </xdr:from>
    <xdr:to>
      <xdr:col>3</xdr:col>
      <xdr:colOff>146277</xdr:colOff>
      <xdr:row>33</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38</xdr:row>
      <xdr:rowOff>5953</xdr:rowOff>
    </xdr:from>
    <xdr:to>
      <xdr:col>8</xdr:col>
      <xdr:colOff>71437</xdr:colOff>
      <xdr:row>52</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17</xdr:row>
      <xdr:rowOff>54428</xdr:rowOff>
    </xdr:from>
    <xdr:to>
      <xdr:col>9</xdr:col>
      <xdr:colOff>571499</xdr:colOff>
      <xdr:row>34</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0.20291</cdr:x>
      <cdr:y>0.25767</cdr:y>
    </cdr:from>
    <cdr:to>
      <cdr:x>0.26413</cdr:x>
      <cdr:y>0.29705</cdr:y>
    </cdr:to>
    <cdr:cxnSp macro="">
      <cdr:nvCxnSpPr>
        <cdr:cNvPr id="3" name="Straight Connector 2">
          <a:extLst xmlns:a="http://schemas.openxmlformats.org/drawingml/2006/main">
            <a:ext uri="{FF2B5EF4-FFF2-40B4-BE49-F238E27FC236}">
              <a16:creationId xmlns:a16="http://schemas.microsoft.com/office/drawing/2014/main" id="{29C19648-E774-4860-A5FA-8A340A937AAC}"/>
            </a:ext>
          </a:extLst>
        </cdr:cNvPr>
        <cdr:cNvCxnSpPr/>
      </cdr:nvCxnSpPr>
      <cdr:spPr>
        <a:xfrm xmlns:a="http://schemas.openxmlformats.org/drawingml/2006/main">
          <a:off x="489270" y="556455"/>
          <a:ext cx="147621" cy="8503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0.65367</cdr:x>
      <cdr:y>0.12535</cdr:y>
    </cdr:from>
    <cdr:to>
      <cdr:x>0.75029</cdr:x>
      <cdr:y>0.21948</cdr:y>
    </cdr:to>
    <cdr:cxnSp macro="">
      <cdr:nvCxnSpPr>
        <cdr:cNvPr id="5" name="Straight Connector 4">
          <a:extLst xmlns:a="http://schemas.openxmlformats.org/drawingml/2006/main">
            <a:ext uri="{FF2B5EF4-FFF2-40B4-BE49-F238E27FC236}">
              <a16:creationId xmlns:a16="http://schemas.microsoft.com/office/drawing/2014/main" id="{368C6DAC-BA23-4D33-BA14-E1405AC9D636}"/>
            </a:ext>
          </a:extLst>
        </cdr:cNvPr>
        <cdr:cNvCxnSpPr/>
      </cdr:nvCxnSpPr>
      <cdr:spPr>
        <a:xfrm xmlns:a="http://schemas.openxmlformats.org/drawingml/2006/main" flipH="1">
          <a:off x="1576187" y="270705"/>
          <a:ext cx="232976" cy="203264"/>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0.42581</cdr:x>
      <cdr:y>0.0907</cdr:y>
    </cdr:from>
    <cdr:to>
      <cdr:x>0.44198</cdr:x>
      <cdr:y>0.14111</cdr:y>
    </cdr:to>
    <cdr:cxnSp macro="">
      <cdr:nvCxnSpPr>
        <cdr:cNvPr id="7" name="Straight Connector 6">
          <a:extLst xmlns:a="http://schemas.openxmlformats.org/drawingml/2006/main">
            <a:ext uri="{FF2B5EF4-FFF2-40B4-BE49-F238E27FC236}">
              <a16:creationId xmlns:a16="http://schemas.microsoft.com/office/drawing/2014/main" id="{9E07758B-6214-4CCA-9526-AFFE92D3853D}"/>
            </a:ext>
          </a:extLst>
        </cdr:cNvPr>
        <cdr:cNvCxnSpPr/>
      </cdr:nvCxnSpPr>
      <cdr:spPr>
        <a:xfrm xmlns:a="http://schemas.openxmlformats.org/drawingml/2006/main" flipH="1" flipV="1">
          <a:off x="1026752" y="195866"/>
          <a:ext cx="38984" cy="108861"/>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0.18594</cdr:x>
      <cdr:y>0.65148</cdr:y>
    </cdr:from>
    <cdr:to>
      <cdr:x>0.25652</cdr:x>
      <cdr:y>0.68495</cdr:y>
    </cdr:to>
    <cdr:cxnSp macro="">
      <cdr:nvCxnSpPr>
        <cdr:cNvPr id="8" name="Straight Connector 7">
          <a:extLst xmlns:a="http://schemas.openxmlformats.org/drawingml/2006/main">
            <a:ext uri="{FF2B5EF4-FFF2-40B4-BE49-F238E27FC236}">
              <a16:creationId xmlns:a16="http://schemas.microsoft.com/office/drawing/2014/main" id="{9E07758B-6214-4CCA-9526-AFFE92D3853D}"/>
            </a:ext>
          </a:extLst>
        </cdr:cNvPr>
        <cdr:cNvCxnSpPr/>
      </cdr:nvCxnSpPr>
      <cdr:spPr>
        <a:xfrm xmlns:a="http://schemas.openxmlformats.org/drawingml/2006/main" flipH="1">
          <a:off x="448352" y="1406902"/>
          <a:ext cx="170186" cy="7228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0.32706</cdr:x>
      <cdr:y>0.75741</cdr:y>
    </cdr:from>
    <cdr:to>
      <cdr:x>0.40742</cdr:x>
      <cdr:y>0.84681</cdr:y>
    </cdr:to>
    <cdr:cxnSp macro="">
      <cdr:nvCxnSpPr>
        <cdr:cNvPr id="12" name="Straight Connector 11">
          <a:extLst xmlns:a="http://schemas.openxmlformats.org/drawingml/2006/main">
            <a:ext uri="{FF2B5EF4-FFF2-40B4-BE49-F238E27FC236}">
              <a16:creationId xmlns:a16="http://schemas.microsoft.com/office/drawing/2014/main" id="{03F53041-73AF-4FCE-BDE7-6A52E6DA89AC}"/>
            </a:ext>
          </a:extLst>
        </cdr:cNvPr>
        <cdr:cNvCxnSpPr/>
      </cdr:nvCxnSpPr>
      <cdr:spPr>
        <a:xfrm xmlns:a="http://schemas.openxmlformats.org/drawingml/2006/main" flipV="1">
          <a:off x="788627" y="1635664"/>
          <a:ext cx="193776" cy="193059"/>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0.68558</cdr:x>
      <cdr:y>0.65689</cdr:y>
    </cdr:from>
    <cdr:to>
      <cdr:x>0.71643</cdr:x>
      <cdr:y>0.79325</cdr:y>
    </cdr:to>
    <cdr:cxnSp macro="">
      <cdr:nvCxnSpPr>
        <cdr:cNvPr id="13" name="Straight Connector 12">
          <a:extLst xmlns:a="http://schemas.openxmlformats.org/drawingml/2006/main">
            <a:ext uri="{FF2B5EF4-FFF2-40B4-BE49-F238E27FC236}">
              <a16:creationId xmlns:a16="http://schemas.microsoft.com/office/drawing/2014/main" id="{03F53041-73AF-4FCE-BDE7-6A52E6DA89AC}"/>
            </a:ext>
          </a:extLst>
        </cdr:cNvPr>
        <cdr:cNvCxnSpPr/>
      </cdr:nvCxnSpPr>
      <cdr:spPr>
        <a:xfrm xmlns:a="http://schemas.openxmlformats.org/drawingml/2006/main" flipH="1" flipV="1">
          <a:off x="1653125" y="1418586"/>
          <a:ext cx="74395" cy="294476"/>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28575</xdr:colOff>
      <xdr:row>7</xdr:row>
      <xdr:rowOff>52137</xdr:rowOff>
    </xdr:from>
    <xdr:to>
      <xdr:col>10</xdr:col>
      <xdr:colOff>485775</xdr:colOff>
      <xdr:row>50</xdr:row>
      <xdr:rowOff>130550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1052262"/>
          <a:ext cx="5695950" cy="6241088"/>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2000"/>
            </a:lnSpc>
            <a:spcAft>
              <a:spcPts val="0"/>
            </a:spcAft>
          </a:pPr>
          <a:endParaRPr lang="en-GB" sz="100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u="sng">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r>
            <a:rPr lang="en-GB" sz="1050" b="1" baseline="0">
              <a:solidFill>
                <a:sysClr val="windowText" lastClr="000000"/>
              </a:solidFill>
              <a:effectLst/>
              <a:latin typeface="Arial" panose="020B0604020202020204" pitchFamily="34" charset="0"/>
              <a:ea typeface="Wingdings-Regular"/>
              <a:cs typeface="Arial" panose="020B0604020202020204" pitchFamily="34" charset="0"/>
            </a:rPr>
            <a:t> </a:t>
          </a:r>
          <a:r>
            <a:rPr lang="en-GB" sz="900">
              <a:solidFill>
                <a:sysClr val="windowText" lastClr="000000"/>
              </a:solidFill>
              <a:effectLst/>
              <a:latin typeface="Arial" panose="020B0604020202020204" pitchFamily="34" charset="0"/>
              <a:ea typeface="Wingdings-Regular"/>
              <a:cs typeface="Arial" panose="020B0604020202020204" pitchFamily="34" charset="0"/>
            </a:rPr>
            <a:t>http://www.coes.org.pe/Portal/PostOperacion/Informes/EvaluacionMensual </a:t>
          </a:r>
          <a:endParaRPr lang="en-GB" sz="900">
            <a:effectLst/>
            <a:latin typeface="Arial" panose="020B0604020202020204" pitchFamily="34" charset="0"/>
            <a:ea typeface="+mn-ea"/>
            <a:cs typeface="Arial" panose="020B0604020202020204" pitchFamily="34" charset="0"/>
          </a:endParaRPr>
        </a:p>
        <a:p>
          <a:pPr lvl="0" algn="ctr">
            <a:lnSpc>
              <a:spcPts val="1400"/>
            </a:lnSpc>
            <a:spcAft>
              <a:spcPts val="1000"/>
            </a:spcAft>
          </a:pPr>
          <a:r>
            <a:rPr lang="en-GB" sz="1000">
              <a:effectLst/>
              <a:latin typeface="Garamond" panose="02020404030301010803" pitchFamily="18" charset="0"/>
              <a:ea typeface="Calibri"/>
              <a:cs typeface="Times New Roman"/>
            </a:rPr>
            <a:t> </a:t>
          </a:r>
        </a:p>
        <a:p>
          <a:pPr lvl="0" algn="ctr">
            <a:lnSpc>
              <a:spcPts val="1400"/>
            </a:lnSpc>
            <a:spcAft>
              <a:spcPts val="1000"/>
            </a:spcAft>
          </a:pPr>
          <a:endParaRPr lang="en-GB" sz="1000">
            <a:effectLst/>
            <a:latin typeface="Garamond" panose="02020404030301010803" pitchFamily="18" charset="0"/>
            <a:ea typeface="Calibri"/>
            <a:cs typeface="Times New Roman"/>
          </a:endParaRPr>
        </a:p>
      </xdr:txBody>
    </xdr:sp>
    <xdr:clientData/>
  </xdr:twoCellAnchor>
  <xdr:twoCellAnchor editAs="oneCell">
    <xdr:from>
      <xdr:col>3</xdr:col>
      <xdr:colOff>239124</xdr:colOff>
      <xdr:row>51</xdr:row>
      <xdr:rowOff>30615</xdr:rowOff>
    </xdr:from>
    <xdr:to>
      <xdr:col>7</xdr:col>
      <xdr:colOff>329711</xdr:colOff>
      <xdr:row>66</xdr:row>
      <xdr:rowOff>27976</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843720" y="7518730"/>
          <a:ext cx="2230049" cy="21954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44</xdr:row>
      <xdr:rowOff>43543</xdr:rowOff>
    </xdr:from>
    <xdr:to>
      <xdr:col>9</xdr:col>
      <xdr:colOff>581525</xdr:colOff>
      <xdr:row>56</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80" zoomScaleNormal="70" zoomScaleSheetLayoutView="80" zoomScalePageLayoutView="115" workbookViewId="0">
      <selection activeCell="N65" sqref="N65"/>
    </sheetView>
  </sheetViews>
  <sheetFormatPr defaultColWidth="9.33203125" defaultRowHeight="11.25"/>
  <cols>
    <col min="9" max="9" width="14.6640625" customWidth="1"/>
    <col min="11" max="11" width="13.83203125" customWidth="1"/>
    <col min="12" max="12" width="20.5" customWidth="1"/>
  </cols>
  <sheetData>
    <row r="11" spans="9:9" ht="15.75">
      <c r="I11" s="473"/>
    </row>
    <row r="12" spans="9:9" ht="15.75">
      <c r="I12" s="473"/>
    </row>
    <row r="13" spans="9:9" ht="15.75">
      <c r="I13" s="473"/>
    </row>
    <row r="14" spans="9:9" ht="15.75">
      <c r="I14" s="473"/>
    </row>
    <row r="15" spans="9:9" ht="15.75">
      <c r="I15" s="473"/>
    </row>
  </sheetData>
  <pageMargins left="0.59055118110236227" right="0.39370078740157483" top="1.023622047244094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115" zoomScaleNormal="100" zoomScaleSheetLayoutView="115" zoomScalePageLayoutView="115" workbookViewId="0">
      <selection activeCell="N65" sqref="N65"/>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4" t="s">
        <v>246</v>
      </c>
      <c r="B2" s="934"/>
      <c r="C2" s="934"/>
      <c r="D2" s="934"/>
      <c r="E2" s="934"/>
      <c r="F2" s="934"/>
      <c r="G2" s="934"/>
      <c r="H2" s="934"/>
      <c r="I2" s="934"/>
      <c r="J2" s="934"/>
      <c r="K2" s="934"/>
    </row>
    <row r="3" spans="1:12" ht="11.25" customHeight="1">
      <c r="A3" s="17"/>
      <c r="B3" s="17"/>
      <c r="C3" s="17"/>
      <c r="D3" s="17"/>
      <c r="E3" s="17"/>
      <c r="F3" s="17"/>
      <c r="G3" s="17"/>
      <c r="H3" s="17"/>
      <c r="I3" s="17"/>
      <c r="J3" s="17"/>
      <c r="K3" s="17"/>
      <c r="L3" s="36"/>
    </row>
    <row r="4" spans="1:12" ht="11.25" customHeight="1">
      <c r="A4" s="935" t="s">
        <v>383</v>
      </c>
      <c r="B4" s="935"/>
      <c r="C4" s="935"/>
      <c r="D4" s="935"/>
      <c r="E4" s="935"/>
      <c r="F4" s="935"/>
      <c r="G4" s="935"/>
      <c r="H4" s="935"/>
      <c r="I4" s="935"/>
      <c r="J4" s="935"/>
      <c r="K4" s="935"/>
      <c r="L4" s="36"/>
    </row>
    <row r="5" spans="1:12" ht="11.25" customHeight="1">
      <c r="A5" s="17"/>
      <c r="B5" s="67"/>
      <c r="C5" s="68"/>
      <c r="D5" s="69"/>
      <c r="E5" s="69"/>
      <c r="F5" s="69"/>
      <c r="G5" s="69"/>
      <c r="H5" s="70"/>
      <c r="I5" s="66"/>
      <c r="J5" s="66"/>
      <c r="K5" s="71"/>
      <c r="L5" s="8"/>
    </row>
    <row r="6" spans="1:12" ht="12.75" customHeight="1">
      <c r="A6" s="941" t="s">
        <v>214</v>
      </c>
      <c r="B6" s="936" t="s">
        <v>249</v>
      </c>
      <c r="C6" s="937"/>
      <c r="D6" s="937"/>
      <c r="E6" s="937" t="s">
        <v>34</v>
      </c>
      <c r="F6" s="937"/>
      <c r="G6" s="938" t="s">
        <v>248</v>
      </c>
      <c r="H6" s="938"/>
      <c r="I6" s="938"/>
      <c r="J6" s="938"/>
      <c r="K6" s="938"/>
      <c r="L6" s="15"/>
    </row>
    <row r="7" spans="1:12" ht="12.75" customHeight="1">
      <c r="A7" s="941"/>
      <c r="B7" s="576">
        <v>43922.8125</v>
      </c>
      <c r="C7" s="576">
        <v>43978.791666666664</v>
      </c>
      <c r="D7" s="576">
        <v>44011.8125</v>
      </c>
      <c r="E7" s="576">
        <v>43635.75</v>
      </c>
      <c r="F7" s="939" t="s">
        <v>122</v>
      </c>
      <c r="G7" s="842">
        <v>2020</v>
      </c>
      <c r="H7" s="842">
        <v>2019</v>
      </c>
      <c r="I7" s="939" t="s">
        <v>477</v>
      </c>
      <c r="J7" s="842">
        <v>2018</v>
      </c>
      <c r="K7" s="939" t="s">
        <v>423</v>
      </c>
      <c r="L7" s="13"/>
    </row>
    <row r="8" spans="1:12" ht="12.75" customHeight="1">
      <c r="A8" s="941"/>
      <c r="B8" s="577">
        <v>43922.8125</v>
      </c>
      <c r="C8" s="577">
        <v>43978.791666666664</v>
      </c>
      <c r="D8" s="577">
        <v>44011.8125</v>
      </c>
      <c r="E8" s="577">
        <v>43635.75</v>
      </c>
      <c r="F8" s="940"/>
      <c r="G8" s="578">
        <v>43886.8125</v>
      </c>
      <c r="H8" s="578">
        <v>43549.791666666664</v>
      </c>
      <c r="I8" s="940"/>
      <c r="J8" s="578">
        <v>43214.78125</v>
      </c>
      <c r="K8" s="940"/>
      <c r="L8" s="14"/>
    </row>
    <row r="9" spans="1:12" ht="12.75" customHeight="1">
      <c r="A9" s="941"/>
      <c r="B9" s="579">
        <v>43922.8125</v>
      </c>
      <c r="C9" s="579">
        <v>43978.791666666664</v>
      </c>
      <c r="D9" s="579">
        <v>44011.8125</v>
      </c>
      <c r="E9" s="579">
        <v>43635.75</v>
      </c>
      <c r="F9" s="940"/>
      <c r="G9" s="580">
        <v>43886.8125</v>
      </c>
      <c r="H9" s="580">
        <v>43549.791666666664</v>
      </c>
      <c r="I9" s="940"/>
      <c r="J9" s="580">
        <v>43214.78125</v>
      </c>
      <c r="K9" s="940"/>
      <c r="L9" s="14"/>
    </row>
    <row r="10" spans="1:12" ht="12.75" customHeight="1">
      <c r="A10" s="581" t="s">
        <v>36</v>
      </c>
      <c r="B10" s="582">
        <v>4121.0024200000016</v>
      </c>
      <c r="C10" s="583">
        <v>4078.0458799999992</v>
      </c>
      <c r="D10" s="584">
        <v>3418.7987400000006</v>
      </c>
      <c r="E10" s="582">
        <v>3797.8033799999985</v>
      </c>
      <c r="F10" s="585">
        <f>+IF(E10=0,"",D10/E10-1)</f>
        <v>-9.9795750879551282E-2</v>
      </c>
      <c r="G10" s="582">
        <v>4604.1638600000006</v>
      </c>
      <c r="H10" s="583">
        <v>4580.6239199999991</v>
      </c>
      <c r="I10" s="585">
        <f>+IF(H10=0,"",G10/H10-1)</f>
        <v>5.1390248165148478E-3</v>
      </c>
      <c r="J10" s="582">
        <v>4457.8647499999988</v>
      </c>
      <c r="K10" s="585">
        <f t="shared" ref="K10:K18" si="0">+IF(J10=0,"",H10/J10-1)</f>
        <v>2.7537661388224111E-2</v>
      </c>
      <c r="L10" s="14"/>
    </row>
    <row r="11" spans="1:12" ht="12.75" customHeight="1">
      <c r="A11" s="586" t="s">
        <v>37</v>
      </c>
      <c r="B11" s="587">
        <v>793.16849000000002</v>
      </c>
      <c r="C11" s="588">
        <v>1514.6047800000001</v>
      </c>
      <c r="D11" s="589">
        <v>2303.9215900000004</v>
      </c>
      <c r="E11" s="587">
        <v>2827.5675700000006</v>
      </c>
      <c r="F11" s="590">
        <f>+IF(E11=0,"",D11/E11-1)</f>
        <v>-0.18519309160134412</v>
      </c>
      <c r="G11" s="587">
        <v>2265.9101700000001</v>
      </c>
      <c r="H11" s="588">
        <v>2106.5043700000006</v>
      </c>
      <c r="I11" s="590">
        <f>+IF(H11=0,"",G11/H11-1)</f>
        <v>7.567313995175784E-2</v>
      </c>
      <c r="J11" s="587">
        <v>1943.7948299999998</v>
      </c>
      <c r="K11" s="590">
        <f>+IF(J11=0,"",H11/J11-1)</f>
        <v>8.3707157509005592E-2</v>
      </c>
      <c r="L11" s="14"/>
    </row>
    <row r="12" spans="1:12" ht="12.75" customHeight="1">
      <c r="A12" s="591" t="s">
        <v>38</v>
      </c>
      <c r="B12" s="592">
        <v>259.31781000000001</v>
      </c>
      <c r="C12" s="593">
        <v>89.387140000000002</v>
      </c>
      <c r="D12" s="594">
        <v>340.21674000000002</v>
      </c>
      <c r="E12" s="592">
        <v>168.39731</v>
      </c>
      <c r="F12" s="595">
        <f>+IF(E12=0,"",D12/E12-1)</f>
        <v>1.020321702288475</v>
      </c>
      <c r="G12" s="592">
        <v>255.22534999999999</v>
      </c>
      <c r="H12" s="593">
        <v>303.54068999999998</v>
      </c>
      <c r="I12" s="595">
        <f>+IF(H12=0,"",G12/H12-1)</f>
        <v>-0.15917253136638776</v>
      </c>
      <c r="J12" s="592">
        <v>309.01528000000002</v>
      </c>
      <c r="K12" s="595">
        <f>+IF(J12=0,"",H12/J12-1)</f>
        <v>-1.7716243675717336E-2</v>
      </c>
      <c r="L12" s="13"/>
    </row>
    <row r="13" spans="1:12" ht="12.75" customHeight="1">
      <c r="A13" s="596" t="s">
        <v>30</v>
      </c>
      <c r="B13" s="597">
        <v>0</v>
      </c>
      <c r="C13" s="598">
        <v>0</v>
      </c>
      <c r="D13" s="599">
        <v>0</v>
      </c>
      <c r="E13" s="597">
        <v>0</v>
      </c>
      <c r="F13" s="600" t="str">
        <f>+IF(E13=0,"",D13/E13-1)</f>
        <v/>
      </c>
      <c r="G13" s="597">
        <v>0</v>
      </c>
      <c r="H13" s="598">
        <v>0</v>
      </c>
      <c r="I13" s="600" t="str">
        <f>+IF(H13=0,"",G13/H13-1)</f>
        <v/>
      </c>
      <c r="J13" s="597">
        <v>0</v>
      </c>
      <c r="K13" s="600" t="str">
        <f t="shared" si="0"/>
        <v/>
      </c>
      <c r="L13" s="14"/>
    </row>
    <row r="14" spans="1:12" ht="12.75" customHeight="1">
      <c r="A14" s="601" t="s">
        <v>42</v>
      </c>
      <c r="B14" s="572">
        <f>+SUM(B10:B13)</f>
        <v>5173.4887200000012</v>
      </c>
      <c r="C14" s="573">
        <f t="shared" ref="C14:J14" si="1">+SUM(C10:C13)</f>
        <v>5682.0377999999992</v>
      </c>
      <c r="D14" s="574">
        <f t="shared" si="1"/>
        <v>6062.9370700000009</v>
      </c>
      <c r="E14" s="572">
        <f t="shared" si="1"/>
        <v>6793.7682599999989</v>
      </c>
      <c r="F14" s="630">
        <f>+IF(E14=0,"",D14/E14-1)</f>
        <v>-0.10757375907314182</v>
      </c>
      <c r="G14" s="627">
        <f t="shared" si="1"/>
        <v>7125.2993800000004</v>
      </c>
      <c r="H14" s="573">
        <f t="shared" si="1"/>
        <v>6990.6689799999995</v>
      </c>
      <c r="I14" s="630">
        <f>+IF(H14=0,"",G14/H14-1)</f>
        <v>1.9258586035924896E-2</v>
      </c>
      <c r="J14" s="572">
        <f t="shared" si="1"/>
        <v>6710.6748599999983</v>
      </c>
      <c r="K14" s="630">
        <f>+IF(J14=0,"",H14/J14-1)</f>
        <v>4.1723690365174537E-2</v>
      </c>
      <c r="L14" s="14"/>
    </row>
    <row r="15" spans="1:12" ht="6.75" customHeight="1">
      <c r="A15" s="602"/>
      <c r="B15" s="602"/>
      <c r="C15" s="602"/>
      <c r="D15" s="602"/>
      <c r="E15" s="602"/>
      <c r="F15" s="603"/>
      <c r="G15" s="602"/>
      <c r="H15" s="602"/>
      <c r="I15" s="603"/>
      <c r="J15" s="602"/>
      <c r="K15" s="603"/>
      <c r="L15" s="14"/>
    </row>
    <row r="16" spans="1:12" ht="12.75" customHeight="1">
      <c r="A16" s="604" t="s">
        <v>39</v>
      </c>
      <c r="B16" s="605">
        <v>0</v>
      </c>
      <c r="C16" s="606">
        <v>0</v>
      </c>
      <c r="D16" s="607">
        <v>38.844000000000001</v>
      </c>
      <c r="E16" s="605">
        <v>0</v>
      </c>
      <c r="F16" s="607">
        <v>0</v>
      </c>
      <c r="G16" s="605">
        <v>0</v>
      </c>
      <c r="H16" s="606">
        <v>0</v>
      </c>
      <c r="I16" s="607">
        <v>0</v>
      </c>
      <c r="J16" s="605">
        <v>0</v>
      </c>
      <c r="K16" s="608" t="str">
        <f t="shared" si="0"/>
        <v/>
      </c>
      <c r="L16" s="15"/>
    </row>
    <row r="17" spans="1:12" ht="12.75" customHeight="1">
      <c r="A17" s="609" t="s">
        <v>40</v>
      </c>
      <c r="B17" s="610">
        <v>0</v>
      </c>
      <c r="C17" s="611">
        <v>0</v>
      </c>
      <c r="D17" s="612">
        <v>0</v>
      </c>
      <c r="E17" s="610">
        <v>0</v>
      </c>
      <c r="F17" s="612">
        <v>0</v>
      </c>
      <c r="G17" s="610">
        <v>0</v>
      </c>
      <c r="H17" s="611">
        <v>0</v>
      </c>
      <c r="I17" s="612">
        <v>0</v>
      </c>
      <c r="J17" s="610">
        <v>0</v>
      </c>
      <c r="K17" s="613" t="str">
        <f t="shared" si="0"/>
        <v/>
      </c>
      <c r="L17" s="15"/>
    </row>
    <row r="18" spans="1:12" ht="24" customHeight="1">
      <c r="A18" s="614" t="s">
        <v>41</v>
      </c>
      <c r="B18" s="615">
        <f t="shared" ref="B18:J18" si="2">+B17-B16</f>
        <v>0</v>
      </c>
      <c r="C18" s="616">
        <f t="shared" si="2"/>
        <v>0</v>
      </c>
      <c r="D18" s="617">
        <f t="shared" si="2"/>
        <v>-38.844000000000001</v>
      </c>
      <c r="E18" s="615">
        <f t="shared" si="2"/>
        <v>0</v>
      </c>
      <c r="F18" s="617">
        <f t="shared" si="2"/>
        <v>0</v>
      </c>
      <c r="G18" s="615">
        <f t="shared" si="2"/>
        <v>0</v>
      </c>
      <c r="H18" s="616">
        <f t="shared" si="2"/>
        <v>0</v>
      </c>
      <c r="I18" s="617">
        <f t="shared" si="2"/>
        <v>0</v>
      </c>
      <c r="J18" s="615">
        <f t="shared" si="2"/>
        <v>0</v>
      </c>
      <c r="K18" s="618" t="str">
        <f t="shared" si="0"/>
        <v/>
      </c>
      <c r="L18" s="15"/>
    </row>
    <row r="19" spans="1:12" ht="6" customHeight="1">
      <c r="A19" s="619"/>
      <c r="B19" s="619"/>
      <c r="C19" s="619"/>
      <c r="D19" s="619"/>
      <c r="E19" s="619"/>
      <c r="F19" s="620"/>
      <c r="G19" s="619"/>
      <c r="H19" s="619"/>
      <c r="I19" s="620"/>
      <c r="J19" s="619"/>
      <c r="K19" s="620"/>
      <c r="L19" s="15"/>
    </row>
    <row r="20" spans="1:12" ht="24" customHeight="1">
      <c r="A20" s="621" t="s">
        <v>247</v>
      </c>
      <c r="B20" s="622">
        <f>+B14-B18</f>
        <v>5173.4887200000012</v>
      </c>
      <c r="C20" s="623">
        <f t="shared" ref="C20" si="3">+C14-C18</f>
        <v>5682.0377999999992</v>
      </c>
      <c r="D20" s="626">
        <f>+D14-D18</f>
        <v>6101.7810700000009</v>
      </c>
      <c r="E20" s="622">
        <f>+E14-E18</f>
        <v>6793.7682599999989</v>
      </c>
      <c r="F20" s="575">
        <f>+IF(E20=0,"",D20/E20-1)</f>
        <v>-0.10185616634500838</v>
      </c>
      <c r="G20" s="774">
        <f>+G14-G18</f>
        <v>7125.2993800000004</v>
      </c>
      <c r="H20" s="622">
        <f>+H14-H18</f>
        <v>6990.6689799999995</v>
      </c>
      <c r="I20" s="575">
        <f>+IF(H20=0,"",G20/H20-1)</f>
        <v>1.9258586035924896E-2</v>
      </c>
      <c r="J20" s="622">
        <f>+J14-J18</f>
        <v>6710.6748599999983</v>
      </c>
      <c r="K20" s="575">
        <f>+IF(J20=0,"",H20/J20-1)</f>
        <v>4.1723690365174537E-2</v>
      </c>
      <c r="L20" s="15"/>
    </row>
    <row r="21" spans="1:12" ht="11.25" customHeight="1">
      <c r="A21" s="269" t="s">
        <v>405</v>
      </c>
      <c r="B21" s="138"/>
      <c r="C21" s="138"/>
      <c r="D21" s="138"/>
      <c r="E21" s="138"/>
      <c r="F21" s="138"/>
      <c r="G21" s="138"/>
      <c r="H21" s="138"/>
      <c r="I21" s="138"/>
      <c r="J21" s="138"/>
      <c r="K21" s="138"/>
      <c r="L21" s="16"/>
    </row>
    <row r="22" spans="1:12" ht="17.25" customHeight="1">
      <c r="A22" s="932"/>
      <c r="B22" s="932"/>
      <c r="C22" s="932"/>
      <c r="D22" s="932"/>
      <c r="E22" s="932"/>
      <c r="F22" s="932"/>
      <c r="G22" s="932"/>
      <c r="H22" s="932"/>
      <c r="I22" s="932"/>
      <c r="J22" s="932"/>
      <c r="K22" s="932"/>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33" t="str">
        <f>"Gráfico N° 11: Comparación de la máxima potencia coincidente de potencia (MW) por tipo de generación en el SEIN en "&amp;'1. Resumen'!Q4</f>
        <v>Gráfico N° 11: Comparación de la máxima potencia coincidente de potencia (MW) por tipo de generación en el SEIN en junio</v>
      </c>
      <c r="B58" s="933"/>
      <c r="C58" s="933"/>
      <c r="D58" s="933"/>
      <c r="E58" s="933"/>
      <c r="F58" s="933"/>
      <c r="G58" s="933"/>
      <c r="H58" s="933"/>
      <c r="I58" s="933"/>
      <c r="J58" s="933"/>
      <c r="K58" s="933"/>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topLeftCell="A52" zoomScale="115" zoomScaleNormal="100" zoomScaleSheetLayoutView="115" zoomScalePageLayoutView="115" workbookViewId="0">
      <selection activeCell="N65" sqref="N65"/>
    </sheetView>
  </sheetViews>
  <sheetFormatPr defaultColWidth="9.33203125" defaultRowHeight="11.25"/>
  <cols>
    <col min="1" max="1" width="24.33203125" customWidth="1"/>
    <col min="2" max="2" width="11.33203125" customWidth="1"/>
    <col min="3" max="3" width="10.83203125" customWidth="1"/>
    <col min="4" max="4" width="8.6640625" customWidth="1"/>
    <col min="10" max="10" width="11.83203125" customWidth="1"/>
    <col min="11" max="11" width="9.33203125" customWidth="1"/>
    <col min="12" max="12" width="27.83203125" style="427" customWidth="1"/>
    <col min="13" max="14" width="9.33203125" style="635"/>
    <col min="15" max="15" width="9.33203125" style="712"/>
  </cols>
  <sheetData>
    <row r="1" spans="1:15" ht="25.5" customHeight="1">
      <c r="A1" s="942" t="s">
        <v>251</v>
      </c>
      <c r="B1" s="942"/>
      <c r="C1" s="942"/>
      <c r="D1" s="942"/>
      <c r="E1" s="942"/>
      <c r="F1" s="942"/>
      <c r="G1" s="942"/>
      <c r="H1" s="942"/>
      <c r="I1" s="942"/>
      <c r="J1" s="942"/>
    </row>
    <row r="2" spans="1:15" ht="7.5" customHeight="1">
      <c r="A2" s="74"/>
      <c r="B2" s="73"/>
      <c r="C2" s="73"/>
      <c r="D2" s="73"/>
      <c r="E2" s="73"/>
      <c r="F2" s="73"/>
      <c r="G2" s="73"/>
      <c r="H2" s="73"/>
      <c r="I2" s="73"/>
      <c r="J2" s="73"/>
      <c r="K2" s="36"/>
      <c r="L2" s="755"/>
    </row>
    <row r="3" spans="1:15" ht="11.25" customHeight="1">
      <c r="A3" s="943" t="s">
        <v>123</v>
      </c>
      <c r="B3" s="945" t="str">
        <f>+'1. Resumen'!Q4</f>
        <v>junio</v>
      </c>
      <c r="C3" s="946"/>
      <c r="D3" s="947"/>
      <c r="E3" s="138"/>
      <c r="F3" s="138"/>
      <c r="G3" s="948" t="s">
        <v>479</v>
      </c>
      <c r="H3" s="948"/>
      <c r="I3" s="948"/>
      <c r="J3" s="138"/>
      <c r="K3" s="148"/>
      <c r="L3" s="755"/>
    </row>
    <row r="4" spans="1:15" ht="11.25" customHeight="1">
      <c r="A4" s="943"/>
      <c r="B4" s="485">
        <v>2020</v>
      </c>
      <c r="C4" s="486">
        <v>2019</v>
      </c>
      <c r="D4" s="947" t="s">
        <v>35</v>
      </c>
      <c r="E4" s="138"/>
      <c r="F4" s="138"/>
      <c r="G4" s="138"/>
      <c r="H4" s="138"/>
      <c r="I4" s="138"/>
      <c r="J4" s="138"/>
      <c r="K4" s="24"/>
      <c r="L4" s="756"/>
    </row>
    <row r="5" spans="1:15" ht="11.25" customHeight="1">
      <c r="A5" s="943"/>
      <c r="B5" s="487">
        <f>+'8. Max Potencia'!D8</f>
        <v>44011.8125</v>
      </c>
      <c r="C5" s="487">
        <f>+'8. Max Potencia'!E8</f>
        <v>43635.75</v>
      </c>
      <c r="D5" s="947"/>
      <c r="E5" s="138"/>
      <c r="F5" s="138"/>
      <c r="G5" s="138"/>
      <c r="H5" s="138"/>
      <c r="I5" s="138"/>
      <c r="J5" s="138"/>
      <c r="K5" s="24"/>
      <c r="L5" s="757"/>
    </row>
    <row r="6" spans="1:15" ht="11.25" customHeight="1" thickBot="1">
      <c r="A6" s="944"/>
      <c r="B6" s="488">
        <f>+'8. Max Potencia'!D9</f>
        <v>44011.8125</v>
      </c>
      <c r="C6" s="488">
        <f>+'8. Max Potencia'!E9</f>
        <v>43635.75</v>
      </c>
      <c r="D6" s="949"/>
      <c r="E6" s="138"/>
      <c r="F6" s="138"/>
      <c r="G6" s="138"/>
      <c r="H6" s="138"/>
      <c r="I6" s="138"/>
      <c r="J6" s="138"/>
      <c r="K6" s="25"/>
      <c r="L6" s="756" t="s">
        <v>250</v>
      </c>
      <c r="M6" s="427">
        <v>2020</v>
      </c>
      <c r="N6" s="427">
        <v>2019</v>
      </c>
    </row>
    <row r="7" spans="1:15" ht="9.75" customHeight="1">
      <c r="A7" s="374" t="s">
        <v>87</v>
      </c>
      <c r="B7" s="375">
        <v>929.21021999999994</v>
      </c>
      <c r="C7" s="375">
        <v>784.70128999999997</v>
      </c>
      <c r="D7" s="376">
        <f>IF(C7=0,"",B7/C7-1)</f>
        <v>0.18415788509790776</v>
      </c>
      <c r="E7" s="138"/>
      <c r="F7" s="138"/>
      <c r="G7" s="138"/>
      <c r="H7" s="138"/>
      <c r="I7" s="138"/>
      <c r="J7" s="138"/>
      <c r="K7" s="23"/>
      <c r="L7" s="758" t="s">
        <v>492</v>
      </c>
      <c r="M7" s="771">
        <v>0</v>
      </c>
      <c r="N7" s="771"/>
      <c r="O7" s="713"/>
    </row>
    <row r="8" spans="1:15" ht="9.75" customHeight="1">
      <c r="A8" s="377" t="s">
        <v>88</v>
      </c>
      <c r="B8" s="378">
        <v>872.75891000000001</v>
      </c>
      <c r="C8" s="378">
        <v>876.0515200000001</v>
      </c>
      <c r="D8" s="379">
        <f t="shared" ref="D8:D63" si="0">IF(C8=0,"",B8/C8-1)</f>
        <v>-3.7584661687477539E-3</v>
      </c>
      <c r="E8" s="138"/>
      <c r="F8" s="138"/>
      <c r="G8" s="138"/>
      <c r="H8" s="138"/>
      <c r="I8" s="138"/>
      <c r="J8" s="138"/>
      <c r="K8" s="26"/>
      <c r="L8" s="758" t="s">
        <v>105</v>
      </c>
      <c r="M8" s="771">
        <v>0</v>
      </c>
      <c r="N8" s="771">
        <v>0</v>
      </c>
      <c r="O8" s="713"/>
    </row>
    <row r="9" spans="1:15" ht="9.75" customHeight="1">
      <c r="A9" s="380" t="s">
        <v>89</v>
      </c>
      <c r="B9" s="381">
        <v>869.16816000000006</v>
      </c>
      <c r="C9" s="381">
        <v>865.56577000000016</v>
      </c>
      <c r="D9" s="382">
        <f t="shared" si="0"/>
        <v>4.1618905516560556E-3</v>
      </c>
      <c r="E9" s="408"/>
      <c r="F9" s="138"/>
      <c r="G9" s="138"/>
      <c r="H9" s="138"/>
      <c r="I9" s="138"/>
      <c r="J9" s="138"/>
      <c r="K9" s="25"/>
      <c r="L9" s="758" t="s">
        <v>100</v>
      </c>
      <c r="M9" s="771">
        <v>0</v>
      </c>
      <c r="N9" s="771">
        <v>287.08664999999996</v>
      </c>
      <c r="O9" s="713"/>
    </row>
    <row r="10" spans="1:15" ht="9.75" customHeight="1">
      <c r="A10" s="377" t="s">
        <v>410</v>
      </c>
      <c r="B10" s="378">
        <v>791.83739000000003</v>
      </c>
      <c r="C10" s="378">
        <v>1299.22794</v>
      </c>
      <c r="D10" s="379">
        <f t="shared" si="0"/>
        <v>-0.39053235723979274</v>
      </c>
      <c r="E10" s="138"/>
      <c r="F10" s="138"/>
      <c r="G10" s="138"/>
      <c r="H10" s="138"/>
      <c r="I10" s="138"/>
      <c r="J10" s="138"/>
      <c r="K10" s="25"/>
      <c r="L10" s="758" t="s">
        <v>109</v>
      </c>
      <c r="M10" s="757">
        <v>0</v>
      </c>
      <c r="N10" s="757">
        <v>0</v>
      </c>
      <c r="O10" s="713"/>
    </row>
    <row r="11" spans="1:15" ht="9.75" customHeight="1">
      <c r="A11" s="380" t="s">
        <v>239</v>
      </c>
      <c r="B11" s="381">
        <v>546.11649</v>
      </c>
      <c r="C11" s="381">
        <v>543.88617999999997</v>
      </c>
      <c r="D11" s="382">
        <f t="shared" si="0"/>
        <v>4.1006925382807147E-3</v>
      </c>
      <c r="E11" s="138"/>
      <c r="F11" s="138"/>
      <c r="G11" s="138"/>
      <c r="H11" s="138"/>
      <c r="I11" s="138"/>
      <c r="J11" s="138"/>
      <c r="K11" s="25"/>
      <c r="L11" s="758" t="s">
        <v>119</v>
      </c>
      <c r="M11" s="757">
        <v>0</v>
      </c>
      <c r="N11" s="757">
        <v>0</v>
      </c>
      <c r="O11" s="713"/>
    </row>
    <row r="12" spans="1:15" ht="9.75" customHeight="1">
      <c r="A12" s="377" t="s">
        <v>90</v>
      </c>
      <c r="B12" s="378">
        <v>259.27860999999996</v>
      </c>
      <c r="C12" s="378">
        <v>287.90769999999998</v>
      </c>
      <c r="D12" s="379">
        <f t="shared" si="0"/>
        <v>-9.9438431136089855E-2</v>
      </c>
      <c r="E12" s="138"/>
      <c r="F12" s="138"/>
      <c r="G12" s="138"/>
      <c r="H12" s="138"/>
      <c r="I12" s="138"/>
      <c r="J12" s="138"/>
      <c r="K12" s="23"/>
      <c r="L12" s="758" t="s">
        <v>102</v>
      </c>
      <c r="M12" s="771">
        <v>0</v>
      </c>
      <c r="N12" s="771">
        <v>28.782550000000001</v>
      </c>
      <c r="O12" s="713"/>
    </row>
    <row r="13" spans="1:15" ht="9.75" customHeight="1">
      <c r="A13" s="380" t="s">
        <v>94</v>
      </c>
      <c r="B13" s="381">
        <v>203.70605999999998</v>
      </c>
      <c r="C13" s="381">
        <v>167.84417999999999</v>
      </c>
      <c r="D13" s="382">
        <f t="shared" si="0"/>
        <v>0.21366174269492078</v>
      </c>
      <c r="E13" s="138"/>
      <c r="F13" s="138"/>
      <c r="G13" s="138"/>
      <c r="H13" s="138"/>
      <c r="I13" s="138"/>
      <c r="J13" s="138"/>
      <c r="K13" s="26"/>
      <c r="L13" s="758" t="s">
        <v>244</v>
      </c>
      <c r="M13" s="757">
        <v>0</v>
      </c>
      <c r="N13" s="757">
        <v>0</v>
      </c>
      <c r="O13" s="713"/>
    </row>
    <row r="14" spans="1:15" ht="9.75" customHeight="1">
      <c r="A14" s="377" t="s">
        <v>241</v>
      </c>
      <c r="B14" s="378">
        <v>179.07745999999997</v>
      </c>
      <c r="C14" s="378">
        <v>216.11092000000002</v>
      </c>
      <c r="D14" s="379">
        <f t="shared" si="0"/>
        <v>-0.17136320552427453</v>
      </c>
      <c r="E14" s="138"/>
      <c r="F14" s="138"/>
      <c r="G14" s="138"/>
      <c r="H14" s="138"/>
      <c r="I14" s="138"/>
      <c r="J14" s="138"/>
      <c r="K14" s="26"/>
      <c r="L14" s="758" t="s">
        <v>243</v>
      </c>
      <c r="M14" s="757">
        <v>0</v>
      </c>
      <c r="N14" s="757">
        <v>0</v>
      </c>
      <c r="O14" s="713"/>
    </row>
    <row r="15" spans="1:15" ht="9.75" customHeight="1">
      <c r="A15" s="380" t="s">
        <v>91</v>
      </c>
      <c r="B15" s="381">
        <v>167.37198999999998</v>
      </c>
      <c r="C15" s="381">
        <v>143.25579000000002</v>
      </c>
      <c r="D15" s="382">
        <f t="shared" si="0"/>
        <v>0.16834363204447067</v>
      </c>
      <c r="E15" s="138"/>
      <c r="F15" s="138"/>
      <c r="G15" s="138"/>
      <c r="H15" s="138"/>
      <c r="I15" s="138"/>
      <c r="J15" s="138"/>
      <c r="K15" s="26"/>
      <c r="L15" s="758" t="s">
        <v>107</v>
      </c>
      <c r="M15" s="757">
        <v>0</v>
      </c>
      <c r="N15" s="757">
        <v>0</v>
      </c>
      <c r="O15" s="713"/>
    </row>
    <row r="16" spans="1:15" ht="9.75" customHeight="1">
      <c r="A16" s="377" t="s">
        <v>93</v>
      </c>
      <c r="B16" s="378">
        <v>144.20676</v>
      </c>
      <c r="C16" s="378">
        <v>122.62738</v>
      </c>
      <c r="D16" s="379">
        <f t="shared" si="0"/>
        <v>0.17597521858495213</v>
      </c>
      <c r="E16" s="138"/>
      <c r="F16" s="138"/>
      <c r="G16" s="138"/>
      <c r="H16" s="138"/>
      <c r="I16" s="138"/>
      <c r="J16" s="138"/>
      <c r="K16" s="26"/>
      <c r="L16" s="758" t="s">
        <v>110</v>
      </c>
      <c r="M16" s="757">
        <v>0</v>
      </c>
      <c r="N16" s="757">
        <v>0</v>
      </c>
      <c r="O16" s="713"/>
    </row>
    <row r="17" spans="1:15" ht="9.75" customHeight="1">
      <c r="A17" s="380" t="s">
        <v>92</v>
      </c>
      <c r="B17" s="381">
        <v>139.61899</v>
      </c>
      <c r="C17" s="381">
        <v>136.76603</v>
      </c>
      <c r="D17" s="382">
        <f t="shared" si="0"/>
        <v>2.0860150726024651E-2</v>
      </c>
      <c r="E17" s="138"/>
      <c r="F17" s="138"/>
      <c r="G17" s="138"/>
      <c r="H17" s="138"/>
      <c r="I17" s="138"/>
      <c r="J17" s="138"/>
      <c r="K17" s="26"/>
      <c r="L17" s="758" t="s">
        <v>118</v>
      </c>
      <c r="M17" s="771">
        <v>0</v>
      </c>
      <c r="N17" s="771">
        <v>0</v>
      </c>
      <c r="O17" s="713"/>
    </row>
    <row r="18" spans="1:15" ht="9.75" customHeight="1">
      <c r="A18" s="377" t="s">
        <v>98</v>
      </c>
      <c r="B18" s="378">
        <v>128.52634</v>
      </c>
      <c r="C18" s="378">
        <v>106.94519</v>
      </c>
      <c r="D18" s="379">
        <f t="shared" si="0"/>
        <v>0.20179635942486063</v>
      </c>
      <c r="E18" s="138"/>
      <c r="F18" s="138"/>
      <c r="G18" s="138"/>
      <c r="H18" s="138"/>
      <c r="I18" s="138"/>
      <c r="J18" s="138"/>
      <c r="K18" s="26"/>
      <c r="L18" s="758" t="s">
        <v>412</v>
      </c>
      <c r="M18" s="757">
        <v>0</v>
      </c>
      <c r="N18" s="757">
        <v>0</v>
      </c>
      <c r="O18" s="713"/>
    </row>
    <row r="19" spans="1:15" ht="9.75" customHeight="1">
      <c r="A19" s="380" t="s">
        <v>95</v>
      </c>
      <c r="B19" s="381">
        <v>108.07562</v>
      </c>
      <c r="C19" s="381">
        <v>106.34021999999999</v>
      </c>
      <c r="D19" s="382">
        <f t="shared" si="0"/>
        <v>1.6319319256627551E-2</v>
      </c>
      <c r="E19" s="138"/>
      <c r="F19" s="138"/>
      <c r="G19" s="138"/>
      <c r="H19" s="138"/>
      <c r="I19" s="138"/>
      <c r="J19" s="138"/>
      <c r="K19" s="26"/>
      <c r="L19" s="758" t="s">
        <v>112</v>
      </c>
      <c r="M19" s="757">
        <v>0</v>
      </c>
      <c r="N19" s="757">
        <v>0</v>
      </c>
      <c r="O19" s="713"/>
    </row>
    <row r="20" spans="1:15" ht="9.75" customHeight="1">
      <c r="A20" s="377" t="s">
        <v>238</v>
      </c>
      <c r="B20" s="378">
        <v>94.074659999999994</v>
      </c>
      <c r="C20" s="378">
        <v>81.902439999999999</v>
      </c>
      <c r="D20" s="379">
        <f t="shared" si="0"/>
        <v>0.14861852711591972</v>
      </c>
      <c r="E20" s="138"/>
      <c r="F20" s="138"/>
      <c r="G20" s="138"/>
      <c r="H20" s="138"/>
      <c r="I20" s="138"/>
      <c r="J20" s="138"/>
      <c r="K20" s="29"/>
      <c r="L20" s="758" t="s">
        <v>111</v>
      </c>
      <c r="M20" s="757">
        <v>0</v>
      </c>
      <c r="N20" s="757">
        <v>0</v>
      </c>
      <c r="O20" s="713"/>
    </row>
    <row r="21" spans="1:15" ht="9.75" customHeight="1">
      <c r="A21" s="380" t="s">
        <v>99</v>
      </c>
      <c r="B21" s="381">
        <v>92.051659999999998</v>
      </c>
      <c r="C21" s="381">
        <v>0</v>
      </c>
      <c r="D21" s="382" t="str">
        <f t="shared" si="0"/>
        <v/>
      </c>
      <c r="E21" s="138"/>
      <c r="F21" s="138"/>
      <c r="G21" s="138"/>
      <c r="H21" s="138"/>
      <c r="I21" s="138"/>
      <c r="J21" s="138"/>
      <c r="K21" s="26"/>
      <c r="L21" s="758" t="s">
        <v>236</v>
      </c>
      <c r="M21" s="771">
        <v>0</v>
      </c>
      <c r="N21" s="771">
        <v>0</v>
      </c>
      <c r="O21" s="713"/>
    </row>
    <row r="22" spans="1:15" ht="9.75" customHeight="1">
      <c r="A22" s="377" t="s">
        <v>96</v>
      </c>
      <c r="B22" s="378">
        <v>91.338499999999996</v>
      </c>
      <c r="C22" s="378">
        <v>85.119879999999995</v>
      </c>
      <c r="D22" s="379">
        <f t="shared" si="0"/>
        <v>7.3057198858833106E-2</v>
      </c>
      <c r="E22" s="138"/>
      <c r="F22" s="138"/>
      <c r="G22" s="138"/>
      <c r="H22" s="138"/>
      <c r="I22" s="138"/>
      <c r="J22" s="138"/>
      <c r="K22" s="26"/>
      <c r="L22" s="758" t="s">
        <v>418</v>
      </c>
      <c r="M22" s="771">
        <v>0</v>
      </c>
      <c r="N22" s="771">
        <v>19.996739999999999</v>
      </c>
      <c r="O22" s="713"/>
    </row>
    <row r="23" spans="1:15" ht="9.75" customHeight="1">
      <c r="A23" s="380" t="s">
        <v>97</v>
      </c>
      <c r="B23" s="381">
        <v>88.377430000000004</v>
      </c>
      <c r="C23" s="381">
        <v>61.452120000000001</v>
      </c>
      <c r="D23" s="382">
        <f t="shared" si="0"/>
        <v>0.43815103531009192</v>
      </c>
      <c r="E23" s="138"/>
      <c r="F23" s="138"/>
      <c r="G23" s="138"/>
      <c r="H23" s="138"/>
      <c r="I23" s="138"/>
      <c r="J23" s="138"/>
      <c r="K23" s="26"/>
      <c r="L23" s="758" t="s">
        <v>106</v>
      </c>
      <c r="M23" s="757">
        <v>0</v>
      </c>
      <c r="N23" s="757">
        <v>14.48222</v>
      </c>
      <c r="O23" s="713"/>
    </row>
    <row r="24" spans="1:15" ht="9.75" customHeight="1">
      <c r="A24" s="377" t="s">
        <v>430</v>
      </c>
      <c r="B24" s="378">
        <v>74.079190000000011</v>
      </c>
      <c r="C24" s="378">
        <v>71.596620000000001</v>
      </c>
      <c r="D24" s="379">
        <f t="shared" si="0"/>
        <v>3.4674402227367951E-2</v>
      </c>
      <c r="E24" s="138"/>
      <c r="F24" s="138"/>
      <c r="G24" s="138"/>
      <c r="H24" s="138"/>
      <c r="I24" s="138"/>
      <c r="J24" s="138"/>
      <c r="K24" s="29"/>
      <c r="L24" s="758" t="s">
        <v>121</v>
      </c>
      <c r="M24" s="757">
        <v>0</v>
      </c>
      <c r="N24" s="757">
        <v>17.947790000000001</v>
      </c>
      <c r="O24" s="713"/>
    </row>
    <row r="25" spans="1:15" ht="9.75" customHeight="1">
      <c r="A25" s="380" t="s">
        <v>242</v>
      </c>
      <c r="B25" s="381">
        <v>31.261310000000002</v>
      </c>
      <c r="C25" s="381">
        <v>0</v>
      </c>
      <c r="D25" s="382" t="str">
        <f t="shared" si="0"/>
        <v/>
      </c>
      <c r="E25" s="138"/>
      <c r="F25" s="138"/>
      <c r="G25" s="138"/>
      <c r="H25" s="138"/>
      <c r="I25" s="138"/>
      <c r="J25" s="138"/>
      <c r="K25" s="26"/>
      <c r="L25" s="758" t="s">
        <v>453</v>
      </c>
      <c r="M25" s="771">
        <v>0.82318000000000002</v>
      </c>
      <c r="N25" s="771">
        <v>0.23782</v>
      </c>
      <c r="O25" s="713"/>
    </row>
    <row r="26" spans="1:15" ht="9.75" customHeight="1">
      <c r="A26" s="377" t="s">
        <v>237</v>
      </c>
      <c r="B26" s="378">
        <v>30.739879999999999</v>
      </c>
      <c r="C26" s="378">
        <v>232.74938</v>
      </c>
      <c r="D26" s="379">
        <f t="shared" si="0"/>
        <v>-0.86792712401639904</v>
      </c>
      <c r="E26" s="138"/>
      <c r="F26" s="138"/>
      <c r="G26" s="138"/>
      <c r="H26" s="138"/>
      <c r="I26" s="138"/>
      <c r="J26" s="138"/>
      <c r="K26" s="26"/>
      <c r="L26" s="758" t="s">
        <v>117</v>
      </c>
      <c r="M26" s="757">
        <v>1.3103199999999999</v>
      </c>
      <c r="N26" s="757">
        <v>1.6800600000000001</v>
      </c>
      <c r="O26" s="713"/>
    </row>
    <row r="27" spans="1:15" ht="9.75" customHeight="1">
      <c r="A27" s="380" t="s">
        <v>101</v>
      </c>
      <c r="B27" s="381">
        <v>26.856000000000002</v>
      </c>
      <c r="C27" s="381">
        <v>41.265819999999998</v>
      </c>
      <c r="D27" s="382">
        <f t="shared" si="0"/>
        <v>-0.3491950481051872</v>
      </c>
      <c r="E27" s="138"/>
      <c r="F27" s="138"/>
      <c r="G27" s="138"/>
      <c r="H27" s="138"/>
      <c r="I27" s="138"/>
      <c r="J27" s="138"/>
      <c r="K27" s="26"/>
      <c r="L27" s="758" t="s">
        <v>114</v>
      </c>
      <c r="M27" s="757">
        <v>2.31291</v>
      </c>
      <c r="N27" s="757">
        <v>0</v>
      </c>
      <c r="O27" s="713"/>
    </row>
    <row r="28" spans="1:15" ht="9.75" customHeight="1">
      <c r="A28" s="377" t="s">
        <v>108</v>
      </c>
      <c r="B28" s="378">
        <v>26.41188</v>
      </c>
      <c r="C28" s="378">
        <v>30.290699999999998</v>
      </c>
      <c r="D28" s="379">
        <f t="shared" si="0"/>
        <v>-0.12805316483277041</v>
      </c>
      <c r="E28" s="138"/>
      <c r="F28" s="138"/>
      <c r="G28" s="138"/>
      <c r="H28" s="138"/>
      <c r="I28" s="138"/>
      <c r="J28" s="138"/>
      <c r="K28" s="26"/>
      <c r="L28" s="758" t="s">
        <v>116</v>
      </c>
      <c r="M28" s="757">
        <v>2.4</v>
      </c>
      <c r="N28" s="757">
        <v>3.6</v>
      </c>
      <c r="O28" s="713"/>
    </row>
    <row r="29" spans="1:15" ht="9.75" customHeight="1">
      <c r="A29" s="383" t="s">
        <v>113</v>
      </c>
      <c r="B29" s="384">
        <v>22.56897</v>
      </c>
      <c r="C29" s="384">
        <v>24.50949</v>
      </c>
      <c r="D29" s="385">
        <f t="shared" si="0"/>
        <v>-7.9174230063538631E-2</v>
      </c>
      <c r="E29" s="138"/>
      <c r="F29" s="138"/>
      <c r="G29" s="138"/>
      <c r="H29" s="138"/>
      <c r="I29" s="138"/>
      <c r="J29" s="138"/>
      <c r="K29" s="26"/>
      <c r="L29" s="758" t="s">
        <v>115</v>
      </c>
      <c r="M29" s="757">
        <v>2.42727</v>
      </c>
      <c r="N29" s="757">
        <v>2.7240599999999997</v>
      </c>
      <c r="O29" s="713"/>
    </row>
    <row r="30" spans="1:15" ht="9.75" customHeight="1">
      <c r="A30" s="386" t="s">
        <v>402</v>
      </c>
      <c r="B30" s="387">
        <v>20.038219999999999</v>
      </c>
      <c r="C30" s="387">
        <v>19.914870000000001</v>
      </c>
      <c r="D30" s="388">
        <f t="shared" si="0"/>
        <v>6.1938641828944707E-3</v>
      </c>
      <c r="E30" s="138"/>
      <c r="F30" s="138"/>
      <c r="G30" s="138"/>
      <c r="H30" s="138"/>
      <c r="I30" s="138"/>
      <c r="J30" s="138"/>
      <c r="K30" s="26"/>
      <c r="L30" s="758" t="s">
        <v>120</v>
      </c>
      <c r="M30" s="757">
        <v>3.1417199999999998</v>
      </c>
      <c r="N30" s="757">
        <v>0</v>
      </c>
      <c r="O30" s="713"/>
    </row>
    <row r="31" spans="1:15" ht="9.75" customHeight="1">
      <c r="A31" s="389" t="s">
        <v>425</v>
      </c>
      <c r="B31" s="390">
        <v>17.854979999999998</v>
      </c>
      <c r="C31" s="390">
        <v>18.66602</v>
      </c>
      <c r="D31" s="391">
        <f t="shared" si="0"/>
        <v>-4.3450076663370196E-2</v>
      </c>
      <c r="E31" s="138"/>
      <c r="F31" s="138"/>
      <c r="G31" s="138"/>
      <c r="H31" s="138"/>
      <c r="I31" s="138"/>
      <c r="J31" s="138"/>
      <c r="K31" s="26"/>
      <c r="L31" s="758" t="s">
        <v>458</v>
      </c>
      <c r="M31" s="757">
        <v>4.8914400000000002</v>
      </c>
      <c r="N31" s="757"/>
      <c r="O31" s="713"/>
    </row>
    <row r="32" spans="1:15" ht="9.75" customHeight="1">
      <c r="A32" s="386" t="s">
        <v>455</v>
      </c>
      <c r="B32" s="387">
        <v>16.742919999999998</v>
      </c>
      <c r="C32" s="387">
        <v>22.029139999999998</v>
      </c>
      <c r="D32" s="388">
        <f t="shared" si="0"/>
        <v>-0.23996488287786089</v>
      </c>
      <c r="E32" s="138"/>
      <c r="F32" s="138"/>
      <c r="G32" s="138"/>
      <c r="H32" s="138"/>
      <c r="I32" s="138"/>
      <c r="J32" s="138"/>
      <c r="K32" s="26"/>
      <c r="L32" s="758" t="s">
        <v>411</v>
      </c>
      <c r="M32" s="757">
        <v>5.1585000000000001</v>
      </c>
      <c r="N32" s="757">
        <v>3.7716000000000003</v>
      </c>
      <c r="O32" s="713"/>
    </row>
    <row r="33" spans="1:15" ht="15" customHeight="1">
      <c r="A33" s="537" t="s">
        <v>103</v>
      </c>
      <c r="B33" s="390">
        <v>15.61232</v>
      </c>
      <c r="C33" s="390">
        <v>16.555999999999997</v>
      </c>
      <c r="D33" s="391">
        <f t="shared" si="0"/>
        <v>-5.6999275187243126E-2</v>
      </c>
      <c r="E33" s="138"/>
      <c r="F33" s="138"/>
      <c r="G33" s="138"/>
      <c r="H33" s="138"/>
      <c r="I33" s="138"/>
      <c r="J33" s="138"/>
      <c r="K33" s="26"/>
      <c r="L33" s="758" t="s">
        <v>431</v>
      </c>
      <c r="M33" s="757">
        <v>5.82</v>
      </c>
      <c r="N33" s="757">
        <v>4.6315499999999998</v>
      </c>
      <c r="O33" s="713"/>
    </row>
    <row r="34" spans="1:15" ht="11.25" customHeight="1">
      <c r="A34" s="386" t="s">
        <v>240</v>
      </c>
      <c r="B34" s="387">
        <v>15.024900000000001</v>
      </c>
      <c r="C34" s="387">
        <v>17.051090000000002</v>
      </c>
      <c r="D34" s="388">
        <f t="shared" si="0"/>
        <v>-0.11883052637690616</v>
      </c>
      <c r="E34" s="138"/>
      <c r="F34" s="138"/>
      <c r="G34" s="138"/>
      <c r="H34" s="138"/>
      <c r="I34" s="138"/>
      <c r="J34" s="138"/>
      <c r="K34" s="26"/>
      <c r="L34" s="758" t="s">
        <v>104</v>
      </c>
      <c r="M34" s="757">
        <v>6.5880700000000001</v>
      </c>
      <c r="N34" s="757">
        <v>8.13354</v>
      </c>
      <c r="O34" s="713"/>
    </row>
    <row r="35" spans="1:15" ht="23.25" customHeight="1">
      <c r="A35" s="537" t="s">
        <v>446</v>
      </c>
      <c r="B35" s="390">
        <v>10.220700000000001</v>
      </c>
      <c r="C35" s="390">
        <v>10.07152</v>
      </c>
      <c r="D35" s="391">
        <f t="shared" si="0"/>
        <v>1.48120641174323E-2</v>
      </c>
      <c r="E35" s="138"/>
      <c r="F35" s="138"/>
      <c r="G35" s="138"/>
      <c r="H35" s="138"/>
      <c r="I35" s="138"/>
      <c r="J35" s="138"/>
      <c r="K35" s="26"/>
      <c r="L35" s="758" t="s">
        <v>421</v>
      </c>
      <c r="M35" s="757">
        <v>6.9821400000000002</v>
      </c>
      <c r="N35" s="757">
        <v>10.28848</v>
      </c>
      <c r="O35" s="713"/>
    </row>
    <row r="36" spans="1:15" ht="11.25" customHeight="1">
      <c r="A36" s="386" t="s">
        <v>457</v>
      </c>
      <c r="B36" s="387">
        <v>8.875</v>
      </c>
      <c r="C36" s="387"/>
      <c r="D36" s="388" t="str">
        <f t="shared" si="0"/>
        <v/>
      </c>
      <c r="E36" s="138"/>
      <c r="F36" s="138"/>
      <c r="G36" s="138"/>
      <c r="H36" s="138"/>
      <c r="I36" s="138"/>
      <c r="J36" s="138"/>
      <c r="K36" s="34"/>
      <c r="L36" s="758" t="s">
        <v>457</v>
      </c>
      <c r="M36" s="757">
        <v>8.875</v>
      </c>
      <c r="N36" s="757"/>
      <c r="O36" s="713"/>
    </row>
    <row r="37" spans="1:15" ht="11.25" customHeight="1">
      <c r="A37" s="537" t="s">
        <v>421</v>
      </c>
      <c r="B37" s="390">
        <v>6.9821400000000002</v>
      </c>
      <c r="C37" s="390">
        <v>10.28848</v>
      </c>
      <c r="D37" s="391">
        <f t="shared" si="0"/>
        <v>-0.32136331119854433</v>
      </c>
      <c r="E37" s="138"/>
      <c r="F37" s="138"/>
      <c r="G37" s="138"/>
      <c r="H37" s="138"/>
      <c r="I37" s="138"/>
      <c r="J37" s="138"/>
      <c r="K37" s="34"/>
      <c r="L37" s="758" t="s">
        <v>446</v>
      </c>
      <c r="M37" s="771">
        <v>10.220700000000001</v>
      </c>
      <c r="N37" s="771">
        <v>10.07152</v>
      </c>
      <c r="O37" s="713"/>
    </row>
    <row r="38" spans="1:15" ht="11.25" customHeight="1">
      <c r="A38" s="750" t="s">
        <v>104</v>
      </c>
      <c r="B38" s="387">
        <v>6.5880700000000001</v>
      </c>
      <c r="C38" s="387">
        <v>8.13354</v>
      </c>
      <c r="D38" s="388">
        <f t="shared" si="0"/>
        <v>-0.19001197510555057</v>
      </c>
      <c r="E38" s="138"/>
      <c r="F38" s="138"/>
      <c r="G38" s="138"/>
      <c r="H38" s="138"/>
      <c r="I38" s="138"/>
      <c r="J38" s="138"/>
      <c r="K38" s="29"/>
      <c r="L38" s="758" t="s">
        <v>240</v>
      </c>
      <c r="M38" s="757">
        <v>15.024900000000001</v>
      </c>
      <c r="N38" s="757">
        <v>17.051090000000002</v>
      </c>
      <c r="O38" s="713"/>
    </row>
    <row r="39" spans="1:15" ht="11.25" customHeight="1">
      <c r="A39" s="537" t="s">
        <v>431</v>
      </c>
      <c r="B39" s="390">
        <v>5.82</v>
      </c>
      <c r="C39" s="390">
        <v>4.6315499999999998</v>
      </c>
      <c r="D39" s="391">
        <f t="shared" si="0"/>
        <v>0.25659876283317695</v>
      </c>
      <c r="E39" s="138"/>
      <c r="F39" s="138"/>
      <c r="G39" s="138"/>
      <c r="H39" s="138"/>
      <c r="I39" s="138"/>
      <c r="J39" s="138"/>
      <c r="K39" s="29"/>
      <c r="L39" s="758" t="s">
        <v>103</v>
      </c>
      <c r="M39" s="757">
        <v>15.61232</v>
      </c>
      <c r="N39" s="757">
        <v>16.555999999999997</v>
      </c>
      <c r="O39" s="713"/>
    </row>
    <row r="40" spans="1:15" ht="11.25" customHeight="1">
      <c r="A40" s="751" t="s">
        <v>411</v>
      </c>
      <c r="B40" s="387">
        <v>5.1585000000000001</v>
      </c>
      <c r="C40" s="387">
        <v>3.7716000000000003</v>
      </c>
      <c r="D40" s="388">
        <f t="shared" si="0"/>
        <v>0.36772192173083029</v>
      </c>
      <c r="E40" s="138"/>
      <c r="F40" s="138"/>
      <c r="G40" s="138"/>
      <c r="H40" s="138"/>
      <c r="I40" s="138"/>
      <c r="J40" s="138"/>
      <c r="K40" s="29"/>
      <c r="L40" s="758" t="s">
        <v>455</v>
      </c>
      <c r="M40" s="757">
        <v>16.742919999999998</v>
      </c>
      <c r="N40" s="757">
        <v>22.029139999999998</v>
      </c>
      <c r="O40" s="713"/>
    </row>
    <row r="41" spans="1:15" ht="9.75" customHeight="1">
      <c r="A41" s="389" t="s">
        <v>458</v>
      </c>
      <c r="B41" s="390">
        <v>4.8914400000000002</v>
      </c>
      <c r="C41" s="390"/>
      <c r="D41" s="391" t="str">
        <f t="shared" si="0"/>
        <v/>
      </c>
      <c r="E41" s="138"/>
      <c r="F41" s="138"/>
      <c r="G41" s="138"/>
      <c r="H41" s="138"/>
      <c r="I41" s="138"/>
      <c r="J41" s="138"/>
      <c r="K41" s="34"/>
      <c r="L41" s="758" t="s">
        <v>425</v>
      </c>
      <c r="M41" s="757">
        <v>17.854979999999998</v>
      </c>
      <c r="N41" s="757">
        <v>18.66602</v>
      </c>
      <c r="O41" s="713"/>
    </row>
    <row r="42" spans="1:15" ht="9.75" customHeight="1">
      <c r="A42" s="386" t="s">
        <v>120</v>
      </c>
      <c r="B42" s="387">
        <v>3.1417199999999998</v>
      </c>
      <c r="C42" s="387">
        <v>0</v>
      </c>
      <c r="D42" s="388" t="str">
        <f t="shared" si="0"/>
        <v/>
      </c>
      <c r="E42" s="138"/>
      <c r="F42" s="138"/>
      <c r="G42" s="138"/>
      <c r="H42" s="138"/>
      <c r="I42" s="138"/>
      <c r="J42" s="138"/>
      <c r="K42" s="34"/>
      <c r="L42" s="758" t="s">
        <v>402</v>
      </c>
      <c r="M42" s="757">
        <v>20.038219999999999</v>
      </c>
      <c r="N42" s="757">
        <v>19.914870000000001</v>
      </c>
      <c r="O42" s="713"/>
    </row>
    <row r="43" spans="1:15" ht="9.75" customHeight="1">
      <c r="A43" s="389" t="s">
        <v>115</v>
      </c>
      <c r="B43" s="390">
        <v>2.42727</v>
      </c>
      <c r="C43" s="390">
        <v>2.7240599999999997</v>
      </c>
      <c r="D43" s="391">
        <f t="shared" si="0"/>
        <v>-0.10895134468403767</v>
      </c>
      <c r="E43" s="138"/>
      <c r="F43" s="138"/>
      <c r="G43" s="138"/>
      <c r="H43" s="138"/>
      <c r="I43" s="138"/>
      <c r="J43" s="138"/>
      <c r="K43" s="34"/>
      <c r="L43" s="758" t="s">
        <v>113</v>
      </c>
      <c r="M43" s="757">
        <v>22.56897</v>
      </c>
      <c r="N43" s="757">
        <v>24.50949</v>
      </c>
      <c r="O43" s="713"/>
    </row>
    <row r="44" spans="1:15" ht="9.75" customHeight="1">
      <c r="A44" s="386" t="s">
        <v>116</v>
      </c>
      <c r="B44" s="387">
        <v>2.4</v>
      </c>
      <c r="C44" s="387">
        <v>3.6</v>
      </c>
      <c r="D44" s="388">
        <f t="shared" si="0"/>
        <v>-0.33333333333333337</v>
      </c>
      <c r="E44" s="138"/>
      <c r="F44" s="138"/>
      <c r="G44" s="138"/>
      <c r="H44" s="138"/>
      <c r="I44" s="138"/>
      <c r="J44" s="138"/>
      <c r="L44" s="758" t="s">
        <v>108</v>
      </c>
      <c r="M44" s="757">
        <v>26.41188</v>
      </c>
      <c r="N44" s="757">
        <v>30.290699999999998</v>
      </c>
      <c r="O44" s="713"/>
    </row>
    <row r="45" spans="1:15" ht="9.75" customHeight="1">
      <c r="A45" s="389" t="s">
        <v>114</v>
      </c>
      <c r="B45" s="390">
        <v>2.31291</v>
      </c>
      <c r="C45" s="390">
        <v>0</v>
      </c>
      <c r="D45" s="391" t="str">
        <f t="shared" si="0"/>
        <v/>
      </c>
      <c r="E45" s="138"/>
      <c r="F45" s="138"/>
      <c r="G45" s="138"/>
      <c r="H45" s="138"/>
      <c r="I45" s="138"/>
      <c r="J45" s="138"/>
      <c r="L45" s="758" t="s">
        <v>101</v>
      </c>
      <c r="M45" s="757">
        <v>26.856000000000002</v>
      </c>
      <c r="N45" s="757">
        <v>41.265819999999998</v>
      </c>
      <c r="O45" s="713"/>
    </row>
    <row r="46" spans="1:15" ht="9.75" customHeight="1">
      <c r="A46" s="386" t="s">
        <v>117</v>
      </c>
      <c r="B46" s="387">
        <v>1.3103199999999999</v>
      </c>
      <c r="C46" s="387">
        <v>1.6800600000000001</v>
      </c>
      <c r="D46" s="388">
        <f t="shared" si="0"/>
        <v>-0.22007547349499434</v>
      </c>
      <c r="E46" s="138"/>
      <c r="F46" s="138"/>
      <c r="G46" s="138"/>
      <c r="H46" s="138"/>
      <c r="I46" s="138"/>
      <c r="J46" s="138"/>
      <c r="L46" s="758" t="s">
        <v>237</v>
      </c>
      <c r="M46" s="757">
        <v>30.739879999999999</v>
      </c>
      <c r="N46" s="757">
        <v>232.74938</v>
      </c>
      <c r="O46" s="713"/>
    </row>
    <row r="47" spans="1:15" ht="9.75" customHeight="1">
      <c r="A47" s="389" t="s">
        <v>453</v>
      </c>
      <c r="B47" s="390">
        <v>0.82318000000000002</v>
      </c>
      <c r="C47" s="390">
        <v>0.23782</v>
      </c>
      <c r="D47" s="391">
        <f t="shared" si="0"/>
        <v>2.4613573290724076</v>
      </c>
      <c r="E47" s="138"/>
      <c r="F47" s="138"/>
      <c r="G47" s="138"/>
      <c r="H47" s="138"/>
      <c r="I47" s="138"/>
      <c r="J47" s="138"/>
      <c r="L47" s="758" t="s">
        <v>242</v>
      </c>
      <c r="M47" s="757">
        <v>31.261310000000002</v>
      </c>
      <c r="N47" s="757">
        <v>0</v>
      </c>
      <c r="O47" s="713"/>
    </row>
    <row r="48" spans="1:15" ht="9.75" customHeight="1">
      <c r="A48" s="386" t="s">
        <v>121</v>
      </c>
      <c r="B48" s="387">
        <v>0</v>
      </c>
      <c r="C48" s="387">
        <v>17.947790000000001</v>
      </c>
      <c r="D48" s="388">
        <f t="shared" si="0"/>
        <v>-1</v>
      </c>
      <c r="E48" s="138"/>
      <c r="F48" s="138"/>
      <c r="G48" s="138"/>
      <c r="H48" s="138"/>
      <c r="I48" s="138"/>
      <c r="J48" s="138"/>
      <c r="L48" s="758" t="s">
        <v>430</v>
      </c>
      <c r="M48" s="757">
        <v>74.079190000000011</v>
      </c>
      <c r="N48" s="757">
        <v>71.596620000000001</v>
      </c>
      <c r="O48" s="713"/>
    </row>
    <row r="49" spans="1:15" ht="11.25" customHeight="1">
      <c r="A49" s="537" t="s">
        <v>106</v>
      </c>
      <c r="B49" s="390">
        <v>0</v>
      </c>
      <c r="C49" s="390">
        <v>14.48222</v>
      </c>
      <c r="D49" s="391">
        <f t="shared" si="0"/>
        <v>-1</v>
      </c>
      <c r="E49" s="138"/>
      <c r="F49" s="138"/>
      <c r="G49" s="138"/>
      <c r="H49" s="138"/>
      <c r="I49" s="138"/>
      <c r="J49" s="138"/>
      <c r="L49" s="758" t="s">
        <v>97</v>
      </c>
      <c r="M49" s="757">
        <v>88.377430000000004</v>
      </c>
      <c r="N49" s="757">
        <v>61.452120000000001</v>
      </c>
      <c r="O49" s="713"/>
    </row>
    <row r="50" spans="1:15" ht="14.25" customHeight="1">
      <c r="A50" s="750" t="s">
        <v>418</v>
      </c>
      <c r="B50" s="387">
        <v>0</v>
      </c>
      <c r="C50" s="387">
        <v>19.996739999999999</v>
      </c>
      <c r="D50" s="388">
        <f t="shared" si="0"/>
        <v>-1</v>
      </c>
      <c r="E50" s="138"/>
      <c r="F50" s="138"/>
      <c r="G50" s="138"/>
      <c r="H50" s="138"/>
      <c r="I50" s="138"/>
      <c r="J50" s="138"/>
      <c r="L50" s="758" t="s">
        <v>96</v>
      </c>
      <c r="M50" s="757">
        <v>91.338499999999996</v>
      </c>
      <c r="N50" s="757">
        <v>85.119879999999995</v>
      </c>
      <c r="O50" s="713"/>
    </row>
    <row r="51" spans="1:15" ht="9.75" customHeight="1">
      <c r="A51" s="537" t="s">
        <v>236</v>
      </c>
      <c r="B51" s="390">
        <v>0</v>
      </c>
      <c r="C51" s="390">
        <v>0</v>
      </c>
      <c r="D51" s="391" t="str">
        <f t="shared" si="0"/>
        <v/>
      </c>
      <c r="E51" s="138"/>
      <c r="F51" s="138"/>
      <c r="G51" s="138"/>
      <c r="H51" s="138"/>
      <c r="I51" s="138"/>
      <c r="J51" s="138"/>
      <c r="L51" s="758" t="s">
        <v>99</v>
      </c>
      <c r="M51" s="757">
        <v>92.051659999999998</v>
      </c>
      <c r="N51" s="757">
        <v>0</v>
      </c>
      <c r="O51" s="713"/>
    </row>
    <row r="52" spans="1:15" ht="9.75" customHeight="1">
      <c r="A52" s="386" t="s">
        <v>111</v>
      </c>
      <c r="B52" s="387">
        <v>0</v>
      </c>
      <c r="C52" s="387">
        <v>0</v>
      </c>
      <c r="D52" s="388" t="str">
        <f t="shared" si="0"/>
        <v/>
      </c>
      <c r="E52" s="138"/>
      <c r="F52" s="138"/>
      <c r="G52" s="138"/>
      <c r="H52" s="138"/>
      <c r="I52" s="138"/>
      <c r="J52" s="138"/>
      <c r="L52" s="758" t="s">
        <v>238</v>
      </c>
      <c r="M52" s="757">
        <v>94.074659999999994</v>
      </c>
      <c r="N52" s="757">
        <v>81.902439999999999</v>
      </c>
      <c r="O52" s="713"/>
    </row>
    <row r="53" spans="1:15" ht="9.75" customHeight="1">
      <c r="A53" s="389" t="s">
        <v>112</v>
      </c>
      <c r="B53" s="390">
        <v>0</v>
      </c>
      <c r="C53" s="390">
        <v>0</v>
      </c>
      <c r="D53" s="391" t="str">
        <f t="shared" si="0"/>
        <v/>
      </c>
      <c r="E53" s="138"/>
      <c r="F53" s="138"/>
      <c r="G53" s="138"/>
      <c r="H53" s="138"/>
      <c r="I53" s="138"/>
      <c r="J53" s="138"/>
      <c r="L53" s="758" t="s">
        <v>95</v>
      </c>
      <c r="M53" s="757">
        <v>108.07562</v>
      </c>
      <c r="N53" s="757">
        <v>106.34021999999999</v>
      </c>
      <c r="O53" s="713"/>
    </row>
    <row r="54" spans="1:15" ht="9.75" customHeight="1">
      <c r="A54" s="386" t="s">
        <v>412</v>
      </c>
      <c r="B54" s="387">
        <v>0</v>
      </c>
      <c r="C54" s="387">
        <v>0</v>
      </c>
      <c r="D54" s="388" t="str">
        <f t="shared" si="0"/>
        <v/>
      </c>
      <c r="E54" s="138"/>
      <c r="F54" s="138"/>
      <c r="G54" s="138"/>
      <c r="H54" s="138"/>
      <c r="I54" s="138"/>
      <c r="J54" s="138"/>
      <c r="L54" s="758" t="s">
        <v>98</v>
      </c>
      <c r="M54" s="757">
        <v>128.52634</v>
      </c>
      <c r="N54" s="757">
        <v>106.94519</v>
      </c>
      <c r="O54" s="713"/>
    </row>
    <row r="55" spans="1:15" ht="9.75" customHeight="1">
      <c r="A55" s="389" t="s">
        <v>118</v>
      </c>
      <c r="B55" s="390">
        <v>0</v>
      </c>
      <c r="C55" s="390">
        <v>0</v>
      </c>
      <c r="D55" s="391" t="str">
        <f t="shared" si="0"/>
        <v/>
      </c>
      <c r="E55" s="138"/>
      <c r="F55" s="138"/>
      <c r="G55" s="138"/>
      <c r="H55" s="138"/>
      <c r="I55" s="138"/>
      <c r="J55" s="138"/>
      <c r="L55" s="758" t="s">
        <v>92</v>
      </c>
      <c r="M55" s="757">
        <v>139.61899</v>
      </c>
      <c r="N55" s="757">
        <v>136.76603</v>
      </c>
      <c r="O55" s="713"/>
    </row>
    <row r="56" spans="1:15" ht="9.75" customHeight="1">
      <c r="A56" s="386" t="s">
        <v>110</v>
      </c>
      <c r="B56" s="387">
        <v>0</v>
      </c>
      <c r="C56" s="387">
        <v>0</v>
      </c>
      <c r="D56" s="388" t="str">
        <f t="shared" si="0"/>
        <v/>
      </c>
      <c r="E56" s="138"/>
      <c r="F56" s="138"/>
      <c r="G56" s="138"/>
      <c r="H56" s="138"/>
      <c r="I56" s="138"/>
      <c r="J56" s="138"/>
      <c r="L56" s="758" t="s">
        <v>93</v>
      </c>
      <c r="M56" s="757">
        <v>144.20676</v>
      </c>
      <c r="N56" s="757">
        <v>122.62738</v>
      </c>
      <c r="O56" s="713"/>
    </row>
    <row r="57" spans="1:15" ht="9.75" customHeight="1">
      <c r="A57" s="389" t="s">
        <v>107</v>
      </c>
      <c r="B57" s="390">
        <v>0</v>
      </c>
      <c r="C57" s="390">
        <v>0</v>
      </c>
      <c r="D57" s="391" t="str">
        <f t="shared" si="0"/>
        <v/>
      </c>
      <c r="E57" s="138"/>
      <c r="F57" s="138"/>
      <c r="G57" s="138"/>
      <c r="H57" s="138"/>
      <c r="I57" s="138"/>
      <c r="J57" s="138"/>
      <c r="L57" s="758" t="s">
        <v>91</v>
      </c>
      <c r="M57" s="757">
        <v>167.37198999999998</v>
      </c>
      <c r="N57" s="757">
        <v>143.25579000000002</v>
      </c>
      <c r="O57" s="713"/>
    </row>
    <row r="58" spans="1:15" ht="9.75" customHeight="1">
      <c r="A58" s="386" t="s">
        <v>243</v>
      </c>
      <c r="B58" s="387">
        <v>0</v>
      </c>
      <c r="C58" s="387">
        <v>0</v>
      </c>
      <c r="D58" s="388" t="str">
        <f t="shared" si="0"/>
        <v/>
      </c>
      <c r="E58" s="138"/>
      <c r="F58" s="138"/>
      <c r="G58" s="138"/>
      <c r="H58" s="138"/>
      <c r="I58" s="138"/>
      <c r="J58" s="138"/>
      <c r="L58" s="758" t="s">
        <v>241</v>
      </c>
      <c r="M58" s="757">
        <v>179.07745999999997</v>
      </c>
      <c r="N58" s="757">
        <v>216.11092000000002</v>
      </c>
      <c r="O58" s="713"/>
    </row>
    <row r="59" spans="1:15" ht="9.75" customHeight="1">
      <c r="A59" s="370" t="s">
        <v>244</v>
      </c>
      <c r="B59" s="371">
        <v>0</v>
      </c>
      <c r="C59" s="371">
        <v>0</v>
      </c>
      <c r="D59" s="391" t="str">
        <f t="shared" si="0"/>
        <v/>
      </c>
      <c r="E59" s="138"/>
      <c r="F59" s="138"/>
      <c r="G59" s="138"/>
      <c r="H59" s="138"/>
      <c r="I59" s="138"/>
      <c r="J59" s="138"/>
      <c r="L59" s="758" t="s">
        <v>94</v>
      </c>
      <c r="M59" s="757">
        <v>203.70605999999998</v>
      </c>
      <c r="N59" s="757">
        <v>167.84417999999999</v>
      </c>
      <c r="O59" s="713"/>
    </row>
    <row r="60" spans="1:15" ht="9.75" customHeight="1">
      <c r="A60" s="392" t="s">
        <v>102</v>
      </c>
      <c r="B60" s="393">
        <v>0</v>
      </c>
      <c r="C60" s="393">
        <v>28.782550000000001</v>
      </c>
      <c r="D60" s="394">
        <f t="shared" si="0"/>
        <v>-1</v>
      </c>
      <c r="E60" s="138"/>
      <c r="F60" s="138"/>
      <c r="G60" s="138"/>
      <c r="H60" s="138"/>
      <c r="I60" s="138"/>
      <c r="J60" s="138"/>
      <c r="L60" s="758" t="s">
        <v>90</v>
      </c>
      <c r="M60" s="757">
        <v>259.27860999999996</v>
      </c>
      <c r="N60" s="757">
        <v>287.90769999999998</v>
      </c>
      <c r="O60" s="713"/>
    </row>
    <row r="61" spans="1:15" ht="9.75" customHeight="1">
      <c r="A61" s="370" t="s">
        <v>119</v>
      </c>
      <c r="B61" s="371">
        <v>0</v>
      </c>
      <c r="C61" s="371">
        <v>0</v>
      </c>
      <c r="D61" s="382" t="str">
        <f t="shared" si="0"/>
        <v/>
      </c>
      <c r="E61" s="138"/>
      <c r="F61" s="138"/>
      <c r="G61" s="138"/>
      <c r="H61" s="138"/>
      <c r="I61" s="138"/>
      <c r="J61" s="138"/>
      <c r="L61" s="758" t="s">
        <v>239</v>
      </c>
      <c r="M61" s="757">
        <v>546.11649</v>
      </c>
      <c r="N61" s="757">
        <v>543.88617999999997</v>
      </c>
      <c r="O61" s="713"/>
    </row>
    <row r="62" spans="1:15" ht="9.75" customHeight="1">
      <c r="A62" s="392" t="s">
        <v>109</v>
      </c>
      <c r="B62" s="393">
        <v>0</v>
      </c>
      <c r="C62" s="393">
        <v>0</v>
      </c>
      <c r="D62" s="394" t="str">
        <f t="shared" si="0"/>
        <v/>
      </c>
      <c r="E62" s="138"/>
      <c r="F62" s="138"/>
      <c r="G62" s="138"/>
      <c r="H62" s="138"/>
      <c r="I62" s="138"/>
      <c r="J62" s="138"/>
      <c r="L62" s="758" t="s">
        <v>410</v>
      </c>
      <c r="M62" s="757">
        <v>791.83739000000003</v>
      </c>
      <c r="N62" s="757">
        <v>1299.22794</v>
      </c>
      <c r="O62" s="713"/>
    </row>
    <row r="63" spans="1:15" s="738" customFormat="1" ht="9.75" customHeight="1">
      <c r="A63" s="370" t="s">
        <v>100</v>
      </c>
      <c r="B63" s="371">
        <v>0</v>
      </c>
      <c r="C63" s="371">
        <v>287.08664999999996</v>
      </c>
      <c r="D63" s="382">
        <f t="shared" si="0"/>
        <v>-1</v>
      </c>
      <c r="E63" s="138"/>
      <c r="F63" s="138"/>
      <c r="G63" s="138"/>
      <c r="H63" s="138"/>
      <c r="I63" s="138"/>
      <c r="J63" s="138"/>
      <c r="L63" s="758" t="s">
        <v>89</v>
      </c>
      <c r="M63" s="757">
        <v>869.16816000000006</v>
      </c>
      <c r="N63" s="757">
        <v>865.56577000000016</v>
      </c>
      <c r="O63" s="713"/>
    </row>
    <row r="64" spans="1:15" s="738" customFormat="1" ht="9.75" customHeight="1">
      <c r="A64" s="768" t="s">
        <v>105</v>
      </c>
      <c r="B64" s="770">
        <v>0</v>
      </c>
      <c r="C64" s="770">
        <v>0</v>
      </c>
      <c r="D64" s="769"/>
      <c r="E64" s="138"/>
      <c r="F64" s="138"/>
      <c r="G64" s="138"/>
      <c r="H64" s="138"/>
      <c r="I64" s="138"/>
      <c r="J64" s="138"/>
      <c r="L64" s="758" t="s">
        <v>88</v>
      </c>
      <c r="M64" s="757">
        <v>872.75891000000001</v>
      </c>
      <c r="N64" s="757">
        <v>876.0515200000001</v>
      </c>
      <c r="O64" s="713"/>
    </row>
    <row r="65" spans="1:15" s="738" customFormat="1" ht="19.5" customHeight="1">
      <c r="A65" s="859" t="s">
        <v>492</v>
      </c>
      <c r="B65" s="854">
        <v>0</v>
      </c>
      <c r="C65" s="854"/>
      <c r="D65" s="853"/>
      <c r="E65" s="138"/>
      <c r="F65" s="138"/>
      <c r="G65" s="138"/>
      <c r="H65" s="138"/>
      <c r="I65" s="138"/>
      <c r="J65" s="138"/>
      <c r="L65" s="758" t="s">
        <v>87</v>
      </c>
      <c r="M65" s="757">
        <v>929.21021999999994</v>
      </c>
      <c r="N65" s="757">
        <v>784.70128999999997</v>
      </c>
      <c r="O65" s="713"/>
    </row>
    <row r="66" spans="1:15" ht="9.75" customHeight="1">
      <c r="A66" s="372" t="s">
        <v>42</v>
      </c>
      <c r="B66" s="624">
        <f>SUM(B7:B65)</f>
        <v>6062.9370699999981</v>
      </c>
      <c r="C66" s="624">
        <f>SUM(C7:C65)</f>
        <v>6793.768259999998</v>
      </c>
      <c r="D66" s="373">
        <f>IF(C66=0,"",B66/C66-1)</f>
        <v>-0.10757375907314215</v>
      </c>
      <c r="E66" s="138"/>
      <c r="F66" s="138"/>
      <c r="G66" s="138"/>
      <c r="H66" s="138"/>
      <c r="I66" s="138"/>
      <c r="J66" s="138"/>
      <c r="L66" s="758"/>
      <c r="M66" s="759"/>
      <c r="N66" s="759"/>
      <c r="O66" s="713"/>
    </row>
    <row r="67" spans="1:15" ht="51.75" customHeight="1">
      <c r="A67" s="928" t="str">
        <f>"Cuadro N° 8: Participación de las empresas generadoras del COES en la máxima potencia coincidente (MW) en "&amp;'1. Resumen'!Q4</f>
        <v>Cuadro N° 8: Participación de las empresas generadoras del COES en la máxima potencia coincidente (MW) en junio</v>
      </c>
      <c r="B67" s="928"/>
      <c r="C67" s="928"/>
      <c r="D67" s="928"/>
      <c r="E67" s="132"/>
      <c r="F67" s="928" t="str">
        <f>"Gráfico N° 12: Comparación de la máxima potencia coincidente  (MW) de las empresas generadoras del COES en "&amp;'1. Resumen'!Q4</f>
        <v>Gráfico N° 12: Comparación de la máxima potencia coincidente  (MW) de las empresas generadoras del COES en junio</v>
      </c>
      <c r="G67" s="928"/>
      <c r="H67" s="928"/>
      <c r="I67" s="928"/>
      <c r="J67" s="928"/>
      <c r="L67" s="758"/>
      <c r="M67" s="760"/>
      <c r="N67" s="760"/>
    </row>
    <row r="68" spans="1:15" ht="25.5" customHeight="1">
      <c r="A68" s="931"/>
      <c r="B68" s="931"/>
      <c r="C68" s="931"/>
      <c r="D68" s="931"/>
      <c r="E68" s="931"/>
      <c r="F68" s="931"/>
      <c r="G68" s="931"/>
      <c r="H68" s="931"/>
      <c r="I68" s="931"/>
      <c r="J68" s="931"/>
    </row>
    <row r="69" spans="1:15" ht="17.25" customHeight="1">
      <c r="A69" s="930"/>
      <c r="B69" s="930"/>
      <c r="C69" s="930"/>
      <c r="D69" s="930"/>
      <c r="E69" s="930"/>
      <c r="F69" s="930"/>
      <c r="G69" s="930"/>
      <c r="H69" s="930"/>
      <c r="I69" s="930"/>
      <c r="J69" s="930"/>
    </row>
    <row r="70" spans="1:15">
      <c r="A70" s="930"/>
      <c r="B70" s="930"/>
      <c r="C70" s="930"/>
      <c r="D70" s="930"/>
      <c r="E70" s="930"/>
      <c r="F70" s="930"/>
      <c r="G70" s="930"/>
      <c r="H70" s="930"/>
      <c r="I70" s="930"/>
      <c r="J70" s="930"/>
    </row>
    <row r="71" spans="1:15">
      <c r="A71" s="923"/>
      <c r="B71" s="923"/>
      <c r="C71" s="923"/>
      <c r="D71" s="923"/>
      <c r="E71" s="923"/>
      <c r="F71" s="923"/>
      <c r="G71" s="923"/>
      <c r="H71" s="923"/>
      <c r="I71" s="923"/>
      <c r="J71" s="923"/>
    </row>
    <row r="72" spans="1:15">
      <c r="A72" s="922"/>
      <c r="B72" s="922"/>
      <c r="C72" s="922"/>
      <c r="D72" s="922"/>
      <c r="E72" s="922"/>
      <c r="F72" s="922"/>
      <c r="G72" s="922"/>
      <c r="H72" s="922"/>
      <c r="I72" s="922"/>
      <c r="J72" s="922"/>
    </row>
    <row r="73" spans="1:15">
      <c r="A73" s="951"/>
      <c r="B73" s="951"/>
      <c r="C73" s="951"/>
      <c r="D73" s="951"/>
      <c r="E73" s="951"/>
      <c r="F73" s="951"/>
      <c r="G73" s="951"/>
      <c r="H73" s="951"/>
      <c r="I73" s="951"/>
      <c r="J73" s="951"/>
    </row>
    <row r="74" spans="1:15">
      <c r="A74" s="950"/>
      <c r="B74" s="950"/>
      <c r="C74" s="950"/>
      <c r="D74" s="950"/>
      <c r="E74" s="950"/>
      <c r="F74" s="950"/>
      <c r="G74" s="950"/>
      <c r="H74" s="950"/>
      <c r="I74" s="950"/>
      <c r="J74" s="950"/>
    </row>
  </sheetData>
  <mergeCells count="14">
    <mergeCell ref="A74:J74"/>
    <mergeCell ref="A70:J70"/>
    <mergeCell ref="A71:J71"/>
    <mergeCell ref="A72:J72"/>
    <mergeCell ref="A73:J73"/>
    <mergeCell ref="A68:J68"/>
    <mergeCell ref="A69:J69"/>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N65" sqref="N65"/>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12" customWidth="1"/>
    <col min="12" max="31" width="9.33203125" style="312"/>
    <col min="32" max="16384" width="9.33203125" style="46"/>
  </cols>
  <sheetData>
    <row r="1" spans="1:38" ht="11.25" customHeight="1"/>
    <row r="2" spans="1:38" ht="17.25" customHeight="1">
      <c r="A2" s="934" t="s">
        <v>252</v>
      </c>
      <c r="B2" s="934"/>
      <c r="C2" s="934"/>
      <c r="D2" s="934"/>
      <c r="E2" s="934"/>
      <c r="F2" s="934"/>
      <c r="G2" s="934"/>
      <c r="H2" s="934"/>
    </row>
    <row r="3" spans="1:38" ht="11.25" customHeight="1">
      <c r="A3" s="77"/>
      <c r="B3" s="77"/>
      <c r="C3" s="77"/>
      <c r="D3" s="77"/>
      <c r="E3" s="77"/>
      <c r="F3" s="82"/>
      <c r="G3" s="82"/>
      <c r="H3" s="82"/>
      <c r="I3" s="36"/>
      <c r="J3" s="321"/>
    </row>
    <row r="4" spans="1:38" ht="15.75" customHeight="1">
      <c r="A4" s="952" t="s">
        <v>441</v>
      </c>
      <c r="B4" s="952"/>
      <c r="C4" s="952"/>
      <c r="D4" s="952"/>
      <c r="E4" s="952"/>
      <c r="F4" s="952"/>
      <c r="G4" s="952"/>
      <c r="H4" s="952"/>
      <c r="I4" s="36"/>
      <c r="J4" s="321"/>
    </row>
    <row r="5" spans="1:38" ht="11.25" customHeight="1">
      <c r="A5" s="77"/>
      <c r="B5" s="164"/>
      <c r="C5" s="79"/>
      <c r="D5" s="79"/>
      <c r="E5" s="80"/>
      <c r="F5" s="76"/>
      <c r="G5" s="76"/>
      <c r="H5" s="81"/>
      <c r="I5" s="165"/>
      <c r="J5" s="322"/>
    </row>
    <row r="6" spans="1:38" ht="42.75" customHeight="1">
      <c r="A6" s="77"/>
      <c r="C6" s="489" t="s">
        <v>124</v>
      </c>
      <c r="D6" s="490" t="s">
        <v>680</v>
      </c>
      <c r="E6" s="490" t="s">
        <v>681</v>
      </c>
      <c r="F6" s="491" t="s">
        <v>125</v>
      </c>
      <c r="G6" s="169"/>
      <c r="H6" s="170"/>
    </row>
    <row r="7" spans="1:38" ht="11.25" customHeight="1">
      <c r="A7" s="77"/>
      <c r="C7" s="539" t="s">
        <v>126</v>
      </c>
      <c r="D7" s="540">
        <v>25.743999479999999</v>
      </c>
      <c r="E7" s="775">
        <v>22.548000340000002</v>
      </c>
      <c r="F7" s="541">
        <f>IF(E7=0,"",(D7-E7)/E7)</f>
        <v>0.14174202110199177</v>
      </c>
      <c r="G7" s="137"/>
      <c r="H7" s="273"/>
    </row>
    <row r="8" spans="1:38" ht="11.25" customHeight="1">
      <c r="A8" s="77"/>
      <c r="C8" s="542" t="s">
        <v>127</v>
      </c>
      <c r="D8" s="543">
        <v>129.48599239999999</v>
      </c>
      <c r="E8" s="544">
        <v>118.237999</v>
      </c>
      <c r="F8" s="545">
        <f t="shared" ref="F8:F20" si="0">IF(E8=0,"",(D8-E8)/E8)</f>
        <v>9.5130106185237318E-2</v>
      </c>
      <c r="G8" s="137"/>
      <c r="H8" s="273"/>
    </row>
    <row r="9" spans="1:38" ht="11.25" customHeight="1">
      <c r="A9" s="77"/>
      <c r="C9" s="546" t="s">
        <v>128</v>
      </c>
      <c r="D9" s="547">
        <v>82.680999760000006</v>
      </c>
      <c r="E9" s="548">
        <v>89.009002690000003</v>
      </c>
      <c r="F9" s="549">
        <f t="shared" si="0"/>
        <v>-7.1093965090690048E-2</v>
      </c>
      <c r="G9" s="137"/>
      <c r="H9" s="273"/>
      <c r="M9" s="323" t="s">
        <v>258</v>
      </c>
      <c r="N9" s="324"/>
      <c r="O9" s="324"/>
      <c r="P9" s="324"/>
      <c r="Q9" s="324"/>
      <c r="R9" s="324"/>
      <c r="S9" s="324"/>
      <c r="T9" s="324"/>
      <c r="U9" s="324"/>
      <c r="V9" s="324"/>
      <c r="W9" s="324"/>
      <c r="X9" s="324"/>
      <c r="Y9" s="324"/>
      <c r="Z9" s="324"/>
      <c r="AA9" s="324"/>
      <c r="AB9" s="324"/>
      <c r="AC9" s="324"/>
      <c r="AD9" s="324"/>
      <c r="AE9" s="324"/>
      <c r="AF9" s="217"/>
      <c r="AG9" s="217"/>
      <c r="AH9" s="217"/>
      <c r="AI9" s="217"/>
      <c r="AJ9" s="217"/>
      <c r="AK9" s="217"/>
      <c r="AL9" s="217"/>
    </row>
    <row r="10" spans="1:38" ht="11.25" customHeight="1">
      <c r="A10" s="77"/>
      <c r="C10" s="542" t="s">
        <v>129</v>
      </c>
      <c r="D10" s="543">
        <v>70.716003420000007</v>
      </c>
      <c r="E10" s="544">
        <v>80.058998110000005</v>
      </c>
      <c r="F10" s="545">
        <f t="shared" si="0"/>
        <v>-0.11670136912234208</v>
      </c>
      <c r="G10" s="137"/>
      <c r="H10" s="273"/>
      <c r="M10" s="323" t="s">
        <v>259</v>
      </c>
      <c r="N10" s="324"/>
      <c r="O10" s="324"/>
      <c r="P10" s="324"/>
      <c r="Q10" s="324"/>
      <c r="R10" s="324"/>
      <c r="S10" s="324"/>
      <c r="T10" s="324"/>
      <c r="AD10" s="324"/>
      <c r="AE10" s="324"/>
      <c r="AF10" s="217"/>
      <c r="AG10" s="217"/>
      <c r="AH10" s="217"/>
      <c r="AI10" s="217"/>
      <c r="AJ10" s="217"/>
      <c r="AK10" s="217"/>
      <c r="AL10" s="217"/>
    </row>
    <row r="11" spans="1:38" ht="11.25" customHeight="1">
      <c r="A11" s="77"/>
      <c r="C11" s="546" t="s">
        <v>130</v>
      </c>
      <c r="D11" s="547">
        <v>27.541000369999999</v>
      </c>
      <c r="E11" s="548">
        <v>29.291439059999998</v>
      </c>
      <c r="F11" s="549">
        <f>IF(E11=0,"",(D11-E11)/E11)</f>
        <v>-5.975939544706E-2</v>
      </c>
      <c r="G11" s="137"/>
      <c r="H11" s="273"/>
      <c r="M11" s="324"/>
      <c r="N11" s="325">
        <v>2017</v>
      </c>
      <c r="O11" s="325">
        <v>2018</v>
      </c>
      <c r="P11" s="325">
        <v>2019</v>
      </c>
      <c r="Q11" s="325">
        <v>2020</v>
      </c>
      <c r="R11" s="324"/>
      <c r="S11" s="324"/>
      <c r="T11" s="324"/>
      <c r="AD11" s="324"/>
      <c r="AE11" s="324"/>
      <c r="AF11" s="217"/>
      <c r="AG11" s="217"/>
      <c r="AH11" s="217"/>
      <c r="AI11" s="217"/>
      <c r="AJ11" s="217"/>
      <c r="AK11" s="217"/>
      <c r="AL11" s="217"/>
    </row>
    <row r="12" spans="1:38" ht="11.25" customHeight="1">
      <c r="A12" s="77"/>
      <c r="C12" s="542" t="s">
        <v>131</v>
      </c>
      <c r="D12" s="543">
        <v>4.5</v>
      </c>
      <c r="E12" s="544">
        <v>11.3125</v>
      </c>
      <c r="F12" s="545">
        <f t="shared" si="0"/>
        <v>-0.60220994475138123</v>
      </c>
      <c r="G12" s="137"/>
      <c r="H12" s="273"/>
      <c r="M12" s="326">
        <v>1</v>
      </c>
      <c r="N12" s="327">
        <v>93.1</v>
      </c>
      <c r="O12" s="327">
        <v>104.46</v>
      </c>
      <c r="P12" s="327">
        <v>117.2900009</v>
      </c>
      <c r="Q12" s="562">
        <v>117.290000915527</v>
      </c>
      <c r="R12" s="324"/>
      <c r="S12" s="324"/>
      <c r="T12" s="324"/>
      <c r="AD12" s="324"/>
      <c r="AE12" s="324"/>
      <c r="AF12" s="217"/>
      <c r="AG12" s="217"/>
      <c r="AH12" s="217"/>
      <c r="AI12" s="217"/>
      <c r="AJ12" s="217"/>
      <c r="AK12" s="217"/>
      <c r="AL12" s="217"/>
    </row>
    <row r="13" spans="1:38" ht="11.25" customHeight="1">
      <c r="A13" s="77"/>
      <c r="C13" s="546" t="s">
        <v>132</v>
      </c>
      <c r="D13" s="547">
        <v>104.6800003</v>
      </c>
      <c r="E13" s="548">
        <v>103.9400024</v>
      </c>
      <c r="F13" s="549">
        <f t="shared" si="0"/>
        <v>7.1194716462697127E-3</v>
      </c>
      <c r="G13" s="137"/>
      <c r="H13" s="273"/>
      <c r="M13" s="326">
        <v>2</v>
      </c>
      <c r="N13" s="327">
        <v>93.1</v>
      </c>
      <c r="O13" s="327">
        <v>103.4720001</v>
      </c>
      <c r="P13" s="327">
        <v>116.0110016</v>
      </c>
      <c r="Q13" s="562">
        <v>146.93600459999999</v>
      </c>
      <c r="R13" s="324"/>
      <c r="S13" s="324"/>
      <c r="T13" s="324"/>
      <c r="AD13" s="324"/>
      <c r="AE13" s="324"/>
      <c r="AF13" s="217"/>
      <c r="AG13" s="217"/>
      <c r="AH13" s="217"/>
      <c r="AI13" s="217"/>
      <c r="AJ13" s="217"/>
      <c r="AK13" s="217"/>
      <c r="AL13" s="217"/>
    </row>
    <row r="14" spans="1:38" ht="11.25" customHeight="1">
      <c r="A14" s="77"/>
      <c r="C14" s="542" t="s">
        <v>133</v>
      </c>
      <c r="D14" s="543">
        <v>256.50100709999998</v>
      </c>
      <c r="E14" s="544">
        <v>231.6340027</v>
      </c>
      <c r="F14" s="545">
        <f t="shared" si="0"/>
        <v>0.10735472387534745</v>
      </c>
      <c r="G14" s="137"/>
      <c r="H14" s="273"/>
      <c r="M14" s="326">
        <v>3</v>
      </c>
      <c r="N14" s="327">
        <v>98.74</v>
      </c>
      <c r="O14" s="327">
        <v>106.08699799999999</v>
      </c>
      <c r="P14" s="327">
        <v>117.6</v>
      </c>
      <c r="Q14" s="562">
        <v>149.93200680000001</v>
      </c>
      <c r="R14" s="324"/>
      <c r="S14" s="324"/>
      <c r="T14" s="324"/>
      <c r="AD14" s="324"/>
      <c r="AE14" s="324"/>
      <c r="AF14" s="217"/>
      <c r="AG14" s="217"/>
      <c r="AH14" s="217"/>
      <c r="AI14" s="217"/>
      <c r="AJ14" s="217"/>
      <c r="AK14" s="217"/>
      <c r="AL14" s="217"/>
    </row>
    <row r="15" spans="1:38" ht="11.25" customHeight="1">
      <c r="A15" s="77"/>
      <c r="C15" s="546" t="s">
        <v>134</v>
      </c>
      <c r="D15" s="547">
        <v>65.449996949999999</v>
      </c>
      <c r="E15" s="548">
        <v>48.180000309999997</v>
      </c>
      <c r="F15" s="549">
        <f t="shared" si="0"/>
        <v>0.35844741653967005</v>
      </c>
      <c r="G15" s="137"/>
      <c r="H15" s="273"/>
      <c r="M15" s="326">
        <v>4</v>
      </c>
      <c r="N15" s="327">
        <v>98.74</v>
      </c>
      <c r="O15" s="327">
        <v>112.7200012</v>
      </c>
      <c r="P15" s="327">
        <v>128.32000729999999</v>
      </c>
      <c r="Q15" s="562">
        <v>152.6190033</v>
      </c>
      <c r="R15" s="324"/>
      <c r="S15" s="324"/>
      <c r="T15" s="324"/>
      <c r="AD15" s="324"/>
      <c r="AE15" s="324"/>
      <c r="AF15" s="217"/>
      <c r="AG15" s="217"/>
      <c r="AH15" s="217"/>
      <c r="AI15" s="217"/>
      <c r="AJ15" s="217"/>
      <c r="AK15" s="217"/>
      <c r="AL15" s="217"/>
    </row>
    <row r="16" spans="1:38" ht="11.25" customHeight="1">
      <c r="A16" s="77"/>
      <c r="C16" s="542" t="s">
        <v>135</v>
      </c>
      <c r="D16" s="543">
        <v>276.45400999999998</v>
      </c>
      <c r="E16" s="544">
        <v>291.33300780000002</v>
      </c>
      <c r="F16" s="545">
        <f t="shared" si="0"/>
        <v>-5.1072131895931482E-2</v>
      </c>
      <c r="G16" s="137"/>
      <c r="H16" s="273"/>
      <c r="M16" s="326">
        <v>5</v>
      </c>
      <c r="N16" s="327">
        <v>125.15</v>
      </c>
      <c r="O16" s="327">
        <v>122.3190002</v>
      </c>
      <c r="P16" s="327">
        <v>139.2400055</v>
      </c>
      <c r="Q16" s="562">
        <v>162.19599909999999</v>
      </c>
      <c r="R16" s="324"/>
      <c r="S16" s="324"/>
      <c r="T16" s="324"/>
      <c r="AD16" s="324"/>
      <c r="AE16" s="324"/>
      <c r="AF16" s="217"/>
      <c r="AG16" s="217"/>
      <c r="AH16" s="217"/>
      <c r="AI16" s="217"/>
      <c r="AJ16" s="217"/>
      <c r="AK16" s="217"/>
      <c r="AL16" s="217"/>
    </row>
    <row r="17" spans="1:38" ht="11.25" customHeight="1">
      <c r="A17" s="77"/>
      <c r="C17" s="546" t="s">
        <v>136</v>
      </c>
      <c r="D17" s="547">
        <v>190.57000729999999</v>
      </c>
      <c r="E17" s="548">
        <v>182.8999939</v>
      </c>
      <c r="F17" s="549">
        <f t="shared" si="0"/>
        <v>4.1935558533662633E-2</v>
      </c>
      <c r="G17" s="137"/>
      <c r="H17" s="273"/>
      <c r="M17" s="326">
        <v>6</v>
      </c>
      <c r="N17" s="327">
        <v>125.15</v>
      </c>
      <c r="O17" s="327">
        <v>126.1559982</v>
      </c>
      <c r="P17" s="327">
        <v>150.94</v>
      </c>
      <c r="Q17" s="562">
        <v>168.51100158691401</v>
      </c>
      <c r="R17" s="324"/>
      <c r="S17" s="324"/>
      <c r="T17" s="324"/>
      <c r="AD17" s="324"/>
      <c r="AE17" s="324"/>
      <c r="AF17" s="217"/>
      <c r="AG17" s="217"/>
      <c r="AH17" s="217"/>
      <c r="AI17" s="217"/>
      <c r="AJ17" s="217"/>
      <c r="AK17" s="217"/>
      <c r="AL17" s="217"/>
    </row>
    <row r="18" spans="1:38" ht="11.25" customHeight="1">
      <c r="A18" s="77"/>
      <c r="C18" s="542" t="s">
        <v>137</v>
      </c>
      <c r="D18" s="543">
        <v>21.402000430000001</v>
      </c>
      <c r="E18" s="544">
        <v>21.17700005</v>
      </c>
      <c r="F18" s="545">
        <f t="shared" si="0"/>
        <v>1.0624752300550752E-2</v>
      </c>
      <c r="G18" s="137"/>
      <c r="H18" s="273"/>
      <c r="M18" s="326">
        <v>7</v>
      </c>
      <c r="N18" s="327">
        <v>142.99</v>
      </c>
      <c r="O18" s="327">
        <v>142.9900055</v>
      </c>
      <c r="P18" s="327">
        <v>162.4909973</v>
      </c>
      <c r="Q18" s="562">
        <v>175.46800229999999</v>
      </c>
      <c r="R18" s="324"/>
      <c r="S18" s="324"/>
      <c r="T18" s="324"/>
      <c r="AD18" s="324"/>
      <c r="AE18" s="324"/>
      <c r="AF18" s="217"/>
      <c r="AG18" s="217"/>
      <c r="AH18" s="217"/>
      <c r="AI18" s="217"/>
      <c r="AJ18" s="217"/>
      <c r="AK18" s="217"/>
      <c r="AL18" s="217"/>
    </row>
    <row r="19" spans="1:38" ht="12.75" customHeight="1">
      <c r="A19" s="77"/>
      <c r="C19" s="546" t="s">
        <v>138</v>
      </c>
      <c r="D19" s="547">
        <v>60.294288639999998</v>
      </c>
      <c r="E19" s="548">
        <v>53.02254868</v>
      </c>
      <c r="F19" s="549">
        <f t="shared" si="0"/>
        <v>0.13714429315509089</v>
      </c>
      <c r="G19" s="137"/>
      <c r="H19" s="273"/>
      <c r="M19" s="326">
        <v>8</v>
      </c>
      <c r="N19" s="327">
        <v>142.99</v>
      </c>
      <c r="O19" s="327">
        <v>134.13600159999999</v>
      </c>
      <c r="P19" s="327">
        <v>169.03700259999999</v>
      </c>
      <c r="Q19" s="562">
        <v>188.82800292968699</v>
      </c>
      <c r="R19" s="324"/>
      <c r="S19" s="324"/>
      <c r="T19" s="324"/>
      <c r="AD19" s="324"/>
      <c r="AE19" s="324"/>
      <c r="AF19" s="217"/>
      <c r="AG19" s="217"/>
      <c r="AH19" s="217"/>
      <c r="AI19" s="217"/>
      <c r="AJ19" s="217"/>
      <c r="AK19" s="217"/>
      <c r="AL19" s="217"/>
    </row>
    <row r="20" spans="1:38" ht="13.5" customHeight="1">
      <c r="A20" s="77"/>
      <c r="C20" s="542" t="s">
        <v>139</v>
      </c>
      <c r="D20" s="543">
        <v>23.14889908</v>
      </c>
      <c r="E20" s="544">
        <v>23.650850299999998</v>
      </c>
      <c r="F20" s="545">
        <f t="shared" si="0"/>
        <v>-2.1223390010633093E-2</v>
      </c>
      <c r="G20" s="137"/>
      <c r="H20" s="273"/>
      <c r="M20" s="326">
        <v>9</v>
      </c>
      <c r="N20" s="327">
        <v>159.53</v>
      </c>
      <c r="O20" s="327">
        <v>153.34500120000001</v>
      </c>
      <c r="P20" s="327">
        <v>182.64300539999999</v>
      </c>
      <c r="Q20" s="562">
        <v>196.47700499999999</v>
      </c>
      <c r="R20" s="324"/>
      <c r="S20" s="324"/>
      <c r="T20" s="324"/>
      <c r="AD20" s="324"/>
      <c r="AE20" s="324"/>
      <c r="AF20" s="217"/>
      <c r="AG20" s="217"/>
      <c r="AH20" s="217"/>
      <c r="AI20" s="217"/>
      <c r="AJ20" s="217"/>
      <c r="AK20" s="217"/>
      <c r="AL20" s="217"/>
    </row>
    <row r="21" spans="1:38" ht="11.25" customHeight="1">
      <c r="A21" s="77"/>
      <c r="C21" s="546" t="s">
        <v>140</v>
      </c>
      <c r="D21" s="547">
        <v>5.5409998890000001</v>
      </c>
      <c r="E21" s="548">
        <v>6.7030000689999998</v>
      </c>
      <c r="F21" s="549">
        <f t="shared" ref="F21:F27" si="1">IF(E21=0,"",(D21-E21)/E21)</f>
        <v>-0.1733552391523927</v>
      </c>
      <c r="M21" s="326">
        <v>10</v>
      </c>
      <c r="N21" s="327">
        <v>159.53</v>
      </c>
      <c r="O21" s="327">
        <v>153.0590057</v>
      </c>
      <c r="P21" s="327">
        <v>190.99600219999999</v>
      </c>
      <c r="Q21" s="562">
        <v>199.98199460000001</v>
      </c>
      <c r="R21" s="324"/>
      <c r="S21" s="324"/>
      <c r="T21" s="324"/>
      <c r="AD21" s="324"/>
      <c r="AE21" s="324"/>
      <c r="AF21" s="217"/>
      <c r="AG21" s="217"/>
      <c r="AH21" s="217"/>
      <c r="AI21" s="217"/>
      <c r="AJ21" s="217"/>
      <c r="AK21" s="217"/>
      <c r="AL21" s="217"/>
    </row>
    <row r="22" spans="1:38" ht="11.25" customHeight="1">
      <c r="A22" s="77"/>
      <c r="C22" s="542" t="s">
        <v>141</v>
      </c>
      <c r="D22" s="543">
        <v>6.7179999349999999</v>
      </c>
      <c r="E22" s="544">
        <v>0</v>
      </c>
      <c r="F22" s="545" t="str">
        <f t="shared" si="1"/>
        <v/>
      </c>
      <c r="G22" s="137"/>
      <c r="H22" s="273"/>
      <c r="M22" s="326">
        <v>11</v>
      </c>
      <c r="N22" s="327">
        <v>184.94</v>
      </c>
      <c r="O22" s="327">
        <v>162.93200680000001</v>
      </c>
      <c r="P22" s="327">
        <v>200.89500427246</v>
      </c>
      <c r="Q22" s="367">
        <v>200.89500430000001</v>
      </c>
      <c r="AF22" s="274"/>
      <c r="AG22" s="274"/>
      <c r="AH22" s="274"/>
      <c r="AI22" s="274"/>
      <c r="AJ22" s="274"/>
      <c r="AK22" s="274"/>
      <c r="AL22" s="274"/>
    </row>
    <row r="23" spans="1:38" ht="11.25" customHeight="1">
      <c r="A23" s="77"/>
      <c r="C23" s="546" t="s">
        <v>417</v>
      </c>
      <c r="D23" s="547">
        <v>5.2420001029999996</v>
      </c>
      <c r="E23" s="548">
        <v>0.62199997900000004</v>
      </c>
      <c r="F23" s="549">
        <f t="shared" si="1"/>
        <v>7.42765318324874</v>
      </c>
      <c r="G23" s="137"/>
      <c r="H23" s="273"/>
      <c r="M23" s="326">
        <v>12</v>
      </c>
      <c r="N23" s="327">
        <v>184.94</v>
      </c>
      <c r="O23" s="327">
        <v>172.76199339999999</v>
      </c>
      <c r="P23" s="327">
        <v>209.09500120000001</v>
      </c>
      <c r="Q23" s="367">
        <v>210.61200000000002</v>
      </c>
      <c r="AF23" s="274"/>
      <c r="AG23" s="274"/>
      <c r="AH23" s="274"/>
      <c r="AI23" s="274"/>
      <c r="AJ23" s="274"/>
      <c r="AK23" s="274"/>
      <c r="AL23" s="274"/>
    </row>
    <row r="24" spans="1:38" ht="11.25" customHeight="1">
      <c r="A24" s="77"/>
      <c r="C24" s="542" t="s">
        <v>142</v>
      </c>
      <c r="D24" s="544">
        <v>218.28599550000001</v>
      </c>
      <c r="E24" s="544">
        <v>204.22900390000001</v>
      </c>
      <c r="F24" s="545">
        <f t="shared" si="1"/>
        <v>6.8829555702494438E-2</v>
      </c>
      <c r="G24" s="137"/>
      <c r="H24" s="273"/>
      <c r="M24" s="326">
        <v>13</v>
      </c>
      <c r="N24" s="327">
        <v>203.73</v>
      </c>
      <c r="O24" s="327">
        <v>182.13900760000001</v>
      </c>
      <c r="P24" s="327">
        <v>215.7310028</v>
      </c>
      <c r="Q24" s="367">
        <v>221.91900634765599</v>
      </c>
      <c r="AF24" s="274"/>
      <c r="AG24" s="274"/>
      <c r="AH24" s="274"/>
      <c r="AI24" s="274"/>
      <c r="AJ24" s="274"/>
      <c r="AK24" s="274"/>
      <c r="AL24" s="274"/>
    </row>
    <row r="25" spans="1:38" ht="11.25" customHeight="1">
      <c r="A25" s="77"/>
      <c r="C25" s="546" t="s">
        <v>143</v>
      </c>
      <c r="D25" s="548">
        <v>42.945999149999999</v>
      </c>
      <c r="E25" s="548">
        <v>44.576999659999998</v>
      </c>
      <c r="F25" s="549">
        <f t="shared" si="1"/>
        <v>-3.6588386890998754E-2</v>
      </c>
      <c r="G25" s="137"/>
      <c r="H25" s="273"/>
      <c r="M25" s="326">
        <v>14</v>
      </c>
      <c r="N25" s="327">
        <v>203.73</v>
      </c>
      <c r="O25" s="327">
        <v>191.4750061</v>
      </c>
      <c r="P25" s="327">
        <v>219.1710052</v>
      </c>
      <c r="Q25" s="367">
        <v>223.19599909999999</v>
      </c>
      <c r="AF25" s="274"/>
      <c r="AG25" s="274"/>
      <c r="AH25" s="274"/>
      <c r="AI25" s="274"/>
      <c r="AJ25" s="274"/>
      <c r="AK25" s="274"/>
      <c r="AL25" s="274"/>
    </row>
    <row r="26" spans="1:38" ht="11.25" customHeight="1">
      <c r="A26" s="77"/>
      <c r="C26" s="542" t="s">
        <v>144</v>
      </c>
      <c r="D26" s="544">
        <v>67.331999999999994</v>
      </c>
      <c r="E26" s="544">
        <v>67.44</v>
      </c>
      <c r="F26" s="545">
        <f t="shared" si="1"/>
        <v>-1.6014234875445447E-3</v>
      </c>
      <c r="G26" s="137"/>
      <c r="H26" s="137"/>
      <c r="M26" s="326">
        <v>15</v>
      </c>
      <c r="N26" s="327">
        <v>203.73</v>
      </c>
      <c r="O26" s="327">
        <v>198.43899540000001</v>
      </c>
      <c r="P26" s="327">
        <v>220.17399599999999</v>
      </c>
      <c r="Q26" s="367">
        <v>225.0500031</v>
      </c>
      <c r="AF26" s="274"/>
      <c r="AG26" s="274"/>
      <c r="AH26" s="274"/>
      <c r="AI26" s="274"/>
      <c r="AJ26" s="274"/>
      <c r="AK26" s="274"/>
      <c r="AL26" s="274"/>
    </row>
    <row r="27" spans="1:38" ht="11.25" customHeight="1">
      <c r="A27" s="77"/>
      <c r="C27" s="546" t="s">
        <v>145</v>
      </c>
      <c r="D27" s="547">
        <v>163.27600100000001</v>
      </c>
      <c r="E27" s="548">
        <v>369.18200680000001</v>
      </c>
      <c r="F27" s="549">
        <f t="shared" si="1"/>
        <v>-0.55773575636785344</v>
      </c>
      <c r="G27" s="137"/>
      <c r="H27" s="137"/>
      <c r="M27" s="326">
        <v>16</v>
      </c>
      <c r="N27" s="327">
        <v>222.8</v>
      </c>
      <c r="O27" s="327">
        <v>201.52999879999999</v>
      </c>
      <c r="P27" s="327">
        <v>220.3150024</v>
      </c>
      <c r="Q27" s="367">
        <v>224.84800720000001</v>
      </c>
      <c r="AF27" s="274"/>
      <c r="AG27" s="274"/>
      <c r="AH27" s="274"/>
      <c r="AI27" s="274"/>
      <c r="AJ27" s="274"/>
      <c r="AK27" s="274"/>
      <c r="AL27" s="274"/>
    </row>
    <row r="28" spans="1:38" ht="26.25" customHeight="1">
      <c r="A28" s="77"/>
      <c r="C28" s="953" t="str">
        <f>"Cuadro N°9: Volumen útil de los principales embalses y lagunas del SEIN al término del periodo mensual ("&amp;'1. Resumen'!Q7&amp;" de "&amp;'1. Resumen'!Q4&amp;") "</f>
        <v xml:space="preserve">Cuadro N°9: Volumen útil de los principales embalses y lagunas del SEIN al término del periodo mensual (30 de junio) </v>
      </c>
      <c r="D28" s="953"/>
      <c r="E28" s="953"/>
      <c r="F28" s="953"/>
      <c r="G28" s="137"/>
      <c r="H28" s="137"/>
      <c r="M28" s="326">
        <v>17</v>
      </c>
      <c r="N28" s="327">
        <v>222.8</v>
      </c>
      <c r="O28" s="327">
        <v>206.03700259999999</v>
      </c>
      <c r="P28" s="327">
        <v>220.56</v>
      </c>
      <c r="Q28" s="367">
        <v>225.27900695800699</v>
      </c>
      <c r="AF28" s="274"/>
      <c r="AG28" s="274"/>
      <c r="AH28" s="274"/>
      <c r="AI28" s="274"/>
      <c r="AJ28" s="274"/>
      <c r="AK28" s="274"/>
      <c r="AL28" s="274"/>
    </row>
    <row r="29" spans="1:38" ht="12" customHeight="1">
      <c r="A29" s="75"/>
      <c r="G29" s="137"/>
      <c r="H29" s="137"/>
      <c r="I29" s="167"/>
      <c r="J29" s="328"/>
      <c r="M29" s="326">
        <v>18</v>
      </c>
      <c r="N29" s="327">
        <v>225.58</v>
      </c>
      <c r="O29" s="327">
        <v>213.67399599999999</v>
      </c>
      <c r="P29" s="327">
        <v>224.15199279999999</v>
      </c>
      <c r="Q29" s="730">
        <v>226.44200129999999</v>
      </c>
      <c r="AF29" s="274"/>
      <c r="AG29" s="274"/>
      <c r="AH29" s="274"/>
      <c r="AI29" s="274"/>
      <c r="AJ29" s="274"/>
      <c r="AK29" s="274"/>
      <c r="AL29" s="274"/>
    </row>
    <row r="30" spans="1:38" ht="11.25" customHeight="1">
      <c r="A30" s="75"/>
      <c r="B30" s="173"/>
      <c r="C30" s="173"/>
      <c r="D30" s="173"/>
      <c r="E30" s="173"/>
      <c r="F30" s="171"/>
      <c r="G30" s="137"/>
      <c r="H30" s="137"/>
      <c r="M30" s="326">
        <v>19</v>
      </c>
      <c r="N30" s="327">
        <v>225.58</v>
      </c>
      <c r="O30" s="327">
        <v>216.75700380000001</v>
      </c>
      <c r="P30" s="327">
        <v>224.378006</v>
      </c>
      <c r="Q30" s="730">
        <v>227.14199830000001</v>
      </c>
      <c r="AF30" s="274"/>
      <c r="AG30" s="274"/>
      <c r="AH30" s="274"/>
      <c r="AI30" s="274"/>
      <c r="AJ30" s="274"/>
      <c r="AK30" s="274"/>
      <c r="AL30" s="274"/>
    </row>
    <row r="31" spans="1:38" ht="11.25" customHeight="1">
      <c r="A31" s="75"/>
      <c r="B31" s="173"/>
      <c r="C31" s="173"/>
      <c r="D31" s="173"/>
      <c r="E31" s="173"/>
      <c r="F31" s="171"/>
      <c r="G31" s="171"/>
      <c r="H31" s="171"/>
      <c r="I31" s="167"/>
      <c r="J31" s="328"/>
      <c r="M31" s="326">
        <v>20</v>
      </c>
      <c r="N31" s="327">
        <v>226.61</v>
      </c>
      <c r="O31" s="327">
        <v>217.29400630000001</v>
      </c>
      <c r="P31" s="327">
        <v>224.60401920000001</v>
      </c>
      <c r="Q31" s="730">
        <v>227.625</v>
      </c>
      <c r="AF31" s="274"/>
      <c r="AG31" s="274"/>
      <c r="AH31" s="274"/>
      <c r="AI31" s="274"/>
      <c r="AJ31" s="274"/>
      <c r="AK31" s="274"/>
      <c r="AL31" s="274"/>
    </row>
    <row r="32" spans="1:38" ht="13.5" customHeight="1">
      <c r="A32" s="952" t="s">
        <v>440</v>
      </c>
      <c r="B32" s="952"/>
      <c r="C32" s="952"/>
      <c r="D32" s="952"/>
      <c r="E32" s="952"/>
      <c r="F32" s="952"/>
      <c r="G32" s="952"/>
      <c r="H32" s="952"/>
      <c r="I32" s="56"/>
      <c r="J32" s="328"/>
      <c r="M32" s="326">
        <v>21</v>
      </c>
      <c r="N32" s="327">
        <v>226.61</v>
      </c>
      <c r="O32" s="327">
        <v>218.3190002</v>
      </c>
      <c r="P32" s="327">
        <v>223.4909973</v>
      </c>
      <c r="Q32" s="730">
        <v>227.75800000000001</v>
      </c>
      <c r="AF32" s="274"/>
      <c r="AG32" s="274"/>
      <c r="AH32" s="274"/>
      <c r="AI32" s="274"/>
      <c r="AJ32" s="274"/>
      <c r="AK32" s="274"/>
      <c r="AL32" s="274"/>
    </row>
    <row r="33" spans="1:38" ht="11.25" customHeight="1">
      <c r="A33" s="75"/>
      <c r="B33" s="82"/>
      <c r="C33" s="82"/>
      <c r="D33" s="82"/>
      <c r="E33" s="82"/>
      <c r="F33" s="82"/>
      <c r="G33" s="82"/>
      <c r="H33" s="82"/>
      <c r="I33" s="56"/>
      <c r="J33" s="328"/>
      <c r="M33" s="326">
        <v>22</v>
      </c>
      <c r="N33" s="327">
        <v>227.42</v>
      </c>
      <c r="O33" s="327">
        <v>218.79899599999999</v>
      </c>
      <c r="P33" s="327">
        <v>222.62600710000001</v>
      </c>
      <c r="Q33" s="730">
        <v>226.41700739999999</v>
      </c>
      <c r="AF33" s="274"/>
      <c r="AG33" s="274"/>
      <c r="AH33" s="274"/>
      <c r="AI33" s="274"/>
      <c r="AJ33" s="274"/>
      <c r="AK33" s="274"/>
      <c r="AL33" s="274"/>
    </row>
    <row r="34" spans="1:38" ht="11.25" customHeight="1">
      <c r="A34" s="75"/>
      <c r="B34" s="82"/>
      <c r="C34" s="82"/>
      <c r="D34" s="82"/>
      <c r="E34" s="82"/>
      <c r="F34" s="82"/>
      <c r="G34" s="82"/>
      <c r="H34" s="82"/>
      <c r="I34" s="56"/>
      <c r="J34" s="328"/>
      <c r="M34" s="326">
        <v>23</v>
      </c>
      <c r="N34" s="327">
        <v>227.42</v>
      </c>
      <c r="O34" s="327">
        <v>217.8880005</v>
      </c>
      <c r="P34" s="327">
        <v>221.62399289999999</v>
      </c>
      <c r="Q34" s="730">
        <v>224.4589996</v>
      </c>
      <c r="AF34" s="274"/>
      <c r="AG34" s="274"/>
      <c r="AH34" s="274"/>
      <c r="AI34" s="274"/>
      <c r="AJ34" s="274"/>
      <c r="AK34" s="274"/>
      <c r="AL34" s="274"/>
    </row>
    <row r="35" spans="1:38" ht="11.25" customHeight="1">
      <c r="A35" s="75"/>
      <c r="B35" s="82"/>
      <c r="C35" s="82"/>
      <c r="D35" s="82"/>
      <c r="E35" s="82"/>
      <c r="F35" s="82"/>
      <c r="G35" s="82"/>
      <c r="H35" s="82"/>
      <c r="I35" s="168"/>
      <c r="J35" s="328"/>
      <c r="M35" s="326">
        <v>24</v>
      </c>
      <c r="N35" s="327">
        <v>227.45</v>
      </c>
      <c r="O35" s="327">
        <v>216.04899599999999</v>
      </c>
      <c r="P35" s="327">
        <v>218.3840027</v>
      </c>
      <c r="Q35" s="730">
        <v>220.634994506835</v>
      </c>
      <c r="AF35" s="274"/>
      <c r="AG35" s="274"/>
      <c r="AH35" s="274"/>
      <c r="AI35" s="274"/>
      <c r="AJ35" s="274"/>
      <c r="AK35" s="274"/>
      <c r="AL35" s="274"/>
    </row>
    <row r="36" spans="1:38" ht="11.25" customHeight="1">
      <c r="A36" s="75"/>
      <c r="B36" s="82"/>
      <c r="C36" s="82"/>
      <c r="D36" s="82"/>
      <c r="E36" s="82"/>
      <c r="F36" s="82"/>
      <c r="G36" s="82"/>
      <c r="H36" s="82"/>
      <c r="I36" s="56"/>
      <c r="J36" s="328"/>
      <c r="M36" s="326">
        <v>25</v>
      </c>
      <c r="N36" s="327">
        <v>227.45</v>
      </c>
      <c r="O36" s="327">
        <v>212.24600219999999</v>
      </c>
      <c r="P36" s="327">
        <v>215.08099369999999</v>
      </c>
      <c r="Q36" s="730">
        <v>218.28599550000001</v>
      </c>
      <c r="AF36" s="274"/>
      <c r="AG36" s="274"/>
      <c r="AH36" s="274"/>
      <c r="AI36" s="274"/>
      <c r="AJ36" s="274"/>
      <c r="AK36" s="274"/>
      <c r="AL36" s="274"/>
    </row>
    <row r="37" spans="1:38" ht="11.25" customHeight="1">
      <c r="A37" s="75"/>
      <c r="B37" s="82"/>
      <c r="C37" s="82"/>
      <c r="D37" s="82"/>
      <c r="E37" s="82"/>
      <c r="F37" s="82"/>
      <c r="G37" s="82"/>
      <c r="H37" s="82"/>
      <c r="I37" s="56"/>
      <c r="J37" s="329"/>
      <c r="M37" s="326">
        <v>26</v>
      </c>
      <c r="N37" s="327">
        <v>225.56</v>
      </c>
      <c r="O37" s="327">
        <v>210.22099299999999</v>
      </c>
      <c r="P37" s="327">
        <v>210.41900630000001</v>
      </c>
      <c r="Q37" s="730">
        <v>214.90499879999999</v>
      </c>
      <c r="AF37" s="274"/>
      <c r="AG37" s="274"/>
      <c r="AH37" s="274"/>
      <c r="AI37" s="274"/>
      <c r="AJ37" s="274"/>
      <c r="AK37" s="274"/>
      <c r="AL37" s="274"/>
    </row>
    <row r="38" spans="1:38" ht="11.25" customHeight="1">
      <c r="A38" s="75"/>
      <c r="B38" s="82"/>
      <c r="C38" s="82"/>
      <c r="D38" s="82"/>
      <c r="E38" s="82"/>
      <c r="F38" s="82"/>
      <c r="G38" s="82"/>
      <c r="H38" s="82"/>
      <c r="I38" s="56"/>
      <c r="J38" s="329"/>
      <c r="M38" s="326">
        <v>27</v>
      </c>
      <c r="N38" s="327">
        <v>225.56</v>
      </c>
      <c r="O38" s="327">
        <v>209.85200499999999</v>
      </c>
      <c r="P38" s="327">
        <v>204.23</v>
      </c>
      <c r="Q38" s="730"/>
      <c r="AF38" s="274"/>
      <c r="AG38" s="274"/>
      <c r="AH38" s="274"/>
      <c r="AI38" s="274"/>
      <c r="AJ38" s="274"/>
      <c r="AK38" s="274"/>
      <c r="AL38" s="274"/>
    </row>
    <row r="39" spans="1:38" ht="11.25" customHeight="1">
      <c r="A39" s="75"/>
      <c r="B39" s="82"/>
      <c r="C39" s="82"/>
      <c r="D39" s="82"/>
      <c r="E39" s="82"/>
      <c r="F39" s="82"/>
      <c r="G39" s="82"/>
      <c r="H39" s="82"/>
      <c r="I39" s="56"/>
      <c r="J39" s="330"/>
      <c r="M39" s="326">
        <v>28</v>
      </c>
      <c r="N39" s="327">
        <v>225.56</v>
      </c>
      <c r="O39" s="331">
        <v>203.92900090000001</v>
      </c>
      <c r="P39" s="331">
        <v>201.1309967</v>
      </c>
      <c r="Q39" s="730"/>
      <c r="AF39" s="274"/>
      <c r="AG39" s="274"/>
      <c r="AH39" s="274"/>
      <c r="AI39" s="274"/>
      <c r="AJ39" s="274"/>
      <c r="AK39" s="274"/>
      <c r="AL39" s="274"/>
    </row>
    <row r="40" spans="1:38" ht="11.25" customHeight="1">
      <c r="A40" s="75"/>
      <c r="B40" s="82"/>
      <c r="C40" s="82"/>
      <c r="D40" s="82"/>
      <c r="E40" s="82"/>
      <c r="F40" s="82"/>
      <c r="G40" s="82"/>
      <c r="H40" s="82"/>
      <c r="I40" s="56"/>
      <c r="J40" s="330"/>
      <c r="M40" s="326">
        <v>29</v>
      </c>
      <c r="N40" s="327">
        <v>222.04</v>
      </c>
      <c r="O40" s="327">
        <v>200.56300350000001</v>
      </c>
      <c r="P40" s="327">
        <v>196.16000366210901</v>
      </c>
      <c r="Q40" s="730"/>
      <c r="AF40" s="274"/>
      <c r="AG40" s="274"/>
      <c r="AH40" s="274"/>
      <c r="AI40" s="274"/>
      <c r="AJ40" s="274"/>
      <c r="AK40" s="274"/>
      <c r="AL40" s="274"/>
    </row>
    <row r="41" spans="1:38" ht="11.25" customHeight="1">
      <c r="A41" s="75"/>
      <c r="B41" s="82"/>
      <c r="C41" s="82"/>
      <c r="D41" s="82"/>
      <c r="E41" s="82"/>
      <c r="F41" s="82"/>
      <c r="G41" s="82"/>
      <c r="H41" s="82"/>
      <c r="I41" s="56"/>
      <c r="J41" s="330"/>
      <c r="M41" s="326">
        <v>30</v>
      </c>
      <c r="N41" s="327">
        <v>222.04</v>
      </c>
      <c r="O41" s="327">
        <v>194.94900509999999</v>
      </c>
      <c r="P41" s="327">
        <v>193.86</v>
      </c>
      <c r="Q41" s="730"/>
      <c r="AF41" s="274"/>
      <c r="AG41" s="274"/>
      <c r="AH41" s="274"/>
      <c r="AI41" s="274"/>
      <c r="AJ41" s="274"/>
      <c r="AK41" s="274"/>
      <c r="AL41" s="274"/>
    </row>
    <row r="42" spans="1:38" ht="11.25" customHeight="1">
      <c r="A42" s="75"/>
      <c r="B42" s="82"/>
      <c r="C42" s="82"/>
      <c r="D42" s="82"/>
      <c r="E42" s="82"/>
      <c r="F42" s="82"/>
      <c r="G42" s="82"/>
      <c r="H42" s="82"/>
      <c r="I42" s="168"/>
      <c r="J42" s="329"/>
      <c r="M42" s="326">
        <v>31</v>
      </c>
      <c r="N42" s="327">
        <v>213.13</v>
      </c>
      <c r="O42" s="327">
        <v>188.386</v>
      </c>
      <c r="P42" s="327">
        <v>186.24800110000001</v>
      </c>
      <c r="Q42" s="730"/>
      <c r="AF42" s="274"/>
      <c r="AG42" s="274"/>
      <c r="AH42" s="274"/>
      <c r="AI42" s="274"/>
      <c r="AJ42" s="274"/>
      <c r="AK42" s="274"/>
      <c r="AL42" s="274"/>
    </row>
    <row r="43" spans="1:38" ht="11.25" customHeight="1">
      <c r="A43" s="75"/>
      <c r="B43" s="82"/>
      <c r="C43" s="82"/>
      <c r="D43" s="82"/>
      <c r="E43" s="82"/>
      <c r="F43" s="82"/>
      <c r="G43" s="82"/>
      <c r="H43" s="82"/>
      <c r="I43" s="56"/>
      <c r="J43" s="329"/>
      <c r="M43" s="326">
        <v>32</v>
      </c>
      <c r="N43" s="327">
        <v>213.13</v>
      </c>
      <c r="O43" s="327">
        <v>184.72900390000001</v>
      </c>
      <c r="P43" s="327">
        <v>182.40899659999999</v>
      </c>
      <c r="AF43" s="274"/>
      <c r="AG43" s="274"/>
      <c r="AH43" s="274"/>
      <c r="AI43" s="274"/>
      <c r="AJ43" s="274"/>
      <c r="AK43" s="274"/>
      <c r="AL43" s="274"/>
    </row>
    <row r="44" spans="1:38" ht="11.25" customHeight="1">
      <c r="A44" s="75"/>
      <c r="B44" s="82"/>
      <c r="C44" s="82"/>
      <c r="D44" s="82"/>
      <c r="E44" s="82"/>
      <c r="F44" s="82"/>
      <c r="G44" s="82"/>
      <c r="H44" s="82"/>
      <c r="I44" s="56"/>
      <c r="J44" s="329"/>
      <c r="M44" s="326">
        <v>33</v>
      </c>
      <c r="N44" s="327">
        <v>205.97</v>
      </c>
      <c r="O44" s="327">
        <v>178.8809967</v>
      </c>
      <c r="P44" s="327">
        <v>178.6940002</v>
      </c>
      <c r="AF44" s="274"/>
      <c r="AG44" s="274"/>
      <c r="AH44" s="274"/>
      <c r="AI44" s="274"/>
      <c r="AJ44" s="274"/>
      <c r="AK44" s="274"/>
      <c r="AL44" s="274"/>
    </row>
    <row r="45" spans="1:38" ht="11.25" customHeight="1">
      <c r="A45" s="75"/>
      <c r="B45" s="82"/>
      <c r="C45" s="82"/>
      <c r="D45" s="82"/>
      <c r="E45" s="82"/>
      <c r="F45" s="82"/>
      <c r="G45" s="82"/>
      <c r="H45" s="82"/>
      <c r="I45" s="59"/>
      <c r="J45" s="332"/>
      <c r="M45" s="326">
        <v>34</v>
      </c>
      <c r="N45" s="327">
        <v>199.49</v>
      </c>
      <c r="O45" s="327">
        <v>176.98599239999999</v>
      </c>
      <c r="P45" s="327">
        <v>173.61300660000001</v>
      </c>
      <c r="AF45" s="274"/>
      <c r="AG45" s="274"/>
      <c r="AH45" s="274"/>
      <c r="AI45" s="274"/>
      <c r="AJ45" s="274"/>
      <c r="AK45" s="274"/>
      <c r="AL45" s="274"/>
    </row>
    <row r="46" spans="1:38" ht="11.25" customHeight="1">
      <c r="A46" s="75"/>
      <c r="B46" s="82"/>
      <c r="C46" s="82"/>
      <c r="D46" s="82"/>
      <c r="E46" s="82"/>
      <c r="F46" s="82"/>
      <c r="G46" s="82"/>
      <c r="H46" s="82"/>
      <c r="I46" s="59"/>
      <c r="J46" s="332"/>
      <c r="M46" s="326">
        <v>35</v>
      </c>
      <c r="N46" s="333">
        <v>193.4</v>
      </c>
      <c r="O46" s="327">
        <v>173.36999510000001</v>
      </c>
      <c r="P46" s="327">
        <v>170.0189972</v>
      </c>
      <c r="AF46" s="274"/>
      <c r="AG46" s="274"/>
      <c r="AH46" s="274"/>
      <c r="AI46" s="274"/>
      <c r="AJ46" s="274"/>
      <c r="AK46" s="274"/>
      <c r="AL46" s="274"/>
    </row>
    <row r="47" spans="1:38" ht="11.25" customHeight="1">
      <c r="A47" s="75"/>
      <c r="B47" s="82"/>
      <c r="C47" s="82"/>
      <c r="D47" s="82"/>
      <c r="E47" s="82"/>
      <c r="F47" s="82"/>
      <c r="G47" s="82"/>
      <c r="H47" s="82"/>
      <c r="I47" s="59"/>
      <c r="J47" s="332"/>
      <c r="M47" s="326">
        <v>36</v>
      </c>
      <c r="N47" s="333">
        <v>187.93</v>
      </c>
      <c r="O47" s="327">
        <v>167.63</v>
      </c>
      <c r="P47" s="327">
        <v>166.0690002</v>
      </c>
      <c r="AF47" s="274"/>
      <c r="AG47" s="274"/>
      <c r="AH47" s="274"/>
      <c r="AI47" s="274"/>
      <c r="AJ47" s="274"/>
      <c r="AK47" s="274"/>
      <c r="AL47" s="274"/>
    </row>
    <row r="48" spans="1:38" ht="11.25" customHeight="1">
      <c r="A48" s="75"/>
      <c r="B48" s="82"/>
      <c r="C48" s="82"/>
      <c r="D48" s="82"/>
      <c r="E48" s="82"/>
      <c r="F48" s="82"/>
      <c r="G48" s="82"/>
      <c r="H48" s="82"/>
      <c r="I48" s="59"/>
      <c r="J48" s="332"/>
      <c r="M48" s="326">
        <v>37</v>
      </c>
      <c r="N48" s="327">
        <v>182.85</v>
      </c>
      <c r="O48" s="327">
        <v>162.30700680000001</v>
      </c>
      <c r="P48" s="327">
        <v>159.17399599999999</v>
      </c>
      <c r="AF48" s="274"/>
      <c r="AG48" s="274"/>
      <c r="AH48" s="274"/>
      <c r="AI48" s="274"/>
      <c r="AJ48" s="274"/>
      <c r="AK48" s="274"/>
      <c r="AL48" s="274"/>
    </row>
    <row r="49" spans="1:38" ht="11.25" customHeight="1">
      <c r="A49" s="75"/>
      <c r="B49" s="82"/>
      <c r="C49" s="82"/>
      <c r="D49" s="82"/>
      <c r="E49" s="82"/>
      <c r="F49" s="82"/>
      <c r="G49" s="82"/>
      <c r="H49" s="82"/>
      <c r="I49" s="59"/>
      <c r="J49" s="332"/>
      <c r="M49" s="326">
        <v>38</v>
      </c>
      <c r="N49" s="327">
        <v>179.77</v>
      </c>
      <c r="O49" s="327">
        <v>159.02699279999999</v>
      </c>
      <c r="P49" s="327">
        <v>157.84</v>
      </c>
      <c r="AF49" s="274"/>
      <c r="AG49" s="274"/>
      <c r="AH49" s="274"/>
      <c r="AI49" s="274"/>
      <c r="AJ49" s="274"/>
      <c r="AK49" s="274"/>
      <c r="AL49" s="274"/>
    </row>
    <row r="50" spans="1:38" ht="12.75">
      <c r="A50" s="75"/>
      <c r="B50" s="82"/>
      <c r="C50" s="82"/>
      <c r="D50" s="82"/>
      <c r="E50" s="82"/>
      <c r="F50" s="82"/>
      <c r="G50" s="82"/>
      <c r="H50" s="82"/>
      <c r="I50" s="59"/>
      <c r="J50" s="332"/>
      <c r="M50" s="326">
        <v>39</v>
      </c>
      <c r="N50" s="327">
        <v>173.62</v>
      </c>
      <c r="O50" s="327">
        <v>153.61700440000001</v>
      </c>
      <c r="P50" s="327">
        <v>156.28199768066401</v>
      </c>
      <c r="AF50" s="274"/>
      <c r="AG50" s="274"/>
      <c r="AH50" s="274"/>
      <c r="AI50" s="274"/>
      <c r="AJ50" s="274"/>
      <c r="AK50" s="274"/>
      <c r="AL50" s="274"/>
    </row>
    <row r="51" spans="1:38" ht="10.5" customHeight="1">
      <c r="A51" s="75"/>
      <c r="B51" s="82"/>
      <c r="C51" s="82"/>
      <c r="D51" s="82"/>
      <c r="E51" s="82"/>
      <c r="F51" s="82"/>
      <c r="G51" s="82"/>
      <c r="H51" s="82"/>
      <c r="I51" s="59"/>
      <c r="J51" s="332"/>
      <c r="M51" s="326">
        <v>40</v>
      </c>
      <c r="N51" s="327">
        <v>163</v>
      </c>
      <c r="O51" s="327">
        <v>151.72999569999999</v>
      </c>
      <c r="P51" s="327">
        <v>148.3529968</v>
      </c>
      <c r="AF51" s="274"/>
      <c r="AG51" s="274"/>
      <c r="AH51" s="274"/>
      <c r="AI51" s="274"/>
      <c r="AJ51" s="274"/>
      <c r="AK51" s="274"/>
      <c r="AL51" s="274"/>
    </row>
    <row r="52" spans="1:38" ht="12.75">
      <c r="A52" s="75"/>
      <c r="B52" s="82"/>
      <c r="C52" s="82"/>
      <c r="D52" s="82"/>
      <c r="E52" s="82"/>
      <c r="F52" s="82"/>
      <c r="G52" s="82"/>
      <c r="H52" s="82"/>
      <c r="I52" s="59"/>
      <c r="J52" s="332"/>
      <c r="M52" s="326">
        <v>41</v>
      </c>
      <c r="N52" s="327">
        <v>156.5</v>
      </c>
      <c r="O52" s="327">
        <v>147.996002197265</v>
      </c>
      <c r="P52" s="327">
        <v>151.04400630000001</v>
      </c>
      <c r="AF52" s="274"/>
      <c r="AG52" s="274"/>
      <c r="AH52" s="274"/>
      <c r="AI52" s="274"/>
      <c r="AJ52" s="274"/>
      <c r="AK52" s="274"/>
      <c r="AL52" s="274"/>
    </row>
    <row r="53" spans="1:38" ht="12.75">
      <c r="A53" s="75"/>
      <c r="B53" s="82"/>
      <c r="C53" s="82"/>
      <c r="D53" s="82"/>
      <c r="E53" s="82"/>
      <c r="F53" s="82"/>
      <c r="G53" s="82"/>
      <c r="H53" s="82"/>
      <c r="I53" s="59"/>
      <c r="J53" s="332"/>
      <c r="M53" s="326">
        <v>42</v>
      </c>
      <c r="N53" s="327">
        <v>152.78</v>
      </c>
      <c r="O53" s="327">
        <v>144.53999328613199</v>
      </c>
      <c r="P53" s="327">
        <v>146.53</v>
      </c>
      <c r="AF53" s="274"/>
      <c r="AG53" s="274"/>
      <c r="AH53" s="274"/>
      <c r="AI53" s="274"/>
      <c r="AJ53" s="274"/>
      <c r="AK53" s="274"/>
      <c r="AL53" s="274"/>
    </row>
    <row r="54" spans="1:38" ht="12.75">
      <c r="A54" s="75"/>
      <c r="B54" s="82"/>
      <c r="C54" s="82"/>
      <c r="D54" s="82"/>
      <c r="E54" s="82"/>
      <c r="F54" s="82"/>
      <c r="G54" s="82"/>
      <c r="H54" s="82"/>
      <c r="I54" s="59"/>
      <c r="J54" s="332"/>
      <c r="M54" s="326">
        <v>43</v>
      </c>
      <c r="N54" s="327">
        <v>148.63</v>
      </c>
      <c r="O54" s="327">
        <v>143.72300720214801</v>
      </c>
      <c r="P54" s="327">
        <v>137.7400055</v>
      </c>
      <c r="AF54" s="274"/>
      <c r="AG54" s="274"/>
      <c r="AH54" s="274"/>
      <c r="AI54" s="274"/>
      <c r="AJ54" s="274"/>
      <c r="AK54" s="274"/>
      <c r="AL54" s="274"/>
    </row>
    <row r="55" spans="1:38" ht="12.75">
      <c r="A55" s="75"/>
      <c r="B55" s="82"/>
      <c r="C55" s="82"/>
      <c r="D55" s="82"/>
      <c r="E55" s="82"/>
      <c r="F55" s="82"/>
      <c r="G55" s="82"/>
      <c r="H55" s="82"/>
      <c r="I55" s="59"/>
      <c r="J55" s="332"/>
      <c r="M55" s="326">
        <v>44</v>
      </c>
      <c r="N55" s="327">
        <v>142.91</v>
      </c>
      <c r="O55" s="327">
        <v>142.33900449999999</v>
      </c>
      <c r="P55" s="327">
        <v>133.1380005</v>
      </c>
      <c r="AF55" s="274"/>
      <c r="AG55" s="274"/>
      <c r="AH55" s="274"/>
      <c r="AI55" s="274"/>
      <c r="AJ55" s="274"/>
      <c r="AK55" s="274"/>
      <c r="AL55" s="274"/>
    </row>
    <row r="56" spans="1:38" ht="12.75">
      <c r="A56" s="75"/>
      <c r="B56" s="82"/>
      <c r="C56" s="82"/>
      <c r="D56" s="82"/>
      <c r="E56" s="82"/>
      <c r="F56" s="82"/>
      <c r="G56" s="82"/>
      <c r="H56" s="82"/>
      <c r="I56" s="59"/>
      <c r="J56" s="332"/>
      <c r="M56" s="326">
        <v>45</v>
      </c>
      <c r="N56" s="327">
        <v>137.04</v>
      </c>
      <c r="O56" s="327">
        <v>143.13200380000001</v>
      </c>
      <c r="P56" s="327">
        <v>125.7330017</v>
      </c>
      <c r="AF56" s="274"/>
      <c r="AG56" s="274"/>
      <c r="AH56" s="274"/>
      <c r="AI56" s="274"/>
      <c r="AJ56" s="274"/>
      <c r="AK56" s="274"/>
      <c r="AL56" s="274"/>
    </row>
    <row r="57" spans="1:38" ht="12.75">
      <c r="A57" s="75"/>
      <c r="B57" s="82"/>
      <c r="C57" s="82"/>
      <c r="D57" s="82"/>
      <c r="E57" s="82"/>
      <c r="F57" s="82"/>
      <c r="G57" s="82"/>
      <c r="H57" s="82"/>
      <c r="M57" s="326">
        <v>46</v>
      </c>
      <c r="N57" s="327">
        <v>131.22999999999999</v>
      </c>
      <c r="O57" s="327">
        <v>141.37</v>
      </c>
      <c r="P57" s="327">
        <v>125.2030029</v>
      </c>
      <c r="AF57" s="274"/>
      <c r="AG57" s="274"/>
      <c r="AH57" s="274"/>
      <c r="AI57" s="274"/>
      <c r="AJ57" s="274"/>
      <c r="AK57" s="274"/>
      <c r="AL57" s="274"/>
    </row>
    <row r="58" spans="1:38" ht="12.75">
      <c r="A58" s="75"/>
      <c r="B58" s="82"/>
      <c r="C58" s="82"/>
      <c r="D58" s="82"/>
      <c r="E58" s="82"/>
      <c r="F58" s="82"/>
      <c r="G58" s="82"/>
      <c r="H58" s="82"/>
      <c r="M58" s="326">
        <v>47</v>
      </c>
      <c r="N58" s="327">
        <v>125.5</v>
      </c>
      <c r="O58" s="327">
        <v>140.33900449999999</v>
      </c>
      <c r="P58" s="327">
        <v>120.5130005</v>
      </c>
      <c r="AF58" s="274"/>
      <c r="AG58" s="274"/>
      <c r="AH58" s="274"/>
      <c r="AI58" s="274"/>
      <c r="AJ58" s="274"/>
      <c r="AK58" s="274"/>
      <c r="AL58" s="274"/>
    </row>
    <row r="59" spans="1:38" ht="12.75">
      <c r="A59" s="271" t="s">
        <v>476</v>
      </c>
      <c r="B59" s="82"/>
      <c r="C59" s="82"/>
      <c r="D59" s="82"/>
      <c r="E59" s="82"/>
      <c r="F59" s="82"/>
      <c r="G59" s="82"/>
      <c r="H59" s="82"/>
      <c r="M59" s="326">
        <v>48</v>
      </c>
      <c r="N59" s="327">
        <v>120.41</v>
      </c>
      <c r="O59" s="327">
        <v>137.8150024</v>
      </c>
      <c r="P59" s="327">
        <v>119.3089981</v>
      </c>
      <c r="AF59" s="274"/>
      <c r="AG59" s="274"/>
      <c r="AH59" s="274"/>
      <c r="AI59" s="274"/>
      <c r="AJ59" s="274"/>
      <c r="AK59" s="274"/>
      <c r="AL59" s="274"/>
    </row>
    <row r="60" spans="1:38" ht="12.75">
      <c r="A60" s="54"/>
      <c r="B60" s="82"/>
      <c r="C60" s="82"/>
      <c r="D60" s="82"/>
      <c r="E60" s="82"/>
      <c r="F60" s="82"/>
      <c r="G60" s="82"/>
      <c r="H60" s="82"/>
      <c r="M60" s="326">
        <v>49</v>
      </c>
      <c r="N60" s="327">
        <v>115.91300200000001</v>
      </c>
      <c r="O60" s="327">
        <v>129.0279999</v>
      </c>
      <c r="P60" s="327">
        <v>119.33200069999999</v>
      </c>
      <c r="AF60" s="274"/>
      <c r="AG60" s="274"/>
      <c r="AH60" s="274"/>
      <c r="AI60" s="274"/>
      <c r="AJ60" s="274"/>
      <c r="AK60" s="274"/>
      <c r="AL60" s="274"/>
    </row>
    <row r="61" spans="1:38">
      <c r="M61" s="326">
        <v>50</v>
      </c>
      <c r="N61" s="327">
        <v>110.0599976</v>
      </c>
      <c r="O61" s="327">
        <v>129.30000000000001</v>
      </c>
      <c r="P61" s="327">
        <v>135.91499329999999</v>
      </c>
      <c r="AD61" s="324"/>
      <c r="AE61" s="324"/>
      <c r="AF61" s="217"/>
      <c r="AG61" s="217"/>
      <c r="AH61" s="217"/>
      <c r="AI61" s="217"/>
      <c r="AJ61" s="217"/>
      <c r="AK61" s="217"/>
      <c r="AL61" s="217"/>
    </row>
    <row r="62" spans="1:38">
      <c r="M62" s="326">
        <v>51</v>
      </c>
      <c r="N62" s="327">
        <v>107.5970001</v>
      </c>
      <c r="O62" s="327">
        <v>129</v>
      </c>
      <c r="P62" s="327">
        <v>131.21000670000001</v>
      </c>
      <c r="AD62" s="324"/>
      <c r="AE62" s="324"/>
      <c r="AF62" s="217"/>
      <c r="AG62" s="217"/>
      <c r="AH62" s="217"/>
      <c r="AI62" s="217"/>
      <c r="AJ62" s="217"/>
      <c r="AK62" s="217"/>
      <c r="AL62" s="217"/>
    </row>
    <row r="63" spans="1:38">
      <c r="M63" s="326">
        <v>52</v>
      </c>
      <c r="N63" s="327">
        <v>104.4029999</v>
      </c>
      <c r="O63" s="327">
        <v>130.4810028</v>
      </c>
      <c r="P63" s="327">
        <v>139.86399840000001</v>
      </c>
      <c r="AD63" s="324"/>
      <c r="AE63" s="324"/>
      <c r="AF63" s="217"/>
      <c r="AG63" s="217"/>
      <c r="AH63" s="217"/>
      <c r="AI63" s="217"/>
      <c r="AJ63" s="217"/>
      <c r="AK63" s="217"/>
      <c r="AL63" s="217"/>
    </row>
    <row r="64" spans="1:38">
      <c r="M64" s="326">
        <v>53</v>
      </c>
      <c r="N64" s="327"/>
      <c r="O64" s="327"/>
      <c r="P64" s="781">
        <v>146.8090057</v>
      </c>
      <c r="AD64" s="324"/>
      <c r="AE64" s="324"/>
      <c r="AF64" s="217"/>
      <c r="AG64" s="217"/>
      <c r="AH64" s="217"/>
      <c r="AI64" s="217"/>
      <c r="AJ64" s="217"/>
      <c r="AK64" s="217"/>
      <c r="AL64" s="217"/>
    </row>
    <row r="65" spans="13:38">
      <c r="M65" s="324"/>
      <c r="N65" s="324"/>
      <c r="O65" s="324"/>
      <c r="P65" s="324"/>
      <c r="Q65" s="324"/>
      <c r="R65" s="324"/>
      <c r="S65" s="324"/>
      <c r="T65" s="324"/>
      <c r="AD65" s="324"/>
      <c r="AE65" s="324"/>
      <c r="AF65" s="217"/>
      <c r="AG65" s="217"/>
      <c r="AH65" s="217"/>
      <c r="AI65" s="217"/>
      <c r="AJ65" s="217"/>
      <c r="AK65" s="217"/>
      <c r="AL65" s="217"/>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N65" sqref="N65"/>
    </sheetView>
  </sheetViews>
  <sheetFormatPr defaultColWidth="9.33203125" defaultRowHeight="11.25"/>
  <cols>
    <col min="10" max="11" width="9.33203125" customWidth="1"/>
    <col min="14" max="28" width="9.33203125" style="428"/>
    <col min="29" max="31" width="9.33203125" style="418"/>
  </cols>
  <sheetData>
    <row r="1" spans="1:23" ht="11.25" customHeight="1"/>
    <row r="2" spans="1:23" ht="11.25" customHeight="1">
      <c r="A2" s="302"/>
      <c r="B2" s="309"/>
      <c r="C2" s="309"/>
      <c r="D2" s="309"/>
      <c r="E2" s="309"/>
      <c r="F2" s="309"/>
      <c r="G2" s="310"/>
      <c r="H2" s="310"/>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31" t="s">
        <v>260</v>
      </c>
      <c r="T4" s="432" t="s">
        <v>261</v>
      </c>
    </row>
    <row r="5" spans="1:23" ht="11.25" customHeight="1">
      <c r="A5" s="954"/>
      <c r="B5" s="954"/>
      <c r="C5" s="954"/>
      <c r="D5" s="954"/>
      <c r="E5" s="954"/>
      <c r="F5" s="954"/>
      <c r="G5" s="954"/>
      <c r="H5" s="954"/>
      <c r="I5" s="954"/>
      <c r="J5" s="12"/>
      <c r="K5" s="12"/>
      <c r="L5" s="8"/>
      <c r="O5" s="433">
        <v>2017</v>
      </c>
      <c r="P5" s="433">
        <v>2018</v>
      </c>
      <c r="Q5" s="433">
        <v>2019</v>
      </c>
      <c r="R5" s="433">
        <v>2020</v>
      </c>
      <c r="T5" s="433">
        <v>2017</v>
      </c>
      <c r="U5" s="433">
        <v>2018</v>
      </c>
      <c r="V5" s="433">
        <v>2019</v>
      </c>
      <c r="W5" s="433">
        <v>2020</v>
      </c>
    </row>
    <row r="6" spans="1:23" ht="11.25" customHeight="1">
      <c r="A6" s="17"/>
      <c r="B6" s="159"/>
      <c r="C6" s="68"/>
      <c r="D6" s="69"/>
      <c r="E6" s="69"/>
      <c r="F6" s="70"/>
      <c r="G6" s="66"/>
      <c r="H6" s="66"/>
      <c r="I6" s="71"/>
      <c r="J6" s="12"/>
      <c r="K6" s="12"/>
      <c r="L6" s="5"/>
      <c r="N6" s="434">
        <v>1</v>
      </c>
      <c r="O6" s="435">
        <v>27.559000019999999</v>
      </c>
      <c r="P6" s="435">
        <v>34.76</v>
      </c>
      <c r="Q6" s="436">
        <v>71.125</v>
      </c>
      <c r="R6" s="849">
        <v>133.42999267578099</v>
      </c>
      <c r="S6" s="434">
        <v>1</v>
      </c>
      <c r="T6" s="435">
        <v>122.19600180599998</v>
      </c>
      <c r="U6" s="435">
        <v>210.20000000000002</v>
      </c>
      <c r="V6" s="436">
        <v>190.20000426299998</v>
      </c>
      <c r="W6" s="849">
        <v>186.65300035476668</v>
      </c>
    </row>
    <row r="7" spans="1:23" ht="11.25" customHeight="1">
      <c r="A7" s="17"/>
      <c r="B7" s="955"/>
      <c r="C7" s="955"/>
      <c r="D7" s="160"/>
      <c r="E7" s="160"/>
      <c r="F7" s="70"/>
      <c r="G7" s="66"/>
      <c r="H7" s="66"/>
      <c r="I7" s="71"/>
      <c r="J7" s="3"/>
      <c r="K7" s="3"/>
      <c r="L7" s="15"/>
      <c r="N7" s="434">
        <v>2</v>
      </c>
      <c r="O7" s="435">
        <v>36.5890007</v>
      </c>
      <c r="P7" s="435">
        <v>47.749000549999998</v>
      </c>
      <c r="Q7" s="436">
        <v>79.228996280000004</v>
      </c>
      <c r="R7" s="849">
        <v>141.27299500000001</v>
      </c>
      <c r="S7" s="434">
        <v>2</v>
      </c>
      <c r="T7" s="435">
        <v>136.535000822</v>
      </c>
      <c r="U7" s="435">
        <v>216.70300435500002</v>
      </c>
      <c r="V7" s="436">
        <v>185.80498987600001</v>
      </c>
      <c r="W7" s="849">
        <v>194.494995117</v>
      </c>
    </row>
    <row r="8" spans="1:23" ht="11.25" customHeight="1">
      <c r="A8" s="17"/>
      <c r="B8" s="161"/>
      <c r="C8" s="39"/>
      <c r="D8" s="162"/>
      <c r="E8" s="162"/>
      <c r="F8" s="70"/>
      <c r="G8" s="66"/>
      <c r="H8" s="66"/>
      <c r="I8" s="71"/>
      <c r="J8" s="4"/>
      <c r="K8" s="4"/>
      <c r="L8" s="12"/>
      <c r="N8" s="434">
        <v>3</v>
      </c>
      <c r="O8" s="435">
        <v>63.17599869</v>
      </c>
      <c r="P8" s="435">
        <v>67.130996699999997</v>
      </c>
      <c r="Q8" s="436">
        <v>106.65</v>
      </c>
      <c r="R8" s="849">
        <v>151.56199649999999</v>
      </c>
      <c r="S8" s="434">
        <v>3</v>
      </c>
      <c r="T8" s="435">
        <v>170.80799961000002</v>
      </c>
      <c r="U8" s="435">
        <v>232.83600043999999</v>
      </c>
      <c r="V8" s="436">
        <v>190.06000000000003</v>
      </c>
      <c r="W8" s="849">
        <v>212.15300178999999</v>
      </c>
    </row>
    <row r="9" spans="1:23" ht="11.25" customHeight="1">
      <c r="A9" s="17"/>
      <c r="B9" s="161"/>
      <c r="C9" s="39"/>
      <c r="D9" s="162"/>
      <c r="E9" s="162"/>
      <c r="F9" s="70"/>
      <c r="G9" s="66"/>
      <c r="H9" s="66"/>
      <c r="I9" s="71"/>
      <c r="J9" s="3"/>
      <c r="K9" s="6"/>
      <c r="L9" s="15"/>
      <c r="N9" s="434">
        <v>4</v>
      </c>
      <c r="O9" s="435">
        <v>113.2139969</v>
      </c>
      <c r="P9" s="435">
        <v>93.789001459999994</v>
      </c>
      <c r="Q9" s="436">
        <v>140.34500120000001</v>
      </c>
      <c r="R9" s="849">
        <v>167.9100037</v>
      </c>
      <c r="S9" s="434">
        <v>4</v>
      </c>
      <c r="T9" s="435">
        <v>186.385000214</v>
      </c>
      <c r="U9" s="435">
        <v>271.78000545999998</v>
      </c>
      <c r="V9" s="436">
        <v>198.06799936900001</v>
      </c>
      <c r="W9" s="849">
        <v>213.71899984999999</v>
      </c>
    </row>
    <row r="10" spans="1:23" ht="11.25" customHeight="1">
      <c r="A10" s="17"/>
      <c r="B10" s="161"/>
      <c r="C10" s="39"/>
      <c r="D10" s="162"/>
      <c r="E10" s="162"/>
      <c r="F10" s="70"/>
      <c r="G10" s="66"/>
      <c r="H10" s="66"/>
      <c r="I10" s="71"/>
      <c r="J10" s="3"/>
      <c r="K10" s="3"/>
      <c r="L10" s="15"/>
      <c r="N10" s="434">
        <v>5</v>
      </c>
      <c r="O10" s="435">
        <v>156.8220062</v>
      </c>
      <c r="P10" s="435">
        <v>111.01599880000001</v>
      </c>
      <c r="Q10" s="436">
        <v>186.18299870000001</v>
      </c>
      <c r="R10" s="849">
        <v>209.06850435244098</v>
      </c>
      <c r="S10" s="434">
        <v>5</v>
      </c>
      <c r="T10" s="435">
        <v>204.80799868699998</v>
      </c>
      <c r="U10" s="435">
        <v>269.07999802</v>
      </c>
      <c r="V10" s="436">
        <v>217.55805158600003</v>
      </c>
      <c r="W10" s="849">
        <v>219.56099320000001</v>
      </c>
    </row>
    <row r="11" spans="1:23" ht="11.25" customHeight="1">
      <c r="A11" s="17"/>
      <c r="B11" s="162"/>
      <c r="C11" s="39"/>
      <c r="D11" s="162"/>
      <c r="E11" s="162"/>
      <c r="F11" s="70"/>
      <c r="G11" s="66"/>
      <c r="H11" s="66"/>
      <c r="I11" s="71"/>
      <c r="J11" s="3"/>
      <c r="K11" s="3"/>
      <c r="L11" s="15"/>
      <c r="N11" s="434">
        <v>6</v>
      </c>
      <c r="O11" s="435">
        <v>168.8840027</v>
      </c>
      <c r="P11" s="435">
        <v>126.6029968</v>
      </c>
      <c r="Q11" s="436">
        <v>222.22</v>
      </c>
      <c r="R11" s="849">
        <v>250.22700500488199</v>
      </c>
      <c r="S11" s="434">
        <v>6</v>
      </c>
      <c r="T11" s="435">
        <v>201.82999366799999</v>
      </c>
      <c r="U11" s="435">
        <v>273.52000047000001</v>
      </c>
      <c r="V11" s="436">
        <v>279.10000000000002</v>
      </c>
      <c r="W11" s="849">
        <v>285.12099838256813</v>
      </c>
    </row>
    <row r="12" spans="1:23" ht="11.25" customHeight="1">
      <c r="A12" s="17"/>
      <c r="B12" s="162"/>
      <c r="C12" s="39"/>
      <c r="D12" s="162"/>
      <c r="E12" s="162"/>
      <c r="F12" s="70"/>
      <c r="G12" s="66"/>
      <c r="H12" s="66"/>
      <c r="I12" s="71"/>
      <c r="J12" s="3"/>
      <c r="K12" s="3"/>
      <c r="L12" s="15"/>
      <c r="N12" s="434">
        <v>7</v>
      </c>
      <c r="O12" s="435">
        <v>196.28300479999999</v>
      </c>
      <c r="P12" s="435">
        <v>135.7250061</v>
      </c>
      <c r="Q12" s="436">
        <v>277.02099609999999</v>
      </c>
      <c r="R12" s="849">
        <v>274.18798829999997</v>
      </c>
      <c r="S12" s="434">
        <v>7</v>
      </c>
      <c r="T12" s="435">
        <v>199.59600258</v>
      </c>
      <c r="U12" s="435">
        <v>302.63299941999998</v>
      </c>
      <c r="V12" s="436">
        <v>338.21854399</v>
      </c>
      <c r="W12" s="849">
        <v>329.34199910000001</v>
      </c>
    </row>
    <row r="13" spans="1:23" ht="11.25" customHeight="1">
      <c r="A13" s="17"/>
      <c r="B13" s="162"/>
      <c r="C13" s="39"/>
      <c r="D13" s="162"/>
      <c r="E13" s="162"/>
      <c r="F13" s="70"/>
      <c r="G13" s="66"/>
      <c r="H13" s="66"/>
      <c r="I13" s="71"/>
      <c r="J13" s="4"/>
      <c r="K13" s="4"/>
      <c r="L13" s="12"/>
      <c r="N13" s="434">
        <v>8</v>
      </c>
      <c r="O13" s="435">
        <v>230.18899540000001</v>
      </c>
      <c r="P13" s="435">
        <v>159.2149963</v>
      </c>
      <c r="Q13" s="436">
        <v>293.06698610000001</v>
      </c>
      <c r="R13" s="849">
        <v>291.3330078125</v>
      </c>
      <c r="S13" s="434">
        <v>8</v>
      </c>
      <c r="T13" s="435">
        <v>214.34299659800001</v>
      </c>
      <c r="U13" s="435">
        <v>328.23703</v>
      </c>
      <c r="V13" s="436">
        <v>388.64800643000001</v>
      </c>
      <c r="W13" s="849">
        <v>352.60932731628355</v>
      </c>
    </row>
    <row r="14" spans="1:23" ht="11.25" customHeight="1">
      <c r="A14" s="17"/>
      <c r="B14" s="162"/>
      <c r="C14" s="39"/>
      <c r="D14" s="162"/>
      <c r="E14" s="162"/>
      <c r="F14" s="70"/>
      <c r="G14" s="66"/>
      <c r="H14" s="66"/>
      <c r="I14" s="71"/>
      <c r="J14" s="3"/>
      <c r="K14" s="6"/>
      <c r="L14" s="15"/>
      <c r="N14" s="434">
        <v>9</v>
      </c>
      <c r="O14" s="435">
        <v>249.13000489999999</v>
      </c>
      <c r="P14" s="435">
        <v>186.18299870000001</v>
      </c>
      <c r="Q14" s="436">
        <v>294.29501340000002</v>
      </c>
      <c r="R14" s="849">
        <v>281.57400510000002</v>
      </c>
      <c r="S14" s="434">
        <v>9</v>
      </c>
      <c r="T14" s="435">
        <v>250.89400288000002</v>
      </c>
      <c r="U14" s="435">
        <v>343.54049999999995</v>
      </c>
      <c r="V14" s="436">
        <v>377.13099283000003</v>
      </c>
      <c r="W14" s="849">
        <v>377.95000650999998</v>
      </c>
    </row>
    <row r="15" spans="1:23" ht="11.25" customHeight="1">
      <c r="A15" s="17"/>
      <c r="B15" s="162"/>
      <c r="C15" s="39"/>
      <c r="D15" s="162"/>
      <c r="E15" s="162"/>
      <c r="F15" s="70"/>
      <c r="G15" s="66"/>
      <c r="H15" s="66"/>
      <c r="I15" s="71"/>
      <c r="J15" s="3"/>
      <c r="K15" s="6"/>
      <c r="L15" s="15"/>
      <c r="N15" s="434">
        <v>10</v>
      </c>
      <c r="O15" s="435">
        <v>311.77999999999997</v>
      </c>
      <c r="P15" s="435">
        <v>203.96099849999999</v>
      </c>
      <c r="Q15" s="436">
        <v>291.91101070000002</v>
      </c>
      <c r="R15" s="849">
        <v>277.58898929999998</v>
      </c>
      <c r="S15" s="434">
        <v>10</v>
      </c>
      <c r="T15" s="435">
        <v>298.99899296000001</v>
      </c>
      <c r="U15" s="435">
        <v>371.29100467000001</v>
      </c>
      <c r="V15" s="436">
        <v>385.62499995999997</v>
      </c>
      <c r="W15" s="849">
        <v>383.25900259000002</v>
      </c>
    </row>
    <row r="16" spans="1:23" ht="11.25" customHeight="1">
      <c r="A16" s="17"/>
      <c r="B16" s="162"/>
      <c r="C16" s="39"/>
      <c r="D16" s="162"/>
      <c r="E16" s="162"/>
      <c r="F16" s="70"/>
      <c r="G16" s="66"/>
      <c r="H16" s="66"/>
      <c r="I16" s="71"/>
      <c r="J16" s="3"/>
      <c r="K16" s="6"/>
      <c r="L16" s="15"/>
      <c r="N16" s="434">
        <v>11</v>
      </c>
      <c r="O16" s="435">
        <v>332.70800000000003</v>
      </c>
      <c r="P16" s="435">
        <v>230.18899540000001</v>
      </c>
      <c r="Q16" s="436">
        <v>301.204986572265</v>
      </c>
      <c r="R16" s="850">
        <v>288.4509888</v>
      </c>
      <c r="S16" s="434">
        <v>11</v>
      </c>
      <c r="T16" s="435">
        <v>321.03300188000003</v>
      </c>
      <c r="U16" s="435">
        <v>390.38299555999998</v>
      </c>
      <c r="V16" s="436">
        <v>389.38100242614604</v>
      </c>
      <c r="W16" s="849">
        <v>394.92200288000009</v>
      </c>
    </row>
    <row r="17" spans="1:23" ht="11.25" customHeight="1">
      <c r="A17" s="17"/>
      <c r="B17" s="162"/>
      <c r="C17" s="39"/>
      <c r="D17" s="162"/>
      <c r="E17" s="162"/>
      <c r="F17" s="70"/>
      <c r="G17" s="66"/>
      <c r="H17" s="66"/>
      <c r="I17" s="71"/>
      <c r="J17" s="3"/>
      <c r="K17" s="6"/>
      <c r="L17" s="15"/>
      <c r="N17" s="434">
        <v>12</v>
      </c>
      <c r="O17" s="435">
        <v>344.881012</v>
      </c>
      <c r="P17" s="435">
        <v>282.71701050000001</v>
      </c>
      <c r="Q17" s="436">
        <v>310.0090027</v>
      </c>
      <c r="R17" s="850">
        <v>295.38400268554602</v>
      </c>
      <c r="S17" s="434">
        <v>12</v>
      </c>
      <c r="T17" s="435">
        <v>332.34900279999999</v>
      </c>
      <c r="U17" s="435">
        <v>412.41217171999995</v>
      </c>
      <c r="V17" s="436">
        <v>386.27799791999996</v>
      </c>
      <c r="W17" s="849">
        <v>390.290998458861</v>
      </c>
    </row>
    <row r="18" spans="1:23" ht="11.25" customHeight="1">
      <c r="A18" s="17"/>
      <c r="B18" s="162"/>
      <c r="C18" s="39"/>
      <c r="D18" s="162"/>
      <c r="E18" s="162"/>
      <c r="F18" s="70"/>
      <c r="G18" s="66"/>
      <c r="H18" s="66"/>
      <c r="I18" s="71"/>
      <c r="J18" s="3"/>
      <c r="K18" s="6"/>
      <c r="L18" s="15"/>
      <c r="N18" s="434">
        <v>13</v>
      </c>
      <c r="O18" s="435">
        <v>338.77499390000003</v>
      </c>
      <c r="P18" s="435">
        <v>329.68899540000001</v>
      </c>
      <c r="Q18" s="436">
        <v>333.91799930000002</v>
      </c>
      <c r="R18" s="850">
        <v>303.54400634765602</v>
      </c>
      <c r="S18" s="434">
        <v>13</v>
      </c>
      <c r="T18" s="435">
        <v>366.02899361000004</v>
      </c>
      <c r="U18" s="435">
        <v>410.83199501000001</v>
      </c>
      <c r="V18" s="436">
        <v>388.98099517000003</v>
      </c>
      <c r="W18" s="849">
        <v>402.17499160766499</v>
      </c>
    </row>
    <row r="19" spans="1:23" ht="11.25" customHeight="1">
      <c r="A19" s="17"/>
      <c r="B19" s="162"/>
      <c r="C19" s="39"/>
      <c r="D19" s="162"/>
      <c r="E19" s="162"/>
      <c r="F19" s="70"/>
      <c r="G19" s="66"/>
      <c r="H19" s="66"/>
      <c r="I19" s="71"/>
      <c r="J19" s="3"/>
      <c r="K19" s="6"/>
      <c r="L19" s="15"/>
      <c r="N19" s="434">
        <v>14</v>
      </c>
      <c r="O19" s="435">
        <v>338.77999390000002</v>
      </c>
      <c r="P19" s="435">
        <v>329.68899540000001</v>
      </c>
      <c r="Q19" s="436">
        <v>335.73699950000002</v>
      </c>
      <c r="R19" s="437">
        <v>296.54501340000002</v>
      </c>
      <c r="S19" s="434">
        <v>14</v>
      </c>
      <c r="T19" s="435">
        <v>382.58400344</v>
      </c>
      <c r="U19" s="435">
        <v>403.70400233999999</v>
      </c>
      <c r="V19" s="436">
        <v>393.36499596000004</v>
      </c>
      <c r="W19" s="428">
        <v>398.93495940999998</v>
      </c>
    </row>
    <row r="20" spans="1:23" ht="11.25" customHeight="1">
      <c r="A20" s="17"/>
      <c r="B20" s="162"/>
      <c r="C20" s="39"/>
      <c r="D20" s="162"/>
      <c r="E20" s="162"/>
      <c r="F20" s="70"/>
      <c r="G20" s="66"/>
      <c r="H20" s="66"/>
      <c r="I20" s="71"/>
      <c r="J20" s="3"/>
      <c r="K20" s="6"/>
      <c r="L20" s="15"/>
      <c r="N20" s="434">
        <v>15</v>
      </c>
      <c r="O20" s="435">
        <v>347.94900510000002</v>
      </c>
      <c r="P20" s="435">
        <v>326.67999270000001</v>
      </c>
      <c r="Q20" s="436">
        <v>335.73699950000002</v>
      </c>
      <c r="R20" s="437">
        <v>289.60299680000003</v>
      </c>
      <c r="S20" s="434">
        <v>15</v>
      </c>
      <c r="T20" s="435">
        <v>385.29699126999998</v>
      </c>
      <c r="U20" s="435">
        <v>399.27400204999998</v>
      </c>
      <c r="V20" s="436">
        <v>385.77799804</v>
      </c>
      <c r="W20" s="428">
        <v>388.01895332999999</v>
      </c>
    </row>
    <row r="21" spans="1:23" ht="11.25" customHeight="1">
      <c r="A21" s="17"/>
      <c r="B21" s="162"/>
      <c r="C21" s="39"/>
      <c r="D21" s="162"/>
      <c r="E21" s="162"/>
      <c r="F21" s="70"/>
      <c r="G21" s="66"/>
      <c r="H21" s="66"/>
      <c r="I21" s="71"/>
      <c r="J21" s="3"/>
      <c r="K21" s="7"/>
      <c r="L21" s="16"/>
      <c r="N21" s="434">
        <v>16</v>
      </c>
      <c r="O21" s="435">
        <v>354.11401369999999</v>
      </c>
      <c r="P21" s="435">
        <v>314.7409973</v>
      </c>
      <c r="Q21" s="436">
        <v>335.73699950000002</v>
      </c>
      <c r="R21" s="437">
        <v>285.006012</v>
      </c>
      <c r="S21" s="434">
        <v>16</v>
      </c>
      <c r="T21" s="435">
        <v>384.95899003</v>
      </c>
      <c r="U21" s="435">
        <v>394.58499913000003</v>
      </c>
      <c r="V21" s="436">
        <v>385.72399323999997</v>
      </c>
      <c r="W21" s="428">
        <v>383.39695458999995</v>
      </c>
    </row>
    <row r="22" spans="1:23" ht="11.25" customHeight="1">
      <c r="A22" s="77"/>
      <c r="B22" s="162"/>
      <c r="C22" s="39"/>
      <c r="D22" s="162"/>
      <c r="E22" s="162"/>
      <c r="F22" s="70"/>
      <c r="G22" s="66"/>
      <c r="H22" s="66"/>
      <c r="I22" s="71"/>
      <c r="J22" s="3"/>
      <c r="K22" s="6"/>
      <c r="L22" s="15"/>
      <c r="N22" s="434">
        <v>17</v>
      </c>
      <c r="O22" s="435">
        <v>351.02700809999999</v>
      </c>
      <c r="P22" s="435">
        <v>305.89001459999997</v>
      </c>
      <c r="Q22" s="436">
        <v>335.73699950000002</v>
      </c>
      <c r="R22" s="437">
        <v>285.00601196289</v>
      </c>
      <c r="S22" s="434">
        <v>17</v>
      </c>
      <c r="T22" s="435">
        <v>381.86699488000005</v>
      </c>
      <c r="U22" s="435">
        <v>392.29800030000007</v>
      </c>
      <c r="V22" s="436">
        <v>388.74200823000001</v>
      </c>
      <c r="W22" s="428">
        <v>381.56399345397853</v>
      </c>
    </row>
    <row r="23" spans="1:23" ht="11.25" customHeight="1">
      <c r="A23" s="77"/>
      <c r="B23" s="162"/>
      <c r="C23" s="39"/>
      <c r="D23" s="162"/>
      <c r="E23" s="162"/>
      <c r="F23" s="70"/>
      <c r="G23" s="66"/>
      <c r="H23" s="66"/>
      <c r="I23" s="71"/>
      <c r="J23" s="3"/>
      <c r="K23" s="6"/>
      <c r="L23" s="15"/>
      <c r="N23" s="434">
        <v>18</v>
      </c>
      <c r="O23" s="435">
        <v>354.11401369999999</v>
      </c>
      <c r="P23" s="435">
        <v>314.7409973</v>
      </c>
      <c r="Q23" s="436">
        <v>335.73699950000002</v>
      </c>
      <c r="R23" s="437">
        <v>285.006012</v>
      </c>
      <c r="S23" s="434">
        <v>18</v>
      </c>
      <c r="T23" s="435">
        <v>382.77999115</v>
      </c>
      <c r="U23" s="435">
        <v>390.15600400999995</v>
      </c>
      <c r="V23" s="436">
        <v>386.49800113000003</v>
      </c>
      <c r="W23" s="428">
        <v>379.87400246999994</v>
      </c>
    </row>
    <row r="24" spans="1:23" ht="11.25" customHeight="1">
      <c r="A24" s="77"/>
      <c r="B24" s="162"/>
      <c r="C24" s="39"/>
      <c r="D24" s="162"/>
      <c r="E24" s="162"/>
      <c r="F24" s="70"/>
      <c r="G24" s="66"/>
      <c r="H24" s="66"/>
      <c r="I24" s="71"/>
      <c r="J24" s="6"/>
      <c r="K24" s="6"/>
      <c r="L24" s="15"/>
      <c r="N24" s="434">
        <v>19</v>
      </c>
      <c r="O24" s="435">
        <v>363.43499759999997</v>
      </c>
      <c r="P24" s="435">
        <v>314.7409973</v>
      </c>
      <c r="Q24" s="436">
        <v>314.7409973</v>
      </c>
      <c r="R24" s="437">
        <v>314.7409973</v>
      </c>
      <c r="S24" s="434">
        <v>19</v>
      </c>
      <c r="T24" s="435">
        <v>381.91700169999996</v>
      </c>
      <c r="U24" s="435">
        <v>386.47099490999994</v>
      </c>
      <c r="V24" s="436">
        <v>384.38200000000001</v>
      </c>
      <c r="W24" s="428">
        <v>375.69400404000004</v>
      </c>
    </row>
    <row r="25" spans="1:23" ht="11.25" customHeight="1">
      <c r="A25" s="272" t="s">
        <v>474</v>
      </c>
      <c r="B25" s="162"/>
      <c r="C25" s="39"/>
      <c r="D25" s="162"/>
      <c r="E25" s="162"/>
      <c r="F25" s="70"/>
      <c r="G25" s="66"/>
      <c r="H25" s="66"/>
      <c r="I25" s="71"/>
      <c r="J25" s="3"/>
      <c r="K25" s="7"/>
      <c r="L25" s="16"/>
      <c r="N25" s="731">
        <v>20</v>
      </c>
      <c r="O25" s="732">
        <v>366.56100459999999</v>
      </c>
      <c r="P25" s="732">
        <v>314.7409973</v>
      </c>
      <c r="Q25" s="733">
        <v>315.3340149</v>
      </c>
      <c r="R25" s="734">
        <v>314.14801030000001</v>
      </c>
      <c r="S25" s="434">
        <v>20</v>
      </c>
      <c r="T25" s="435">
        <v>379.35699083999998</v>
      </c>
      <c r="U25" s="435">
        <v>382.00799562999993</v>
      </c>
      <c r="V25" s="436">
        <v>381.56399727000002</v>
      </c>
      <c r="W25" s="736">
        <v>370.56599616999995</v>
      </c>
    </row>
    <row r="26" spans="1:23" ht="11.25" customHeight="1">
      <c r="A26" s="54"/>
      <c r="B26" s="162"/>
      <c r="C26" s="39"/>
      <c r="D26" s="162"/>
      <c r="E26" s="162"/>
      <c r="F26" s="70"/>
      <c r="G26" s="66"/>
      <c r="H26" s="66"/>
      <c r="I26" s="71"/>
      <c r="J26" s="4"/>
      <c r="K26" s="6"/>
      <c r="L26" s="15"/>
      <c r="N26" s="434">
        <v>21</v>
      </c>
      <c r="O26" s="435">
        <v>357.21099850000002</v>
      </c>
      <c r="P26" s="435">
        <v>314.7409973</v>
      </c>
      <c r="Q26" s="436">
        <v>311.78100590000003</v>
      </c>
      <c r="R26" s="735">
        <v>312.37200927734301</v>
      </c>
      <c r="S26" s="434">
        <v>21</v>
      </c>
      <c r="T26" s="435">
        <v>375.59600258</v>
      </c>
      <c r="U26" s="435">
        <v>378.52099610999994</v>
      </c>
      <c r="V26" s="436">
        <v>376.47088237999998</v>
      </c>
      <c r="W26" s="428">
        <v>365.52200794219863</v>
      </c>
    </row>
    <row r="27" spans="1:23" ht="11.25" customHeight="1">
      <c r="A27" s="77"/>
      <c r="B27" s="162"/>
      <c r="C27" s="39"/>
      <c r="D27" s="162"/>
      <c r="E27" s="162"/>
      <c r="F27" s="73"/>
      <c r="G27" s="73"/>
      <c r="H27" s="73"/>
      <c r="I27" s="73"/>
      <c r="J27" s="4"/>
      <c r="K27" s="6"/>
      <c r="L27" s="15"/>
      <c r="N27" s="434">
        <v>22</v>
      </c>
      <c r="O27" s="435">
        <v>341.82</v>
      </c>
      <c r="P27" s="435">
        <v>311.78100590000003</v>
      </c>
      <c r="Q27" s="436">
        <v>310.60000609999997</v>
      </c>
      <c r="R27" s="735">
        <v>310.60000609999997</v>
      </c>
      <c r="S27" s="434">
        <v>22</v>
      </c>
      <c r="T27" s="435">
        <v>373.52000000000004</v>
      </c>
      <c r="U27" s="435">
        <v>375.20999716</v>
      </c>
      <c r="V27" s="436">
        <v>370.73099807</v>
      </c>
      <c r="W27" s="428">
        <v>359.19900507300002</v>
      </c>
    </row>
    <row r="28" spans="1:23" ht="11.25" customHeight="1">
      <c r="A28" s="77"/>
      <c r="B28" s="162"/>
      <c r="C28" s="39"/>
      <c r="D28" s="162"/>
      <c r="E28" s="162"/>
      <c r="F28" s="73"/>
      <c r="G28" s="73"/>
      <c r="H28" s="73"/>
      <c r="I28" s="73"/>
      <c r="J28" s="4"/>
      <c r="K28" s="6"/>
      <c r="L28" s="15"/>
      <c r="N28" s="434">
        <v>23</v>
      </c>
      <c r="O28" s="435">
        <v>326.67999270000001</v>
      </c>
      <c r="P28" s="435">
        <v>308.82998659999998</v>
      </c>
      <c r="Q28" s="436">
        <v>307.06500240000003</v>
      </c>
      <c r="R28" s="735">
        <v>307.06500240000003</v>
      </c>
      <c r="S28" s="434">
        <v>23</v>
      </c>
      <c r="T28" s="435">
        <v>369.22100255000004</v>
      </c>
      <c r="U28" s="435">
        <v>374.07600211999994</v>
      </c>
      <c r="V28" s="436">
        <v>363.24299430999997</v>
      </c>
      <c r="W28" s="428">
        <v>354.24799921000005</v>
      </c>
    </row>
    <row r="29" spans="1:23" ht="11.25" customHeight="1">
      <c r="A29" s="77"/>
      <c r="B29" s="162"/>
      <c r="C29" s="39"/>
      <c r="D29" s="162"/>
      <c r="E29" s="162"/>
      <c r="F29" s="73"/>
      <c r="G29" s="73"/>
      <c r="H29" s="73"/>
      <c r="I29" s="73"/>
      <c r="J29" s="4"/>
      <c r="K29" s="6"/>
      <c r="L29" s="15"/>
      <c r="N29" s="434">
        <v>24</v>
      </c>
      <c r="O29" s="435">
        <v>308.82998659999998</v>
      </c>
      <c r="P29" s="435">
        <v>300.0379944</v>
      </c>
      <c r="Q29" s="436">
        <v>302.9590149</v>
      </c>
      <c r="R29" s="735">
        <v>300.621002197265</v>
      </c>
      <c r="S29" s="434">
        <v>24</v>
      </c>
      <c r="T29" s="435">
        <v>364.44200138999997</v>
      </c>
      <c r="U29" s="435">
        <v>370.89200402</v>
      </c>
      <c r="V29" s="436">
        <v>357.21200376000002</v>
      </c>
      <c r="W29" s="428">
        <v>348.87000203132561</v>
      </c>
    </row>
    <row r="30" spans="1:23" ht="11.25" customHeight="1">
      <c r="A30" s="74"/>
      <c r="B30" s="73"/>
      <c r="C30" s="73"/>
      <c r="D30" s="73"/>
      <c r="E30" s="73"/>
      <c r="F30" s="73"/>
      <c r="G30" s="73"/>
      <c r="H30" s="73"/>
      <c r="I30" s="73"/>
      <c r="J30" s="3"/>
      <c r="K30" s="6"/>
      <c r="L30" s="15"/>
      <c r="N30" s="434">
        <v>25</v>
      </c>
      <c r="O30" s="435">
        <v>291.33300780000002</v>
      </c>
      <c r="P30" s="435">
        <v>294.22500609999997</v>
      </c>
      <c r="Q30" s="436">
        <v>300.0379944</v>
      </c>
      <c r="R30" s="735">
        <v>286.72698969999999</v>
      </c>
      <c r="S30" s="434">
        <v>25</v>
      </c>
      <c r="T30" s="435">
        <v>359.61999897999999</v>
      </c>
      <c r="U30" s="435">
        <v>366.71700096999996</v>
      </c>
      <c r="V30" s="436">
        <v>352.1909981</v>
      </c>
      <c r="W30" s="428">
        <v>343.83099551700002</v>
      </c>
    </row>
    <row r="31" spans="1:23" ht="11.25" customHeight="1">
      <c r="A31" s="74"/>
      <c r="B31" s="73"/>
      <c r="C31" s="73"/>
      <c r="D31" s="73"/>
      <c r="E31" s="73"/>
      <c r="F31" s="73"/>
      <c r="G31" s="73"/>
      <c r="H31" s="73"/>
      <c r="I31" s="73"/>
      <c r="J31" s="3"/>
      <c r="K31" s="6"/>
      <c r="L31" s="15"/>
      <c r="N31" s="434">
        <v>26</v>
      </c>
      <c r="O31" s="435">
        <v>268.55099489999998</v>
      </c>
      <c r="P31" s="435">
        <v>282.71701050000001</v>
      </c>
      <c r="Q31" s="436">
        <v>296.06698610000001</v>
      </c>
      <c r="R31" s="735">
        <v>266.86801150000002</v>
      </c>
      <c r="S31" s="434">
        <v>26</v>
      </c>
      <c r="T31" s="435">
        <v>354.77499773999995</v>
      </c>
      <c r="U31" s="435">
        <v>361.43599508999995</v>
      </c>
      <c r="V31" s="436">
        <v>346.62612917400003</v>
      </c>
      <c r="W31" s="428">
        <v>338.47100355099997</v>
      </c>
    </row>
    <row r="32" spans="1:23" ht="11.25" customHeight="1">
      <c r="A32" s="74"/>
      <c r="B32" s="73"/>
      <c r="C32" s="73"/>
      <c r="D32" s="73"/>
      <c r="E32" s="73"/>
      <c r="F32" s="73"/>
      <c r="G32" s="73"/>
      <c r="H32" s="73"/>
      <c r="I32" s="73"/>
      <c r="J32" s="3"/>
      <c r="K32" s="6"/>
      <c r="L32" s="15"/>
      <c r="N32" s="434">
        <v>27</v>
      </c>
      <c r="O32" s="435">
        <v>265.7470093</v>
      </c>
      <c r="P32" s="435">
        <v>271.36</v>
      </c>
      <c r="Q32" s="436">
        <v>275.89</v>
      </c>
      <c r="R32" s="735"/>
      <c r="S32" s="434">
        <v>27</v>
      </c>
      <c r="T32" s="435">
        <v>349.77999684000002</v>
      </c>
      <c r="U32" s="435">
        <v>355.34</v>
      </c>
      <c r="V32" s="436">
        <v>341.25900444999996</v>
      </c>
    </row>
    <row r="33" spans="1:22" ht="11.25" customHeight="1">
      <c r="A33" s="74"/>
      <c r="B33" s="73"/>
      <c r="C33" s="73"/>
      <c r="D33" s="73"/>
      <c r="E33" s="73"/>
      <c r="F33" s="73"/>
      <c r="G33" s="73"/>
      <c r="H33" s="73"/>
      <c r="I33" s="73"/>
      <c r="J33" s="3"/>
      <c r="K33" s="6"/>
      <c r="L33" s="15"/>
      <c r="N33" s="434">
        <v>28</v>
      </c>
      <c r="O33" s="435">
        <v>243.66999820000001</v>
      </c>
      <c r="P33" s="438">
        <v>260.16900629999998</v>
      </c>
      <c r="Q33" s="436">
        <v>248.58200070000001</v>
      </c>
      <c r="R33" s="735"/>
      <c r="S33" s="434">
        <v>28</v>
      </c>
      <c r="T33" s="435">
        <v>344.32400322999996</v>
      </c>
      <c r="U33" s="435">
        <v>349.01599981000004</v>
      </c>
      <c r="V33" s="436">
        <v>337.18899436699996</v>
      </c>
    </row>
    <row r="34" spans="1:22" ht="11.25" customHeight="1">
      <c r="A34" s="74"/>
      <c r="B34" s="73"/>
      <c r="C34" s="73"/>
      <c r="D34" s="73"/>
      <c r="E34" s="73"/>
      <c r="F34" s="73"/>
      <c r="G34" s="73"/>
      <c r="H34" s="73"/>
      <c r="I34" s="73"/>
      <c r="J34" s="3"/>
      <c r="K34" s="6"/>
      <c r="L34" s="15"/>
      <c r="N34" s="434">
        <v>29</v>
      </c>
      <c r="O34" s="435">
        <v>227.5220032</v>
      </c>
      <c r="P34" s="435">
        <v>251.88</v>
      </c>
      <c r="Q34" s="436">
        <v>238.787994384765</v>
      </c>
      <c r="R34" s="735"/>
      <c r="S34" s="434">
        <v>29</v>
      </c>
      <c r="T34" s="435">
        <v>338.60699847999996</v>
      </c>
      <c r="U34" s="435">
        <v>343.97999999999996</v>
      </c>
      <c r="V34" s="436">
        <v>333.50600986443789</v>
      </c>
    </row>
    <row r="35" spans="1:22" ht="11.25" customHeight="1">
      <c r="A35" s="74"/>
      <c r="B35" s="73"/>
      <c r="C35" s="73"/>
      <c r="D35" s="73"/>
      <c r="E35" s="73"/>
      <c r="F35" s="73"/>
      <c r="G35" s="73"/>
      <c r="H35" s="73"/>
      <c r="I35" s="73"/>
      <c r="J35" s="6"/>
      <c r="K35" s="6"/>
      <c r="L35" s="15"/>
      <c r="N35" s="434">
        <v>30</v>
      </c>
      <c r="O35" s="435">
        <v>216.95199579999999</v>
      </c>
      <c r="P35" s="435">
        <v>232.8650055</v>
      </c>
      <c r="Q35" s="436">
        <v>229.12</v>
      </c>
      <c r="R35" s="735"/>
      <c r="S35" s="434">
        <v>30</v>
      </c>
      <c r="T35" s="435">
        <v>332.49400331000004</v>
      </c>
      <c r="U35" s="435">
        <v>342.06599807739167</v>
      </c>
      <c r="V35" s="436">
        <v>324.04999999999995</v>
      </c>
    </row>
    <row r="36" spans="1:22" ht="11.25" customHeight="1">
      <c r="A36" s="74"/>
      <c r="B36" s="73"/>
      <c r="C36" s="73"/>
      <c r="D36" s="73"/>
      <c r="E36" s="73"/>
      <c r="F36" s="73"/>
      <c r="G36" s="73"/>
      <c r="H36" s="73"/>
      <c r="I36" s="73"/>
      <c r="J36" s="3"/>
      <c r="K36" s="6"/>
      <c r="L36" s="15"/>
      <c r="N36" s="434">
        <v>31</v>
      </c>
      <c r="O36" s="435">
        <v>209.128006</v>
      </c>
      <c r="P36" s="435">
        <v>211.726</v>
      </c>
      <c r="Q36" s="436">
        <v>219.05400090000001</v>
      </c>
      <c r="R36" s="735"/>
      <c r="S36" s="434">
        <v>31</v>
      </c>
      <c r="T36" s="435">
        <v>324</v>
      </c>
      <c r="U36" s="435">
        <v>335.23199999999997</v>
      </c>
      <c r="V36" s="436">
        <v>318.10600236499999</v>
      </c>
    </row>
    <row r="37" spans="1:22" ht="11.25" customHeight="1">
      <c r="A37" s="74"/>
      <c r="B37" s="73"/>
      <c r="C37" s="73"/>
      <c r="D37" s="73"/>
      <c r="E37" s="73"/>
      <c r="F37" s="73"/>
      <c r="G37" s="73"/>
      <c r="H37" s="73"/>
      <c r="I37" s="73"/>
      <c r="J37" s="3"/>
      <c r="K37" s="10"/>
      <c r="L37" s="15"/>
      <c r="N37" s="434">
        <v>32</v>
      </c>
      <c r="O37" s="435">
        <v>198.83200070000001</v>
      </c>
      <c r="P37" s="435">
        <v>181.19200129999999</v>
      </c>
      <c r="Q37" s="436">
        <v>209.128006</v>
      </c>
      <c r="R37" s="437"/>
      <c r="S37" s="434">
        <v>32</v>
      </c>
      <c r="T37" s="435">
        <v>320.73399734000003</v>
      </c>
      <c r="U37" s="435">
        <v>329.56800555999996</v>
      </c>
      <c r="V37" s="436">
        <v>312.078003352</v>
      </c>
    </row>
    <row r="38" spans="1:22" ht="11.25" customHeight="1">
      <c r="A38" s="74"/>
      <c r="B38" s="73"/>
      <c r="C38" s="73"/>
      <c r="D38" s="73"/>
      <c r="E38" s="73"/>
      <c r="F38" s="73"/>
      <c r="G38" s="73"/>
      <c r="H38" s="73"/>
      <c r="I38" s="73"/>
      <c r="J38" s="3"/>
      <c r="K38" s="10"/>
      <c r="L38" s="38"/>
      <c r="N38" s="434">
        <v>33</v>
      </c>
      <c r="O38" s="435">
        <v>188.69299319999999</v>
      </c>
      <c r="P38" s="435">
        <v>152.0650024</v>
      </c>
      <c r="Q38" s="436">
        <v>199.85499569999999</v>
      </c>
      <c r="R38" s="437"/>
      <c r="S38" s="434">
        <v>33</v>
      </c>
      <c r="T38" s="435">
        <v>314.19900131999998</v>
      </c>
      <c r="U38" s="435">
        <v>323.79099748000004</v>
      </c>
      <c r="V38" s="436">
        <v>312.078003352</v>
      </c>
    </row>
    <row r="39" spans="1:22" ht="11.25" customHeight="1">
      <c r="A39" s="74"/>
      <c r="B39" s="73"/>
      <c r="C39" s="73"/>
      <c r="D39" s="73"/>
      <c r="E39" s="73"/>
      <c r="F39" s="73"/>
      <c r="G39" s="73"/>
      <c r="H39" s="73"/>
      <c r="I39" s="73"/>
      <c r="J39" s="3"/>
      <c r="K39" s="7"/>
      <c r="L39" s="15"/>
      <c r="N39" s="434">
        <v>34</v>
      </c>
      <c r="O39" s="435">
        <v>183.68200680000001</v>
      </c>
      <c r="P39" s="435">
        <v>156.8220062</v>
      </c>
      <c r="Q39" s="436">
        <v>188.69299319999999</v>
      </c>
      <c r="R39" s="437"/>
      <c r="S39" s="434">
        <v>34</v>
      </c>
      <c r="T39" s="435">
        <v>307.85200500000002</v>
      </c>
      <c r="U39" s="435">
        <v>317.64699750999995</v>
      </c>
      <c r="V39" s="436">
        <v>299.58200316099999</v>
      </c>
    </row>
    <row r="40" spans="1:22" ht="11.25" customHeight="1">
      <c r="A40" s="74"/>
      <c r="B40" s="73"/>
      <c r="C40" s="73"/>
      <c r="D40" s="73"/>
      <c r="E40" s="73"/>
      <c r="F40" s="73"/>
      <c r="G40" s="73"/>
      <c r="H40" s="73"/>
      <c r="I40" s="73"/>
      <c r="J40" s="3"/>
      <c r="K40" s="7"/>
      <c r="L40" s="15"/>
      <c r="N40" s="434">
        <v>35</v>
      </c>
      <c r="O40" s="435">
        <v>176.23899840000001</v>
      </c>
      <c r="P40" s="439">
        <v>156.82</v>
      </c>
      <c r="Q40" s="436">
        <v>177.72099299999999</v>
      </c>
      <c r="R40" s="437"/>
      <c r="S40" s="434">
        <v>35</v>
      </c>
      <c r="T40" s="435">
        <v>300.83900069999999</v>
      </c>
      <c r="U40" s="435">
        <v>311.42</v>
      </c>
      <c r="V40" s="436">
        <v>292.71899843200003</v>
      </c>
    </row>
    <row r="41" spans="1:22" ht="11.25" customHeight="1">
      <c r="A41" s="74"/>
      <c r="B41" s="73"/>
      <c r="C41" s="73"/>
      <c r="D41" s="73"/>
      <c r="E41" s="73"/>
      <c r="F41" s="73"/>
      <c r="G41" s="73"/>
      <c r="H41" s="73"/>
      <c r="I41" s="73"/>
      <c r="J41" s="3"/>
      <c r="K41" s="7"/>
      <c r="L41" s="15"/>
      <c r="N41" s="434">
        <v>36</v>
      </c>
      <c r="O41" s="435">
        <v>168.8840027</v>
      </c>
      <c r="P41" s="439">
        <v>159.21</v>
      </c>
      <c r="Q41" s="436">
        <v>164.99800110000001</v>
      </c>
      <c r="R41" s="437"/>
      <c r="S41" s="434">
        <v>36</v>
      </c>
      <c r="T41" s="435">
        <v>293.46100233999999</v>
      </c>
      <c r="U41" s="435">
        <v>305.20999999999998</v>
      </c>
      <c r="V41" s="436">
        <v>286.64699412499999</v>
      </c>
    </row>
    <row r="42" spans="1:22" ht="11.25" customHeight="1">
      <c r="A42" s="74"/>
      <c r="B42" s="73"/>
      <c r="C42" s="73"/>
      <c r="D42" s="73"/>
      <c r="E42" s="73"/>
      <c r="F42" s="73"/>
      <c r="G42" s="73"/>
      <c r="H42" s="73"/>
      <c r="I42" s="73"/>
      <c r="J42" s="6"/>
      <c r="K42" s="10"/>
      <c r="L42" s="15"/>
      <c r="N42" s="434">
        <v>37</v>
      </c>
      <c r="O42" s="435">
        <v>159.2149963</v>
      </c>
      <c r="P42" s="439">
        <v>159.2149963</v>
      </c>
      <c r="Q42" s="436">
        <v>154.53400055</v>
      </c>
      <c r="R42" s="437"/>
      <c r="S42" s="434">
        <v>37</v>
      </c>
      <c r="T42" s="435">
        <v>287.76599501999999</v>
      </c>
      <c r="U42" s="435">
        <v>299.17000225600003</v>
      </c>
      <c r="V42" s="436">
        <v>280.605003845</v>
      </c>
    </row>
    <row r="43" spans="1:22" ht="11.25" customHeight="1">
      <c r="A43" s="74"/>
      <c r="B43" s="73"/>
      <c r="C43" s="73"/>
      <c r="D43" s="73"/>
      <c r="E43" s="73"/>
      <c r="F43" s="73"/>
      <c r="G43" s="73"/>
      <c r="H43" s="73"/>
      <c r="I43" s="73"/>
      <c r="J43" s="3"/>
      <c r="K43" s="10"/>
      <c r="L43" s="15"/>
      <c r="N43" s="434">
        <v>38</v>
      </c>
      <c r="O43" s="435">
        <v>149.70199579999999</v>
      </c>
      <c r="P43" s="439">
        <v>149.70199579999999</v>
      </c>
      <c r="Q43" s="436">
        <v>144.07</v>
      </c>
      <c r="R43" s="437"/>
      <c r="S43" s="434">
        <v>38</v>
      </c>
      <c r="T43" s="435">
        <v>282.07300377000001</v>
      </c>
      <c r="U43" s="435">
        <v>292.45899891799996</v>
      </c>
      <c r="V43" s="436">
        <v>274.21999999999997</v>
      </c>
    </row>
    <row r="44" spans="1:22" ht="11.25" customHeight="1">
      <c r="A44" s="74"/>
      <c r="B44" s="73"/>
      <c r="C44" s="73"/>
      <c r="D44" s="73"/>
      <c r="E44" s="73"/>
      <c r="F44" s="73"/>
      <c r="G44" s="73"/>
      <c r="H44" s="73"/>
      <c r="I44" s="73"/>
      <c r="J44" s="3"/>
      <c r="K44" s="10"/>
      <c r="L44" s="15"/>
      <c r="N44" s="434">
        <v>39</v>
      </c>
      <c r="O44" s="435">
        <v>138.02999879999999</v>
      </c>
      <c r="P44" s="439">
        <v>117.6380005</v>
      </c>
      <c r="Q44" s="436">
        <v>135.725006103515</v>
      </c>
      <c r="R44" s="437"/>
      <c r="S44" s="434">
        <v>39</v>
      </c>
      <c r="T44" s="435">
        <v>275.53000069000001</v>
      </c>
      <c r="U44" s="435">
        <v>286.11999916000002</v>
      </c>
      <c r="V44" s="436">
        <v>267.58499765396107</v>
      </c>
    </row>
    <row r="45" spans="1:22" ht="11.25" customHeight="1">
      <c r="A45" s="74"/>
      <c r="B45" s="73"/>
      <c r="C45" s="73"/>
      <c r="D45" s="73"/>
      <c r="E45" s="73"/>
      <c r="F45" s="73"/>
      <c r="G45" s="73"/>
      <c r="H45" s="73"/>
      <c r="I45" s="73"/>
      <c r="J45" s="11"/>
      <c r="K45" s="11"/>
      <c r="L45" s="11"/>
      <c r="N45" s="434">
        <v>40</v>
      </c>
      <c r="O45" s="435">
        <v>131.14500430000001</v>
      </c>
      <c r="P45" s="435">
        <v>91.680000309999997</v>
      </c>
      <c r="Q45" s="436">
        <v>127.0559998</v>
      </c>
      <c r="R45" s="437"/>
      <c r="S45" s="434">
        <v>40</v>
      </c>
      <c r="T45" s="435">
        <v>268.25699615000002</v>
      </c>
      <c r="U45" s="435">
        <v>278.57999837699998</v>
      </c>
      <c r="V45" s="436">
        <v>260.96199703900004</v>
      </c>
    </row>
    <row r="46" spans="1:22" ht="11.25" customHeight="1">
      <c r="A46" s="74"/>
      <c r="B46" s="73"/>
      <c r="C46" s="73"/>
      <c r="D46" s="73"/>
      <c r="E46" s="73"/>
      <c r="F46" s="73"/>
      <c r="G46" s="73"/>
      <c r="H46" s="73"/>
      <c r="I46" s="73"/>
      <c r="J46" s="11"/>
      <c r="K46" s="11"/>
      <c r="L46" s="11"/>
      <c r="N46" s="434">
        <v>41</v>
      </c>
      <c r="O46" s="435">
        <v>108.82900239999999</v>
      </c>
      <c r="P46" s="435">
        <v>71.125</v>
      </c>
      <c r="Q46" s="436">
        <v>110.13999939999999</v>
      </c>
      <c r="R46" s="437"/>
      <c r="S46" s="434">
        <v>41</v>
      </c>
      <c r="T46" s="435">
        <v>261.21399689000003</v>
      </c>
      <c r="U46" s="435">
        <v>271.23250496387476</v>
      </c>
      <c r="V46" s="436">
        <v>253.29600046600001</v>
      </c>
    </row>
    <row r="47" spans="1:22" ht="11.25" customHeight="1">
      <c r="A47" s="74"/>
      <c r="B47" s="73"/>
      <c r="C47" s="73"/>
      <c r="D47" s="73"/>
      <c r="E47" s="73"/>
      <c r="F47" s="73"/>
      <c r="G47" s="73"/>
      <c r="H47" s="73"/>
      <c r="I47" s="73"/>
      <c r="J47" s="11"/>
      <c r="K47" s="11"/>
      <c r="L47" s="11"/>
      <c r="N47" s="434">
        <v>42</v>
      </c>
      <c r="O47" s="435">
        <v>95.908996579999993</v>
      </c>
      <c r="P47" s="435">
        <v>59.261001586913999</v>
      </c>
      <c r="Q47" s="436">
        <v>100.61</v>
      </c>
      <c r="R47" s="437"/>
      <c r="S47" s="434">
        <v>42</v>
      </c>
      <c r="T47" s="435">
        <v>255.58900451</v>
      </c>
      <c r="U47" s="435">
        <v>256.27199935913058</v>
      </c>
      <c r="V47" s="436">
        <v>246.06</v>
      </c>
    </row>
    <row r="48" spans="1:22" ht="11.25" customHeight="1">
      <c r="A48" s="74"/>
      <c r="B48" s="73"/>
      <c r="C48" s="73"/>
      <c r="D48" s="73"/>
      <c r="E48" s="73"/>
      <c r="F48" s="73"/>
      <c r="G48" s="73"/>
      <c r="H48" s="73"/>
      <c r="I48" s="73"/>
      <c r="J48" s="11"/>
      <c r="K48" s="11"/>
      <c r="L48" s="11"/>
      <c r="N48" s="434">
        <v>43</v>
      </c>
      <c r="O48" s="435">
        <v>83.341003420000007</v>
      </c>
      <c r="P48" s="435">
        <v>47.749000549316399</v>
      </c>
      <c r="Q48" s="436">
        <v>95.484001160000005</v>
      </c>
      <c r="R48" s="437"/>
      <c r="S48" s="434">
        <v>43</v>
      </c>
      <c r="T48" s="435">
        <v>249.85500335</v>
      </c>
      <c r="U48" s="435">
        <v>249.67099761962871</v>
      </c>
      <c r="V48" s="436">
        <v>241.02699661899999</v>
      </c>
    </row>
    <row r="49" spans="1:22" ht="11.25" customHeight="1">
      <c r="A49" s="74"/>
      <c r="B49" s="73"/>
      <c r="C49" s="73"/>
      <c r="D49" s="73"/>
      <c r="E49" s="73"/>
      <c r="F49" s="73"/>
      <c r="G49" s="73"/>
      <c r="H49" s="73"/>
      <c r="I49" s="73"/>
      <c r="J49" s="11"/>
      <c r="K49" s="11"/>
      <c r="L49" s="11"/>
      <c r="N49" s="434">
        <v>44</v>
      </c>
      <c r="O49" s="435">
        <v>75.16</v>
      </c>
      <c r="P49" s="435">
        <v>38.424999239999998</v>
      </c>
      <c r="Q49" s="436">
        <v>89.581001279999995</v>
      </c>
      <c r="R49" s="437"/>
      <c r="S49" s="434">
        <v>44</v>
      </c>
      <c r="T49" s="435">
        <v>242.79000000000002</v>
      </c>
      <c r="U49" s="435">
        <v>249.67099761962871</v>
      </c>
      <c r="V49" s="436">
        <v>234.19399833099999</v>
      </c>
    </row>
    <row r="50" spans="1:22" ht="12.75">
      <c r="A50" s="74"/>
      <c r="B50" s="73"/>
      <c r="C50" s="73"/>
      <c r="D50" s="73"/>
      <c r="E50" s="73"/>
      <c r="F50" s="73"/>
      <c r="G50" s="73"/>
      <c r="H50" s="73"/>
      <c r="I50" s="73"/>
      <c r="J50" s="11"/>
      <c r="K50" s="11"/>
      <c r="L50" s="11"/>
      <c r="N50" s="434">
        <v>45</v>
      </c>
      <c r="O50" s="435">
        <v>65.149002080000002</v>
      </c>
      <c r="P50" s="435">
        <v>31.142000199999998</v>
      </c>
      <c r="Q50" s="436">
        <v>79.638999940000005</v>
      </c>
      <c r="R50" s="437"/>
      <c r="S50" s="434">
        <v>45</v>
      </c>
      <c r="T50" s="435">
        <v>235.60499572000001</v>
      </c>
      <c r="U50" s="435">
        <v>243.378839739</v>
      </c>
      <c r="V50" s="436">
        <v>228.64612817499997</v>
      </c>
    </row>
    <row r="51" spans="1:22" ht="12.75">
      <c r="A51" s="74"/>
      <c r="B51" s="73"/>
      <c r="C51" s="73"/>
      <c r="D51" s="73"/>
      <c r="E51" s="73"/>
      <c r="F51" s="73"/>
      <c r="G51" s="73"/>
      <c r="H51" s="73"/>
      <c r="I51" s="73"/>
      <c r="J51" s="11"/>
      <c r="K51" s="11"/>
      <c r="L51" s="11"/>
      <c r="N51" s="434">
        <v>46</v>
      </c>
      <c r="O51" s="435">
        <v>47.749000549999998</v>
      </c>
      <c r="P51" s="435">
        <v>22.26</v>
      </c>
      <c r="Q51" s="436">
        <v>80.049003600000006</v>
      </c>
      <c r="R51" s="437"/>
      <c r="S51" s="434">
        <v>46</v>
      </c>
      <c r="T51" s="435">
        <v>230.54900361099999</v>
      </c>
      <c r="U51" s="435">
        <v>236.34</v>
      </c>
      <c r="V51" s="436">
        <v>222.81199835999999</v>
      </c>
    </row>
    <row r="52" spans="1:22" ht="12.75">
      <c r="A52" s="74"/>
      <c r="B52" s="73"/>
      <c r="C52" s="73"/>
      <c r="D52" s="73"/>
      <c r="E52" s="73"/>
      <c r="F52" s="73"/>
      <c r="G52" s="73"/>
      <c r="H52" s="73"/>
      <c r="I52" s="73"/>
      <c r="J52" s="11"/>
      <c r="K52" s="11"/>
      <c r="L52" s="11"/>
      <c r="N52" s="434">
        <v>47</v>
      </c>
      <c r="O52" s="435">
        <v>34.763999939999998</v>
      </c>
      <c r="P52" s="435">
        <v>17.044000629999999</v>
      </c>
      <c r="Q52" s="436">
        <v>85.825996399999994</v>
      </c>
      <c r="R52" s="437"/>
      <c r="S52" s="434">
        <v>47</v>
      </c>
      <c r="T52" s="435">
        <v>223.60000467499998</v>
      </c>
      <c r="U52" s="435">
        <v>227.62000255999999</v>
      </c>
      <c r="V52" s="436">
        <v>216.31200409100001</v>
      </c>
    </row>
    <row r="53" spans="1:22" ht="12.75">
      <c r="A53" s="74"/>
      <c r="B53" s="73"/>
      <c r="C53" s="73"/>
      <c r="D53" s="73"/>
      <c r="E53" s="73"/>
      <c r="F53" s="73"/>
      <c r="G53" s="73"/>
      <c r="H53" s="73"/>
      <c r="I53" s="73"/>
      <c r="J53" s="11"/>
      <c r="K53" s="11"/>
      <c r="L53" s="11"/>
      <c r="N53" s="434">
        <v>48</v>
      </c>
      <c r="O53" s="435">
        <v>13.618000029999999</v>
      </c>
      <c r="P53" s="435">
        <v>36.5890007</v>
      </c>
      <c r="Q53" s="436">
        <v>77.596000669999995</v>
      </c>
      <c r="R53" s="437"/>
      <c r="S53" s="434">
        <v>48</v>
      </c>
      <c r="T53" s="435">
        <v>217.17600035300001</v>
      </c>
      <c r="U53" s="435">
        <v>220.01436420799999</v>
      </c>
      <c r="V53" s="436">
        <v>210.250997547</v>
      </c>
    </row>
    <row r="54" spans="1:22" ht="13.5">
      <c r="A54" s="74"/>
      <c r="B54" s="73"/>
      <c r="C54" s="73"/>
      <c r="D54" s="73"/>
      <c r="E54" s="73"/>
      <c r="F54" s="73"/>
      <c r="G54" s="73"/>
      <c r="H54" s="73"/>
      <c r="I54" s="73"/>
      <c r="J54" s="11"/>
      <c r="K54" s="11"/>
      <c r="L54" s="11"/>
      <c r="N54" s="434">
        <v>49</v>
      </c>
      <c r="O54" s="440">
        <v>8.5520000459999999</v>
      </c>
      <c r="P54" s="435">
        <v>36.590000000000003</v>
      </c>
      <c r="Q54" s="436">
        <v>54.613998410000001</v>
      </c>
      <c r="R54" s="437"/>
      <c r="S54" s="434">
        <v>49</v>
      </c>
      <c r="T54" s="435">
        <v>210.45100211699997</v>
      </c>
      <c r="U54" s="435">
        <v>212.37999999999997</v>
      </c>
      <c r="V54" s="436">
        <v>202.73299884100001</v>
      </c>
    </row>
    <row r="55" spans="1:22" ht="12.75">
      <c r="A55" s="74"/>
      <c r="B55" s="73"/>
      <c r="C55" s="73"/>
      <c r="D55" s="73"/>
      <c r="E55" s="73"/>
      <c r="F55" s="73"/>
      <c r="G55" s="73"/>
      <c r="H55" s="73"/>
      <c r="I55" s="73"/>
      <c r="J55" s="11"/>
      <c r="K55" s="11"/>
      <c r="L55" s="11"/>
      <c r="N55" s="434">
        <v>50</v>
      </c>
      <c r="O55" s="435">
        <v>13.618000029999999</v>
      </c>
      <c r="P55" s="435">
        <v>34.763999939999998</v>
      </c>
      <c r="Q55" s="436">
        <v>64.358001709999996</v>
      </c>
      <c r="R55" s="437"/>
      <c r="S55" s="434">
        <v>50</v>
      </c>
      <c r="T55" s="435">
        <v>203.37099885499998</v>
      </c>
      <c r="U55" s="435">
        <v>205.46782675599999</v>
      </c>
      <c r="V55" s="436">
        <v>195.51400422099999</v>
      </c>
    </row>
    <row r="56" spans="1:22" ht="12.75">
      <c r="A56" s="74"/>
      <c r="B56" s="73"/>
      <c r="C56" s="73"/>
      <c r="D56" s="73"/>
      <c r="E56" s="73"/>
      <c r="F56" s="73"/>
      <c r="G56" s="73"/>
      <c r="H56" s="73"/>
      <c r="I56" s="73"/>
      <c r="J56" s="11"/>
      <c r="K56" s="11"/>
      <c r="L56" s="11"/>
      <c r="N56" s="434">
        <v>51</v>
      </c>
      <c r="O56" s="435">
        <v>18.771999359999999</v>
      </c>
      <c r="P56" s="435">
        <v>38.4</v>
      </c>
      <c r="Q56" s="436">
        <v>80.049003600000006</v>
      </c>
      <c r="R56" s="437"/>
      <c r="S56" s="434">
        <v>51</v>
      </c>
      <c r="T56" s="435">
        <v>202.35899971500001</v>
      </c>
      <c r="U56" s="435">
        <v>199</v>
      </c>
      <c r="V56" s="436">
        <v>188.995997891</v>
      </c>
    </row>
    <row r="57" spans="1:22" ht="12.75">
      <c r="A57" s="74"/>
      <c r="B57" s="73"/>
      <c r="C57" s="73"/>
      <c r="D57" s="73"/>
      <c r="E57" s="73"/>
      <c r="F57" s="73"/>
      <c r="G57" s="73"/>
      <c r="H57" s="73"/>
      <c r="I57" s="73"/>
      <c r="N57" s="434">
        <v>52</v>
      </c>
      <c r="O57" s="435">
        <v>25.781999590000002</v>
      </c>
      <c r="P57" s="435">
        <v>59.261001589999999</v>
      </c>
      <c r="Q57" s="436">
        <v>108.82900239999999</v>
      </c>
      <c r="R57" s="437"/>
      <c r="S57" s="434">
        <v>52</v>
      </c>
      <c r="T57" s="435">
        <v>201.25199794899999</v>
      </c>
      <c r="U57" s="435">
        <v>192.88799664499999</v>
      </c>
      <c r="V57" s="436">
        <v>184.65400219100002</v>
      </c>
    </row>
    <row r="58" spans="1:22" ht="12.75">
      <c r="A58" s="74"/>
      <c r="B58" s="73"/>
      <c r="C58" s="73"/>
      <c r="D58" s="73"/>
      <c r="E58" s="73"/>
      <c r="F58" s="73"/>
      <c r="G58" s="73"/>
      <c r="H58" s="73"/>
      <c r="I58" s="73"/>
      <c r="N58" s="434">
        <v>53</v>
      </c>
      <c r="O58" s="437"/>
      <c r="P58" s="437"/>
      <c r="Q58" s="437">
        <v>140.34500120000001</v>
      </c>
      <c r="R58" s="437"/>
      <c r="S58" s="434">
        <v>53</v>
      </c>
      <c r="T58" s="435"/>
      <c r="U58" s="435"/>
      <c r="V58" s="436"/>
    </row>
    <row r="59" spans="1:22" ht="12.75">
      <c r="B59" s="73"/>
      <c r="C59" s="73"/>
      <c r="D59" s="73"/>
      <c r="E59" s="73"/>
      <c r="F59" s="73"/>
      <c r="G59" s="73"/>
      <c r="H59" s="73"/>
      <c r="I59" s="73"/>
    </row>
    <row r="60" spans="1:22" ht="12.75">
      <c r="A60" s="74"/>
      <c r="B60" s="73"/>
      <c r="C60" s="73"/>
      <c r="D60" s="73"/>
      <c r="E60" s="73"/>
      <c r="F60" s="73"/>
      <c r="G60" s="73"/>
      <c r="H60" s="73"/>
      <c r="I60" s="73"/>
    </row>
    <row r="63" spans="1:22">
      <c r="A63" s="272" t="s">
        <v>475</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22"/>
  <sheetViews>
    <sheetView showGridLines="0" view="pageBreakPreview" zoomScaleNormal="100" zoomScaleSheetLayoutView="100" zoomScalePageLayoutView="130" workbookViewId="0">
      <selection activeCell="N65" sqref="N65"/>
    </sheetView>
  </sheetViews>
  <sheetFormatPr defaultColWidth="9.33203125" defaultRowHeight="11.25"/>
  <cols>
    <col min="3" max="3" width="28.5" customWidth="1"/>
    <col min="4" max="5" width="12" customWidth="1"/>
    <col min="6" max="6" width="12.33203125" customWidth="1"/>
    <col min="8" max="9" width="9.33203125" customWidth="1"/>
    <col min="10" max="10" width="9.33203125" style="111"/>
    <col min="11" max="11" width="9.33203125" style="437"/>
    <col min="12" max="12" width="3.1640625" style="862" bestFit="1" customWidth="1"/>
    <col min="13" max="16" width="9.33203125" style="437"/>
    <col min="17" max="21" width="9.33203125" style="428"/>
  </cols>
  <sheetData>
    <row r="1" spans="1:15" ht="11.25" customHeight="1"/>
    <row r="2" spans="1:15" ht="11.25" customHeight="1">
      <c r="A2" s="17"/>
      <c r="B2" s="17"/>
      <c r="C2" s="17"/>
      <c r="D2" s="17"/>
      <c r="E2" s="73"/>
      <c r="F2" s="73"/>
      <c r="G2" s="73"/>
    </row>
    <row r="3" spans="1:15" ht="17.25" customHeight="1">
      <c r="A3" s="956" t="s">
        <v>384</v>
      </c>
      <c r="B3" s="956"/>
      <c r="C3" s="956"/>
      <c r="D3" s="956"/>
      <c r="E3" s="956"/>
      <c r="F3" s="956"/>
      <c r="G3" s="956"/>
      <c r="H3" s="36"/>
      <c r="I3" s="36"/>
      <c r="K3" s="437" t="s">
        <v>262</v>
      </c>
      <c r="M3" s="437" t="s">
        <v>263</v>
      </c>
      <c r="N3" s="437" t="s">
        <v>264</v>
      </c>
      <c r="O3" s="437" t="s">
        <v>265</v>
      </c>
    </row>
    <row r="4" spans="1:15" ht="11.25" customHeight="1">
      <c r="A4" s="74"/>
      <c r="B4" s="73"/>
      <c r="C4" s="73"/>
      <c r="D4" s="73"/>
      <c r="E4" s="73"/>
      <c r="F4" s="73"/>
      <c r="G4" s="73"/>
      <c r="H4" s="36"/>
      <c r="I4" s="36"/>
      <c r="J4" s="111">
        <v>2017</v>
      </c>
      <c r="K4" s="437">
        <v>1</v>
      </c>
      <c r="L4" s="862">
        <v>1</v>
      </c>
      <c r="M4" s="863">
        <v>41.55</v>
      </c>
      <c r="N4" s="863">
        <v>103.58</v>
      </c>
      <c r="O4" s="863">
        <v>29.67</v>
      </c>
    </row>
    <row r="5" spans="1:15" ht="11.25" customHeight="1">
      <c r="A5" s="74"/>
      <c r="B5" s="73"/>
      <c r="C5" s="73"/>
      <c r="D5" s="73"/>
      <c r="E5" s="73"/>
      <c r="F5" s="73"/>
      <c r="G5" s="73"/>
      <c r="H5" s="12"/>
      <c r="I5" s="12"/>
      <c r="L5" s="862">
        <v>2</v>
      </c>
      <c r="M5" s="863">
        <v>39.6</v>
      </c>
      <c r="N5" s="863">
        <v>105.01</v>
      </c>
      <c r="O5" s="863">
        <v>51.2</v>
      </c>
    </row>
    <row r="6" spans="1:15" ht="29.25" customHeight="1">
      <c r="A6" s="136"/>
      <c r="C6" s="489" t="s">
        <v>146</v>
      </c>
      <c r="D6" s="492" t="str">
        <f>UPPER('1. Resumen'!Q4)&amp;"
 "&amp;'1. Resumen'!Q5</f>
        <v>JUNIO
 2020</v>
      </c>
      <c r="E6" s="493" t="str">
        <f>UPPER('1. Resumen'!Q4)&amp;"
 "&amp;'1. Resumen'!Q5-1</f>
        <v>JUNIO
 2019</v>
      </c>
      <c r="F6" s="494" t="s">
        <v>442</v>
      </c>
      <c r="G6" s="138"/>
      <c r="H6" s="24"/>
      <c r="I6" s="12"/>
      <c r="L6" s="862">
        <v>3</v>
      </c>
      <c r="M6" s="863">
        <v>73.650000000000006</v>
      </c>
      <c r="N6" s="863">
        <v>137.41</v>
      </c>
      <c r="O6" s="863">
        <v>43.26</v>
      </c>
    </row>
    <row r="7" spans="1:15" ht="11.25" customHeight="1">
      <c r="A7" s="174"/>
      <c r="C7" s="550" t="s">
        <v>147</v>
      </c>
      <c r="D7" s="551">
        <v>10.985500050000001</v>
      </c>
      <c r="E7" s="776">
        <v>11.659586216000001</v>
      </c>
      <c r="F7" s="552">
        <f>IF(E7=0,"",(D7-E7)/E7)</f>
        <v>-5.7813901240764264E-2</v>
      </c>
      <c r="G7" s="138"/>
      <c r="H7" s="25"/>
      <c r="I7" s="3"/>
      <c r="K7" s="437">
        <v>4</v>
      </c>
      <c r="L7" s="862">
        <v>4</v>
      </c>
      <c r="M7" s="863">
        <v>65.03</v>
      </c>
      <c r="N7" s="863">
        <v>127.83</v>
      </c>
      <c r="O7" s="863">
        <v>32.72</v>
      </c>
    </row>
    <row r="8" spans="1:15" ht="11.25" customHeight="1">
      <c r="A8" s="174"/>
      <c r="C8" s="553" t="s">
        <v>153</v>
      </c>
      <c r="D8" s="554">
        <v>11.235333349999999</v>
      </c>
      <c r="E8" s="554">
        <v>9.2621000924000025</v>
      </c>
      <c r="F8" s="555">
        <f t="shared" ref="F8:F30" si="0">IF(E8=0,"",(D8-E8)/E8)</f>
        <v>0.21304382784840875</v>
      </c>
      <c r="G8" s="138"/>
      <c r="H8" s="23"/>
      <c r="I8" s="3"/>
      <c r="L8" s="862">
        <v>5</v>
      </c>
      <c r="M8" s="863">
        <v>56.95</v>
      </c>
      <c r="N8" s="863">
        <v>97.31</v>
      </c>
      <c r="O8" s="863">
        <v>48.46</v>
      </c>
    </row>
    <row r="9" spans="1:15" ht="11.25" customHeight="1">
      <c r="A9" s="174"/>
      <c r="C9" s="556" t="s">
        <v>154</v>
      </c>
      <c r="D9" s="557">
        <v>40.609266689999998</v>
      </c>
      <c r="E9" s="557">
        <v>34.659700012000002</v>
      </c>
      <c r="F9" s="558">
        <f t="shared" si="0"/>
        <v>0.17165661202895918</v>
      </c>
      <c r="G9" s="138"/>
      <c r="H9" s="25"/>
      <c r="I9" s="3"/>
      <c r="L9" s="862">
        <v>6</v>
      </c>
      <c r="M9" s="863">
        <v>61.87</v>
      </c>
      <c r="N9" s="863">
        <v>123.44</v>
      </c>
      <c r="O9" s="863">
        <v>72.52</v>
      </c>
    </row>
    <row r="10" spans="1:15" ht="11.25" customHeight="1">
      <c r="A10" s="174"/>
      <c r="C10" s="553" t="s">
        <v>161</v>
      </c>
      <c r="D10" s="554">
        <v>37.387399930000001</v>
      </c>
      <c r="E10" s="554">
        <v>33.330033302333341</v>
      </c>
      <c r="F10" s="555">
        <f t="shared" si="0"/>
        <v>0.12173305051521252</v>
      </c>
      <c r="G10" s="138"/>
      <c r="H10" s="25"/>
      <c r="I10" s="3"/>
      <c r="L10" s="862">
        <v>7</v>
      </c>
      <c r="M10" s="863">
        <v>77.569999999999993</v>
      </c>
      <c r="N10" s="863">
        <v>145.02000000000001</v>
      </c>
      <c r="O10" s="863">
        <v>59.16</v>
      </c>
    </row>
    <row r="11" spans="1:15" ht="11.25" customHeight="1">
      <c r="A11" s="174"/>
      <c r="C11" s="556" t="s">
        <v>162</v>
      </c>
      <c r="D11" s="557">
        <v>17.64256662</v>
      </c>
      <c r="E11" s="557">
        <v>17.418466648166667</v>
      </c>
      <c r="F11" s="558">
        <f t="shared" si="0"/>
        <v>1.2865654386226917E-2</v>
      </c>
      <c r="G11" s="138"/>
      <c r="H11" s="25"/>
      <c r="I11" s="3"/>
      <c r="K11" s="437">
        <v>8</v>
      </c>
      <c r="L11" s="862">
        <v>8</v>
      </c>
      <c r="M11" s="863">
        <v>86.94</v>
      </c>
      <c r="N11" s="863">
        <v>175.03</v>
      </c>
      <c r="O11" s="863">
        <v>24.36</v>
      </c>
    </row>
    <row r="12" spans="1:15" ht="11.25" customHeight="1">
      <c r="A12" s="174"/>
      <c r="C12" s="553" t="s">
        <v>164</v>
      </c>
      <c r="D12" s="554">
        <v>4.2026333090000003</v>
      </c>
      <c r="E12" s="554">
        <v>9.0357332548333353</v>
      </c>
      <c r="F12" s="555">
        <f t="shared" si="0"/>
        <v>-0.53488740863925399</v>
      </c>
      <c r="G12" s="138"/>
      <c r="H12" s="25"/>
      <c r="I12" s="3"/>
      <c r="L12" s="862">
        <v>9</v>
      </c>
      <c r="M12" s="863">
        <v>85.13</v>
      </c>
      <c r="N12" s="863">
        <v>206.14</v>
      </c>
      <c r="O12" s="863">
        <v>39.07</v>
      </c>
    </row>
    <row r="13" spans="1:15" ht="11.25" customHeight="1">
      <c r="A13" s="174"/>
      <c r="C13" s="556" t="s">
        <v>152</v>
      </c>
      <c r="D13" s="557">
        <v>18.897916666666667</v>
      </c>
      <c r="E13" s="557">
        <v>20.173999999999999</v>
      </c>
      <c r="F13" s="558">
        <f t="shared" si="0"/>
        <v>-6.3253858101186292E-2</v>
      </c>
      <c r="G13" s="138"/>
      <c r="H13" s="23"/>
      <c r="I13" s="3"/>
      <c r="L13" s="862">
        <v>10</v>
      </c>
      <c r="M13" s="863">
        <v>84.78</v>
      </c>
      <c r="N13" s="863">
        <v>270.17</v>
      </c>
      <c r="O13" s="863">
        <v>109.16</v>
      </c>
    </row>
    <row r="14" spans="1:15" ht="11.25" customHeight="1">
      <c r="A14" s="174"/>
      <c r="C14" s="553" t="s">
        <v>253</v>
      </c>
      <c r="D14" s="554">
        <v>21.065783060000001</v>
      </c>
      <c r="E14" s="554">
        <v>22.018939972333335</v>
      </c>
      <c r="F14" s="555">
        <f t="shared" si="0"/>
        <v>-4.3288047178064427E-2</v>
      </c>
      <c r="G14" s="138"/>
      <c r="H14" s="25"/>
      <c r="I14" s="3"/>
      <c r="L14" s="862">
        <v>11</v>
      </c>
      <c r="M14" s="863">
        <v>84.78</v>
      </c>
      <c r="N14" s="863">
        <v>376.42</v>
      </c>
      <c r="O14" s="863">
        <v>188.18</v>
      </c>
    </row>
    <row r="15" spans="1:15" ht="11.25" customHeight="1">
      <c r="A15" s="174"/>
      <c r="C15" s="556" t="s">
        <v>254</v>
      </c>
      <c r="D15" s="557">
        <v>56.075666939999998</v>
      </c>
      <c r="E15" s="557">
        <v>44.327166747999996</v>
      </c>
      <c r="F15" s="558">
        <f t="shared" si="0"/>
        <v>0.26504062979685217</v>
      </c>
      <c r="G15" s="138"/>
      <c r="H15" s="25"/>
      <c r="I15" s="3"/>
      <c r="K15" s="437">
        <v>12</v>
      </c>
      <c r="L15" s="862">
        <v>12</v>
      </c>
      <c r="M15" s="863">
        <v>106.16</v>
      </c>
      <c r="N15" s="863">
        <v>351.57</v>
      </c>
      <c r="O15" s="863">
        <v>159.6</v>
      </c>
    </row>
    <row r="16" spans="1:15" ht="11.25" customHeight="1">
      <c r="A16" s="174"/>
      <c r="C16" s="553" t="s">
        <v>159</v>
      </c>
      <c r="D16" s="554">
        <v>15.31813313</v>
      </c>
      <c r="E16" s="554">
        <v>15.560366630999999</v>
      </c>
      <c r="F16" s="555">
        <f t="shared" si="0"/>
        <v>-1.5567338915871809E-2</v>
      </c>
      <c r="G16" s="138"/>
      <c r="H16" s="25"/>
      <c r="I16" s="3"/>
      <c r="L16" s="862">
        <v>13</v>
      </c>
      <c r="M16" s="863">
        <v>101.71</v>
      </c>
      <c r="N16" s="863">
        <v>384.37</v>
      </c>
      <c r="O16" s="863">
        <v>161.77000000000001</v>
      </c>
    </row>
    <row r="17" spans="1:17" ht="11.25" customHeight="1">
      <c r="A17" s="174"/>
      <c r="C17" s="556" t="s">
        <v>163</v>
      </c>
      <c r="D17" s="557">
        <v>10.46859999</v>
      </c>
      <c r="E17" s="557">
        <v>10.320900090666667</v>
      </c>
      <c r="F17" s="558">
        <f t="shared" si="0"/>
        <v>1.4310757592440951E-2</v>
      </c>
      <c r="G17" s="138"/>
      <c r="H17" s="25"/>
      <c r="I17" s="3"/>
      <c r="L17" s="862">
        <v>14</v>
      </c>
      <c r="M17" s="863">
        <v>83.1</v>
      </c>
      <c r="N17" s="863">
        <v>337.84</v>
      </c>
      <c r="O17" s="863">
        <v>115.43</v>
      </c>
    </row>
    <row r="18" spans="1:17" ht="11.25" customHeight="1">
      <c r="A18" s="174"/>
      <c r="C18" s="553" t="s">
        <v>255</v>
      </c>
      <c r="D18" s="554">
        <v>11.98102868</v>
      </c>
      <c r="E18" s="554">
        <v>10.956972376505487</v>
      </c>
      <c r="F18" s="555">
        <f t="shared" si="0"/>
        <v>9.3461612232440053E-2</v>
      </c>
      <c r="G18" s="138"/>
      <c r="H18" s="25"/>
      <c r="I18" s="3"/>
      <c r="L18" s="862">
        <v>15</v>
      </c>
      <c r="M18" s="863">
        <v>61.23</v>
      </c>
      <c r="N18" s="863">
        <v>282.32</v>
      </c>
      <c r="O18" s="863">
        <v>98.92</v>
      </c>
    </row>
    <row r="19" spans="1:17" ht="11.25" customHeight="1">
      <c r="A19" s="174"/>
      <c r="C19" s="556" t="s">
        <v>256</v>
      </c>
      <c r="D19" s="557">
        <v>16.266442152777778</v>
      </c>
      <c r="E19" s="557">
        <v>17.876999999999999</v>
      </c>
      <c r="F19" s="558">
        <f t="shared" si="0"/>
        <v>-9.0091058187739631E-2</v>
      </c>
      <c r="G19" s="138"/>
      <c r="H19" s="25"/>
      <c r="I19" s="3"/>
      <c r="K19" s="437">
        <v>16</v>
      </c>
      <c r="L19" s="862">
        <v>16</v>
      </c>
      <c r="M19" s="863">
        <v>49.8</v>
      </c>
      <c r="N19" s="863">
        <v>191.65</v>
      </c>
      <c r="O19" s="863">
        <v>82.48</v>
      </c>
      <c r="Q19" s="738"/>
    </row>
    <row r="20" spans="1:17" ht="11.25" customHeight="1">
      <c r="A20" s="174"/>
      <c r="C20" s="553" t="s">
        <v>257</v>
      </c>
      <c r="D20" s="554">
        <v>1.4577000019999999</v>
      </c>
      <c r="E20" s="554">
        <v>1.4471666733333337</v>
      </c>
      <c r="F20" s="555">
        <f t="shared" si="0"/>
        <v>7.2785870907352166E-3</v>
      </c>
      <c r="G20" s="138"/>
      <c r="H20" s="25"/>
      <c r="I20" s="3"/>
      <c r="L20" s="862">
        <v>17</v>
      </c>
      <c r="M20" s="863">
        <v>40.21</v>
      </c>
      <c r="N20" s="863">
        <v>160.35</v>
      </c>
      <c r="O20" s="863">
        <v>77.02</v>
      </c>
    </row>
    <row r="21" spans="1:17" ht="11.25" customHeight="1">
      <c r="A21" s="174"/>
      <c r="C21" s="556" t="s">
        <v>150</v>
      </c>
      <c r="D21" s="557">
        <v>101.1574336</v>
      </c>
      <c r="E21" s="557">
        <v>95.857100425666644</v>
      </c>
      <c r="F21" s="558">
        <f t="shared" si="0"/>
        <v>5.5294111242636189E-2</v>
      </c>
      <c r="G21" s="138"/>
      <c r="H21" s="25"/>
      <c r="I21" s="3"/>
      <c r="L21" s="862">
        <v>18</v>
      </c>
      <c r="M21" s="863">
        <v>43.46</v>
      </c>
      <c r="N21" s="863">
        <v>136.65</v>
      </c>
      <c r="O21" s="863">
        <v>62.63</v>
      </c>
    </row>
    <row r="22" spans="1:17" ht="11.25" customHeight="1">
      <c r="A22" s="174"/>
      <c r="C22" s="553" t="s">
        <v>148</v>
      </c>
      <c r="D22" s="554">
        <v>0.15000000599999999</v>
      </c>
      <c r="E22" s="554">
        <v>0.6</v>
      </c>
      <c r="F22" s="555">
        <f t="shared" si="0"/>
        <v>-0.74999999000000006</v>
      </c>
      <c r="G22" s="138"/>
      <c r="H22" s="25"/>
      <c r="I22" s="3"/>
      <c r="L22" s="862">
        <v>19</v>
      </c>
      <c r="M22" s="863">
        <v>35.65</v>
      </c>
      <c r="N22" s="863">
        <v>135.97</v>
      </c>
      <c r="O22" s="863">
        <v>93.03</v>
      </c>
    </row>
    <row r="23" spans="1:17" ht="11.25" customHeight="1">
      <c r="A23" s="174"/>
      <c r="C23" s="556" t="s">
        <v>149</v>
      </c>
      <c r="D23" s="557">
        <v>20.796033019999999</v>
      </c>
      <c r="E23" s="557">
        <v>28.907699339633311</v>
      </c>
      <c r="F23" s="558">
        <f t="shared" si="0"/>
        <v>-0.28060573843425779</v>
      </c>
      <c r="G23" s="138"/>
      <c r="H23" s="25"/>
      <c r="I23" s="3"/>
      <c r="K23" s="437">
        <v>20</v>
      </c>
      <c r="L23" s="862">
        <v>20</v>
      </c>
      <c r="M23" s="863">
        <v>26.22</v>
      </c>
      <c r="N23" s="863">
        <v>135.66</v>
      </c>
      <c r="O23" s="863">
        <v>72.349999999999994</v>
      </c>
    </row>
    <row r="24" spans="1:17" ht="11.25" customHeight="1">
      <c r="A24" s="174"/>
      <c r="C24" s="553" t="s">
        <v>165</v>
      </c>
      <c r="D24" s="554">
        <v>5.824700022</v>
      </c>
      <c r="E24" s="554">
        <v>12.581933435066667</v>
      </c>
      <c r="F24" s="555">
        <f t="shared" si="0"/>
        <v>-0.53705842968727024</v>
      </c>
      <c r="G24" s="138"/>
      <c r="H24" s="26"/>
      <c r="I24" s="3"/>
      <c r="L24" s="862">
        <v>21</v>
      </c>
      <c r="M24" s="863">
        <v>27.95</v>
      </c>
      <c r="N24" s="863">
        <v>113.82</v>
      </c>
      <c r="O24" s="863">
        <v>90.75</v>
      </c>
    </row>
    <row r="25" spans="1:17" ht="11.25" customHeight="1">
      <c r="A25" s="138"/>
      <c r="C25" s="556" t="s">
        <v>155</v>
      </c>
      <c r="D25" s="557">
        <v>3.1400003509999999</v>
      </c>
      <c r="E25" s="557">
        <v>7.370072372500001</v>
      </c>
      <c r="F25" s="558">
        <f t="shared" si="0"/>
        <v>-0.57395257572825154</v>
      </c>
      <c r="G25" s="158"/>
      <c r="H25" s="25"/>
      <c r="I25" s="3"/>
      <c r="L25" s="862">
        <v>22</v>
      </c>
      <c r="M25" s="863">
        <v>32.409999999999997</v>
      </c>
      <c r="N25" s="863">
        <v>64.03</v>
      </c>
      <c r="O25" s="863">
        <v>53.02</v>
      </c>
    </row>
    <row r="26" spans="1:17" ht="11.25" customHeight="1">
      <c r="A26" s="175"/>
      <c r="C26" s="553" t="s">
        <v>156</v>
      </c>
      <c r="D26" s="554">
        <v>0.86193333400000005</v>
      </c>
      <c r="E26" s="554">
        <v>0.85476667520000005</v>
      </c>
      <c r="F26" s="555">
        <f t="shared" si="0"/>
        <v>8.3843451177166382E-3</v>
      </c>
      <c r="G26" s="138"/>
      <c r="H26" s="23"/>
      <c r="I26" s="3"/>
      <c r="L26" s="862">
        <v>23</v>
      </c>
      <c r="M26" s="863">
        <v>28.93</v>
      </c>
      <c r="N26" s="863">
        <v>53.15</v>
      </c>
      <c r="O26" s="863">
        <v>32.43</v>
      </c>
    </row>
    <row r="27" spans="1:17" ht="11.25" customHeight="1">
      <c r="A27" s="138"/>
      <c r="C27" s="556" t="s">
        <v>157</v>
      </c>
      <c r="D27" s="557">
        <v>2.3466666000000001E-2</v>
      </c>
      <c r="E27" s="557">
        <v>8.2999999000000022E-3</v>
      </c>
      <c r="F27" s="558">
        <f t="shared" si="0"/>
        <v>1.8273091906904715</v>
      </c>
      <c r="G27" s="138"/>
      <c r="H27" s="23"/>
      <c r="I27" s="3"/>
      <c r="K27" s="437">
        <v>24</v>
      </c>
      <c r="L27" s="862">
        <v>24</v>
      </c>
      <c r="M27" s="863">
        <v>26.59</v>
      </c>
      <c r="N27" s="863">
        <v>45.98</v>
      </c>
      <c r="O27" s="863">
        <v>27.75</v>
      </c>
    </row>
    <row r="28" spans="1:17" ht="11.25" customHeight="1">
      <c r="A28" s="138"/>
      <c r="C28" s="553" t="s">
        <v>158</v>
      </c>
      <c r="D28" s="554">
        <v>0</v>
      </c>
      <c r="E28" s="554">
        <v>0</v>
      </c>
      <c r="F28" s="555" t="str">
        <f t="shared" si="0"/>
        <v/>
      </c>
      <c r="G28" s="138"/>
      <c r="H28" s="23"/>
      <c r="I28" s="3"/>
      <c r="L28" s="862">
        <v>25</v>
      </c>
      <c r="M28" s="863">
        <v>23.61</v>
      </c>
      <c r="N28" s="863">
        <v>38.68</v>
      </c>
      <c r="O28" s="863">
        <v>24.81</v>
      </c>
    </row>
    <row r="29" spans="1:17" ht="11.25" customHeight="1">
      <c r="A29" s="158"/>
      <c r="C29" s="556" t="s">
        <v>160</v>
      </c>
      <c r="D29" s="557">
        <v>4.0029960000000004</v>
      </c>
      <c r="E29" s="557">
        <v>3.0285910435000005</v>
      </c>
      <c r="F29" s="558">
        <f t="shared" si="0"/>
        <v>0.32173540187648636</v>
      </c>
      <c r="G29" s="176"/>
      <c r="H29" s="23"/>
      <c r="I29" s="3"/>
      <c r="L29" s="862">
        <v>26</v>
      </c>
      <c r="M29" s="863">
        <v>24.94</v>
      </c>
      <c r="N29" s="863">
        <v>34.68</v>
      </c>
      <c r="O29" s="863">
        <v>21.81</v>
      </c>
    </row>
    <row r="30" spans="1:17" ht="11.25" customHeight="1">
      <c r="A30" s="175"/>
      <c r="C30" s="559" t="s">
        <v>151</v>
      </c>
      <c r="D30" s="560">
        <v>1.20625</v>
      </c>
      <c r="E30" s="560">
        <v>1</v>
      </c>
      <c r="F30" s="561">
        <f t="shared" si="0"/>
        <v>0.20625000000000004</v>
      </c>
      <c r="G30" s="138"/>
      <c r="H30" s="25"/>
      <c r="I30" s="3"/>
      <c r="L30" s="862">
        <v>27</v>
      </c>
      <c r="M30" s="863">
        <v>25.54</v>
      </c>
      <c r="N30" s="863">
        <v>31.72</v>
      </c>
      <c r="O30" s="863">
        <v>18.649999999999999</v>
      </c>
    </row>
    <row r="31" spans="1:17" ht="11.25" customHeight="1">
      <c r="A31" s="137"/>
      <c r="C31" s="273" t="str">
        <f>"Cuadro N°10: Promedio de caudales en "&amp;'1. Resumen'!Q4</f>
        <v>Cuadro N°10: Promedio de caudales en junio</v>
      </c>
      <c r="D31" s="137"/>
      <c r="E31" s="137"/>
      <c r="F31" s="137"/>
      <c r="G31" s="137"/>
      <c r="H31" s="25"/>
      <c r="I31" s="6"/>
      <c r="K31" s="437">
        <v>28</v>
      </c>
      <c r="L31" s="862">
        <v>28</v>
      </c>
      <c r="M31" s="863">
        <v>23.56</v>
      </c>
      <c r="N31" s="863">
        <v>29.25</v>
      </c>
      <c r="O31" s="863">
        <v>14.27</v>
      </c>
    </row>
    <row r="32" spans="1:17" ht="11.25" customHeight="1">
      <c r="A32" s="137"/>
      <c r="B32" s="137"/>
      <c r="C32" s="137"/>
      <c r="D32" s="137"/>
      <c r="E32" s="137"/>
      <c r="F32" s="137"/>
      <c r="G32" s="137"/>
      <c r="H32" s="25"/>
      <c r="I32" s="6"/>
      <c r="L32" s="862">
        <v>29</v>
      </c>
      <c r="M32" s="863">
        <v>22.4</v>
      </c>
      <c r="N32" s="863">
        <v>29.53</v>
      </c>
      <c r="O32" s="863">
        <v>11.51</v>
      </c>
    </row>
    <row r="33" spans="1:15" ht="11.25" customHeight="1">
      <c r="A33" s="137"/>
      <c r="B33" s="137"/>
      <c r="C33" s="137"/>
      <c r="D33" s="137"/>
      <c r="E33" s="137"/>
      <c r="F33" s="137"/>
      <c r="G33" s="137"/>
      <c r="H33" s="25"/>
      <c r="I33" s="6"/>
      <c r="L33" s="862">
        <v>30</v>
      </c>
      <c r="M33" s="863">
        <v>21.29</v>
      </c>
      <c r="N33" s="863">
        <v>27.62</v>
      </c>
      <c r="O33" s="863">
        <v>9.7200000000000006</v>
      </c>
    </row>
    <row r="34" spans="1:15" ht="11.25" customHeight="1">
      <c r="A34" s="137"/>
      <c r="B34" s="137"/>
      <c r="C34" s="137"/>
      <c r="D34" s="137"/>
      <c r="E34" s="137"/>
      <c r="F34" s="137"/>
      <c r="G34" s="137"/>
      <c r="H34" s="25"/>
      <c r="I34" s="6"/>
      <c r="L34" s="862">
        <v>31</v>
      </c>
      <c r="M34" s="863">
        <v>19.34</v>
      </c>
      <c r="N34" s="863">
        <v>27.99</v>
      </c>
      <c r="O34" s="863">
        <v>8.09</v>
      </c>
    </row>
    <row r="35" spans="1:15" ht="17.25" customHeight="1">
      <c r="A35" s="956" t="s">
        <v>385</v>
      </c>
      <c r="B35" s="956"/>
      <c r="C35" s="956"/>
      <c r="D35" s="956"/>
      <c r="E35" s="956"/>
      <c r="F35" s="956"/>
      <c r="G35" s="956"/>
      <c r="H35" s="25"/>
      <c r="I35" s="6"/>
      <c r="K35" s="437">
        <v>32</v>
      </c>
      <c r="L35" s="862">
        <v>32</v>
      </c>
      <c r="M35" s="863">
        <v>19.649999999999999</v>
      </c>
      <c r="N35" s="863">
        <v>31.42</v>
      </c>
      <c r="O35" s="863">
        <v>7.62</v>
      </c>
    </row>
    <row r="36" spans="1:15" ht="11.25" customHeight="1">
      <c r="A36" s="137"/>
      <c r="B36" s="137"/>
      <c r="C36" s="137"/>
      <c r="D36" s="137"/>
      <c r="E36" s="137"/>
      <c r="F36" s="137"/>
      <c r="G36" s="137"/>
      <c r="H36" s="25"/>
      <c r="I36" s="6"/>
      <c r="L36" s="862">
        <v>33</v>
      </c>
      <c r="M36" s="863">
        <v>18.420000000000002</v>
      </c>
      <c r="N36" s="863">
        <v>29.71</v>
      </c>
      <c r="O36" s="863">
        <v>9.5500000000000007</v>
      </c>
    </row>
    <row r="37" spans="1:15" ht="11.25" customHeight="1">
      <c r="A37" s="136"/>
      <c r="B37" s="138"/>
      <c r="C37" s="138"/>
      <c r="D37" s="138"/>
      <c r="E37" s="138"/>
      <c r="F37" s="138"/>
      <c r="G37" s="138"/>
      <c r="H37" s="26"/>
      <c r="I37" s="6"/>
      <c r="L37" s="862">
        <v>34</v>
      </c>
      <c r="M37" s="863">
        <v>17.170000000000002</v>
      </c>
      <c r="N37" s="863">
        <v>30.51</v>
      </c>
      <c r="O37" s="863">
        <v>10.75</v>
      </c>
    </row>
    <row r="38" spans="1:15" ht="11.25" customHeight="1">
      <c r="A38" s="74"/>
      <c r="B38" s="73"/>
      <c r="C38" s="73"/>
      <c r="D38" s="73"/>
      <c r="E38" s="73"/>
      <c r="F38" s="73"/>
      <c r="G38" s="73"/>
      <c r="H38" s="3"/>
      <c r="I38" s="6"/>
      <c r="L38" s="862">
        <v>35</v>
      </c>
      <c r="M38" s="863">
        <v>17.47</v>
      </c>
      <c r="N38" s="863">
        <v>27.5</v>
      </c>
      <c r="O38" s="863">
        <v>8.31</v>
      </c>
    </row>
    <row r="39" spans="1:15" ht="11.25" customHeight="1">
      <c r="A39" s="74"/>
      <c r="B39" s="73"/>
      <c r="C39" s="73"/>
      <c r="D39" s="73"/>
      <c r="E39" s="73"/>
      <c r="F39" s="73"/>
      <c r="G39" s="73"/>
      <c r="H39" s="3"/>
      <c r="I39" s="10"/>
      <c r="K39" s="437">
        <v>36</v>
      </c>
      <c r="L39" s="862">
        <v>36</v>
      </c>
      <c r="M39" s="863">
        <v>13.42</v>
      </c>
      <c r="N39" s="863">
        <v>26.21</v>
      </c>
      <c r="O39" s="863">
        <v>6.53</v>
      </c>
    </row>
    <row r="40" spans="1:15" ht="11.25" customHeight="1">
      <c r="A40" s="74"/>
      <c r="B40" s="73"/>
      <c r="C40" s="73"/>
      <c r="D40" s="73"/>
      <c r="E40" s="73"/>
      <c r="F40" s="73"/>
      <c r="G40" s="73"/>
      <c r="H40" s="3"/>
      <c r="I40" s="10"/>
      <c r="L40" s="862">
        <v>37</v>
      </c>
      <c r="M40" s="863">
        <v>11.2</v>
      </c>
      <c r="N40" s="863">
        <v>29.98</v>
      </c>
      <c r="O40" s="863">
        <v>9.7799999999999994</v>
      </c>
    </row>
    <row r="41" spans="1:15" ht="11.25" customHeight="1">
      <c r="A41" s="74"/>
      <c r="B41" s="73"/>
      <c r="C41" s="73"/>
      <c r="D41" s="73"/>
      <c r="E41" s="73"/>
      <c r="F41" s="73"/>
      <c r="G41" s="73"/>
      <c r="H41" s="3"/>
      <c r="I41" s="7"/>
      <c r="L41" s="862">
        <v>38</v>
      </c>
      <c r="M41" s="863">
        <v>11</v>
      </c>
      <c r="N41" s="863">
        <v>34.369999999999997</v>
      </c>
      <c r="O41" s="863">
        <v>7.47</v>
      </c>
    </row>
    <row r="42" spans="1:15" ht="11.25" customHeight="1">
      <c r="A42" s="74"/>
      <c r="B42" s="73"/>
      <c r="C42" s="73"/>
      <c r="D42" s="73"/>
      <c r="E42" s="73"/>
      <c r="F42" s="73"/>
      <c r="G42" s="73"/>
      <c r="H42" s="3"/>
      <c r="I42" s="7"/>
      <c r="K42" s="437">
        <v>39</v>
      </c>
      <c r="L42" s="862">
        <v>39</v>
      </c>
      <c r="M42" s="863">
        <v>11.14</v>
      </c>
      <c r="N42" s="863">
        <v>42.17</v>
      </c>
      <c r="O42" s="863">
        <v>7.49</v>
      </c>
    </row>
    <row r="43" spans="1:15" ht="11.25" customHeight="1">
      <c r="A43" s="74"/>
      <c r="B43" s="73"/>
      <c r="C43" s="73"/>
      <c r="D43" s="73"/>
      <c r="E43" s="73"/>
      <c r="F43" s="73"/>
      <c r="G43" s="73"/>
      <c r="H43" s="3"/>
      <c r="I43" s="7"/>
      <c r="L43" s="862">
        <v>40</v>
      </c>
      <c r="M43" s="863">
        <v>12.8</v>
      </c>
      <c r="N43" s="863">
        <v>37.270000000000003</v>
      </c>
      <c r="O43" s="863">
        <v>15.47</v>
      </c>
    </row>
    <row r="44" spans="1:15" ht="11.25" customHeight="1">
      <c r="A44" s="74"/>
      <c r="B44" s="73"/>
      <c r="C44" s="73"/>
      <c r="D44" s="73"/>
      <c r="E44" s="73"/>
      <c r="F44" s="73"/>
      <c r="G44" s="73"/>
      <c r="H44" s="6"/>
      <c r="I44" s="10"/>
      <c r="L44" s="862">
        <v>41</v>
      </c>
      <c r="M44" s="863">
        <v>14.41</v>
      </c>
      <c r="N44" s="863">
        <v>40.04</v>
      </c>
      <c r="O44" s="863">
        <v>18</v>
      </c>
    </row>
    <row r="45" spans="1:15" ht="11.25" customHeight="1">
      <c r="A45" s="74"/>
      <c r="B45" s="73"/>
      <c r="C45" s="73"/>
      <c r="D45" s="73"/>
      <c r="E45" s="73"/>
      <c r="F45" s="73"/>
      <c r="G45" s="73"/>
      <c r="H45" s="3"/>
      <c r="I45" s="10"/>
      <c r="L45" s="862">
        <v>42</v>
      </c>
      <c r="M45" s="863">
        <v>15.87</v>
      </c>
      <c r="N45" s="863">
        <v>35.79</v>
      </c>
      <c r="O45" s="863">
        <v>12.74</v>
      </c>
    </row>
    <row r="46" spans="1:15" ht="11.25" customHeight="1">
      <c r="A46" s="74"/>
      <c r="B46" s="73"/>
      <c r="C46" s="73"/>
      <c r="D46" s="73"/>
      <c r="E46" s="73"/>
      <c r="F46" s="73"/>
      <c r="G46" s="73"/>
      <c r="H46" s="3"/>
      <c r="I46" s="10"/>
      <c r="K46" s="437">
        <v>43</v>
      </c>
      <c r="L46" s="862">
        <v>43</v>
      </c>
      <c r="M46" s="863">
        <v>19.61</v>
      </c>
      <c r="N46" s="863">
        <v>50.36</v>
      </c>
      <c r="O46" s="863">
        <v>30.75</v>
      </c>
    </row>
    <row r="47" spans="1:15" ht="11.25" customHeight="1">
      <c r="A47" s="74"/>
      <c r="B47" s="73"/>
      <c r="C47" s="73"/>
      <c r="D47" s="73"/>
      <c r="E47" s="73"/>
      <c r="F47" s="73"/>
      <c r="G47" s="73"/>
      <c r="H47" s="11"/>
      <c r="I47" s="11"/>
      <c r="L47" s="862">
        <v>44</v>
      </c>
      <c r="M47" s="863">
        <v>21.85</v>
      </c>
      <c r="N47" s="863">
        <v>54.94</v>
      </c>
      <c r="O47" s="863">
        <v>23.58</v>
      </c>
    </row>
    <row r="48" spans="1:15" ht="11.25" customHeight="1">
      <c r="A48" s="74"/>
      <c r="B48" s="73"/>
      <c r="C48" s="73"/>
      <c r="D48" s="73"/>
      <c r="E48" s="73"/>
      <c r="F48" s="73"/>
      <c r="G48" s="73"/>
      <c r="H48" s="11"/>
      <c r="I48" s="11"/>
      <c r="L48" s="862">
        <v>45</v>
      </c>
      <c r="M48" s="863">
        <v>16.79</v>
      </c>
      <c r="N48" s="863">
        <v>41.16</v>
      </c>
      <c r="O48" s="863">
        <v>11.77</v>
      </c>
    </row>
    <row r="49" spans="1:15" ht="11.25" customHeight="1">
      <c r="A49" s="74"/>
      <c r="B49" s="73"/>
      <c r="C49" s="73"/>
      <c r="D49" s="73"/>
      <c r="E49" s="73"/>
      <c r="F49" s="73"/>
      <c r="G49" s="73"/>
      <c r="H49" s="11"/>
      <c r="I49" s="11"/>
      <c r="L49" s="862">
        <v>46</v>
      </c>
      <c r="M49" s="863">
        <v>16.010000000000002</v>
      </c>
      <c r="N49" s="863">
        <v>42.65</v>
      </c>
      <c r="O49" s="863">
        <v>9.33</v>
      </c>
    </row>
    <row r="50" spans="1:15" ht="11.25" customHeight="1">
      <c r="A50" s="74"/>
      <c r="B50" s="73"/>
      <c r="C50" s="73"/>
      <c r="D50" s="73"/>
      <c r="E50" s="73"/>
      <c r="F50" s="73"/>
      <c r="G50" s="73"/>
      <c r="H50" s="11"/>
      <c r="I50" s="11"/>
      <c r="L50" s="862">
        <v>47</v>
      </c>
      <c r="M50" s="863">
        <v>14.72</v>
      </c>
      <c r="N50" s="863">
        <v>39.76</v>
      </c>
      <c r="O50" s="863">
        <v>8.19</v>
      </c>
    </row>
    <row r="51" spans="1:15" ht="11.25" customHeight="1">
      <c r="A51" s="74"/>
      <c r="B51" s="73"/>
      <c r="C51" s="73"/>
      <c r="D51" s="73"/>
      <c r="E51" s="73"/>
      <c r="F51" s="73"/>
      <c r="G51" s="73"/>
      <c r="H51" s="11"/>
      <c r="I51" s="11"/>
      <c r="K51" s="437">
        <v>48</v>
      </c>
      <c r="L51" s="862">
        <v>48</v>
      </c>
      <c r="M51" s="863">
        <v>18.932000297142856</v>
      </c>
      <c r="N51" s="863">
        <v>47.388000487142854</v>
      </c>
      <c r="O51" s="863">
        <v>19.661285946</v>
      </c>
    </row>
    <row r="52" spans="1:15" ht="11.25" customHeight="1">
      <c r="A52" s="74"/>
      <c r="B52" s="73"/>
      <c r="C52" s="73"/>
      <c r="D52" s="73"/>
      <c r="E52" s="73"/>
      <c r="F52" s="73"/>
      <c r="G52" s="73"/>
      <c r="H52" s="11"/>
      <c r="I52" s="11"/>
      <c r="L52" s="862">
        <v>49</v>
      </c>
      <c r="M52" s="863">
        <v>28.48371397</v>
      </c>
      <c r="N52" s="863">
        <v>78.087428497142852</v>
      </c>
      <c r="O52" s="863">
        <v>19.181428364285715</v>
      </c>
    </row>
    <row r="53" spans="1:15" ht="11.25" customHeight="1">
      <c r="A53" s="74"/>
      <c r="B53" s="73"/>
      <c r="C53" s="73"/>
      <c r="D53" s="73"/>
      <c r="E53" s="73"/>
      <c r="F53" s="73"/>
      <c r="G53" s="73"/>
      <c r="H53" s="11"/>
      <c r="I53" s="11"/>
      <c r="L53" s="862">
        <v>50</v>
      </c>
      <c r="M53" s="863">
        <v>32.583286012857144</v>
      </c>
      <c r="N53" s="863">
        <v>69.764142717142846</v>
      </c>
      <c r="O53" s="863">
        <v>23.7245715</v>
      </c>
    </row>
    <row r="54" spans="1:15" ht="11.25" customHeight="1">
      <c r="A54" s="74"/>
      <c r="B54" s="73"/>
      <c r="C54" s="73"/>
      <c r="D54" s="73"/>
      <c r="E54" s="73"/>
      <c r="F54" s="73"/>
      <c r="G54" s="73"/>
      <c r="H54" s="11"/>
      <c r="I54" s="11"/>
      <c r="L54" s="862">
        <v>51</v>
      </c>
      <c r="M54" s="863">
        <v>34.501856668571428</v>
      </c>
      <c r="N54" s="863">
        <v>71.14499991142857</v>
      </c>
      <c r="O54" s="863">
        <v>26.158142907142857</v>
      </c>
    </row>
    <row r="55" spans="1:15" ht="12.75">
      <c r="A55" s="74"/>
      <c r="B55" s="73"/>
      <c r="C55" s="73"/>
      <c r="D55" s="73"/>
      <c r="E55" s="73"/>
      <c r="F55" s="73"/>
      <c r="G55" s="73"/>
      <c r="H55" s="11"/>
      <c r="I55" s="11"/>
      <c r="K55" s="437">
        <v>52</v>
      </c>
      <c r="L55" s="862">
        <v>52</v>
      </c>
      <c r="M55" s="863">
        <v>27.781857355714287</v>
      </c>
      <c r="N55" s="863">
        <v>83.196000228571435</v>
      </c>
      <c r="O55" s="863">
        <v>21.776999882857144</v>
      </c>
    </row>
    <row r="56" spans="1:15" ht="12.75">
      <c r="A56" s="74"/>
      <c r="B56" s="73"/>
      <c r="C56" s="73"/>
      <c r="D56" s="73"/>
      <c r="E56" s="73"/>
      <c r="F56" s="73"/>
      <c r="G56" s="73"/>
      <c r="H56" s="11"/>
      <c r="I56" s="11"/>
      <c r="J56" s="111">
        <v>2018</v>
      </c>
      <c r="K56" s="437">
        <v>1</v>
      </c>
      <c r="L56" s="862">
        <v>1</v>
      </c>
      <c r="M56" s="863">
        <v>29.44</v>
      </c>
      <c r="N56" s="863">
        <v>69.087142857142865</v>
      </c>
      <c r="O56" s="863">
        <v>15.747142857142856</v>
      </c>
    </row>
    <row r="57" spans="1:15" ht="12.75">
      <c r="A57" s="74"/>
      <c r="B57" s="73"/>
      <c r="C57" s="73"/>
      <c r="D57" s="73"/>
      <c r="E57" s="73"/>
      <c r="F57" s="73"/>
      <c r="G57" s="73"/>
      <c r="H57" s="11"/>
      <c r="I57" s="11"/>
      <c r="L57" s="862">
        <v>2</v>
      </c>
      <c r="M57" s="863">
        <v>42.880857194285717</v>
      </c>
      <c r="N57" s="863">
        <v>96.785858138571413</v>
      </c>
      <c r="O57" s="863">
        <v>37.6</v>
      </c>
    </row>
    <row r="58" spans="1:15" ht="12.75">
      <c r="A58" s="74"/>
      <c r="B58" s="73"/>
      <c r="C58" s="73"/>
      <c r="D58" s="73"/>
      <c r="E58" s="73"/>
      <c r="F58" s="73"/>
      <c r="G58" s="73"/>
      <c r="H58" s="11"/>
      <c r="I58" s="11"/>
      <c r="L58" s="862">
        <v>3</v>
      </c>
      <c r="M58" s="863">
        <v>74.002572194285705</v>
      </c>
      <c r="N58" s="863">
        <v>158.17728531428571</v>
      </c>
      <c r="O58" s="863">
        <v>101.26128550142856</v>
      </c>
    </row>
    <row r="59" spans="1:15" ht="12.75">
      <c r="A59" s="74"/>
      <c r="B59" s="73"/>
      <c r="C59" s="73"/>
      <c r="D59" s="73"/>
      <c r="E59" s="73"/>
      <c r="F59" s="73"/>
      <c r="G59" s="73"/>
      <c r="H59" s="11"/>
      <c r="I59" s="11"/>
      <c r="K59" s="437">
        <v>4</v>
      </c>
      <c r="L59" s="862">
        <v>4</v>
      </c>
      <c r="M59" s="863">
        <v>77.812570845714291</v>
      </c>
      <c r="N59" s="863">
        <v>167.02357267142858</v>
      </c>
      <c r="O59" s="863">
        <v>77.354000085714276</v>
      </c>
    </row>
    <row r="60" spans="1:15" ht="12.75">
      <c r="A60" s="74"/>
      <c r="B60" s="73"/>
      <c r="C60" s="73"/>
      <c r="D60" s="73"/>
      <c r="E60" s="73"/>
      <c r="F60" s="73"/>
      <c r="G60" s="73"/>
      <c r="H60" s="11"/>
      <c r="I60" s="11"/>
      <c r="L60" s="862">
        <v>5</v>
      </c>
      <c r="M60" s="863">
        <v>61.531714848571433</v>
      </c>
      <c r="N60" s="863">
        <v>113.19585745142855</v>
      </c>
      <c r="O60" s="863">
        <v>30.667142595714285</v>
      </c>
    </row>
    <row r="61" spans="1:15" ht="12.75">
      <c r="A61" s="273" t="s">
        <v>473</v>
      </c>
      <c r="B61" s="73"/>
      <c r="C61" s="73"/>
      <c r="D61" s="73"/>
      <c r="E61" s="73"/>
      <c r="F61" s="73"/>
      <c r="G61" s="73"/>
      <c r="H61" s="11"/>
      <c r="I61" s="11"/>
      <c r="L61" s="862">
        <v>6</v>
      </c>
      <c r="M61" s="863">
        <v>54.024142672857138</v>
      </c>
      <c r="N61" s="863">
        <v>88.535714287142852</v>
      </c>
      <c r="O61" s="863">
        <v>32.444142750000005</v>
      </c>
    </row>
    <row r="62" spans="1:15">
      <c r="L62" s="862">
        <v>7</v>
      </c>
      <c r="M62" s="863">
        <v>59.271427155714285</v>
      </c>
      <c r="N62" s="863">
        <v>99.37822619047617</v>
      </c>
      <c r="O62" s="863">
        <v>30.338148809523812</v>
      </c>
    </row>
    <row r="63" spans="1:15">
      <c r="K63" s="437">
        <v>8</v>
      </c>
      <c r="L63" s="862">
        <v>8</v>
      </c>
      <c r="M63" s="863">
        <v>78.025571005714284</v>
      </c>
      <c r="N63" s="863">
        <v>140.28</v>
      </c>
      <c r="O63" s="863">
        <v>62.97</v>
      </c>
    </row>
    <row r="64" spans="1:15">
      <c r="L64" s="862">
        <v>9</v>
      </c>
      <c r="M64" s="863">
        <v>61.11871501571428</v>
      </c>
      <c r="N64" s="863">
        <v>102.99642836285715</v>
      </c>
      <c r="O64" s="863">
        <v>31.244571685714288</v>
      </c>
    </row>
    <row r="65" spans="11:15">
      <c r="L65" s="862">
        <v>10</v>
      </c>
      <c r="M65" s="863">
        <v>84.500714981428573</v>
      </c>
      <c r="N65" s="863">
        <v>175.90485927142853</v>
      </c>
      <c r="O65" s="863">
        <v>36.038285662857142</v>
      </c>
    </row>
    <row r="66" spans="11:15">
      <c r="L66" s="862">
        <v>11</v>
      </c>
      <c r="M66" s="863">
        <v>83.643855504285725</v>
      </c>
      <c r="N66" s="863">
        <v>169.64671761428571</v>
      </c>
      <c r="O66" s="863">
        <v>25.076428275714282</v>
      </c>
    </row>
    <row r="67" spans="11:15">
      <c r="K67" s="437">
        <v>12</v>
      </c>
      <c r="L67" s="862">
        <v>12</v>
      </c>
      <c r="M67" s="863">
        <v>98.99</v>
      </c>
      <c r="N67" s="863">
        <v>198.22</v>
      </c>
      <c r="O67" s="863">
        <v>24.63</v>
      </c>
    </row>
    <row r="68" spans="11:15">
      <c r="L68" s="862">
        <v>13</v>
      </c>
      <c r="M68" s="863">
        <v>106.64928652857144</v>
      </c>
      <c r="N68" s="863">
        <v>312.6314304857143</v>
      </c>
      <c r="O68" s="863">
        <v>38.701428550000003</v>
      </c>
    </row>
    <row r="69" spans="11:15">
      <c r="L69" s="862">
        <v>14</v>
      </c>
      <c r="M69" s="863">
        <v>86.488428389999996</v>
      </c>
      <c r="N69" s="863">
        <v>235.31328691428573</v>
      </c>
      <c r="O69" s="863">
        <v>94.596427907142839</v>
      </c>
    </row>
    <row r="70" spans="11:15">
      <c r="L70" s="862">
        <v>15</v>
      </c>
      <c r="M70" s="863">
        <v>88.217001778571429</v>
      </c>
      <c r="N70" s="863">
        <v>294.1721409428572</v>
      </c>
      <c r="O70" s="863">
        <v>92.07</v>
      </c>
    </row>
    <row r="71" spans="11:15">
      <c r="K71" s="437">
        <v>16</v>
      </c>
      <c r="L71" s="862">
        <v>16</v>
      </c>
      <c r="M71" s="863">
        <v>65.84</v>
      </c>
      <c r="N71" s="863">
        <v>149.18</v>
      </c>
      <c r="O71" s="863">
        <v>45.4</v>
      </c>
    </row>
    <row r="72" spans="11:15">
      <c r="L72" s="862">
        <v>17</v>
      </c>
      <c r="M72" s="863">
        <v>51.88</v>
      </c>
      <c r="N72" s="863">
        <v>104.35</v>
      </c>
      <c r="O72" s="863">
        <v>41.47</v>
      </c>
    </row>
    <row r="73" spans="11:15">
      <c r="L73" s="862">
        <v>18</v>
      </c>
      <c r="M73" s="863">
        <v>49.672285897142856</v>
      </c>
      <c r="N73" s="863">
        <v>78.038143701428567</v>
      </c>
      <c r="O73" s="863">
        <v>65.800999782857133</v>
      </c>
    </row>
    <row r="74" spans="11:15">
      <c r="L74" s="862">
        <v>19</v>
      </c>
      <c r="M74" s="863">
        <v>45.203000204285708</v>
      </c>
      <c r="N74" s="863">
        <v>78.313856942857129</v>
      </c>
      <c r="O74" s="863">
        <v>75.104713441428572</v>
      </c>
    </row>
    <row r="75" spans="11:15">
      <c r="K75" s="437">
        <v>20</v>
      </c>
      <c r="L75" s="862">
        <v>20</v>
      </c>
      <c r="M75" s="863">
        <v>37.385857718571437</v>
      </c>
      <c r="N75" s="863">
        <v>130.92628696285712</v>
      </c>
      <c r="O75" s="863">
        <v>97.861000055714285</v>
      </c>
    </row>
    <row r="76" spans="11:15">
      <c r="L76" s="862">
        <v>21</v>
      </c>
      <c r="M76" s="863">
        <v>31.609713962857143</v>
      </c>
      <c r="N76" s="863">
        <v>64.449287412857146</v>
      </c>
      <c r="O76" s="863">
        <v>107.7964292242857</v>
      </c>
    </row>
    <row r="77" spans="11:15">
      <c r="L77" s="862">
        <v>22</v>
      </c>
      <c r="M77" s="863">
        <v>23.360142844285715</v>
      </c>
      <c r="N77" s="863">
        <v>64.449287412857146</v>
      </c>
      <c r="O77" s="863">
        <v>107.7964292242857</v>
      </c>
    </row>
    <row r="78" spans="11:15">
      <c r="L78" s="862">
        <v>23</v>
      </c>
      <c r="M78" s="863">
        <v>22.118571418571431</v>
      </c>
      <c r="N78" s="863">
        <v>39.50100054</v>
      </c>
      <c r="O78" s="863">
        <v>35.176713670000005</v>
      </c>
    </row>
    <row r="79" spans="11:15">
      <c r="K79" s="437">
        <v>24</v>
      </c>
      <c r="L79" s="862">
        <v>24</v>
      </c>
      <c r="M79" s="863">
        <v>18.655142918571432</v>
      </c>
      <c r="N79" s="863">
        <v>33.690285274285714</v>
      </c>
      <c r="O79" s="863">
        <v>23.41942841571429</v>
      </c>
    </row>
    <row r="80" spans="11:15">
      <c r="L80" s="862">
        <v>25</v>
      </c>
      <c r="M80" s="863">
        <v>15.664428437142856</v>
      </c>
      <c r="N80" s="863">
        <v>30.228428704285715</v>
      </c>
      <c r="O80" s="863">
        <v>15.98614284142857</v>
      </c>
    </row>
    <row r="81" spans="11:15">
      <c r="L81" s="862">
        <v>26</v>
      </c>
      <c r="M81" s="863">
        <v>13.848143032857147</v>
      </c>
      <c r="N81" s="863">
        <v>27.872285568571431</v>
      </c>
      <c r="O81" s="863">
        <v>14.09042848857143</v>
      </c>
    </row>
    <row r="82" spans="11:15">
      <c r="L82" s="862">
        <v>27</v>
      </c>
      <c r="M82" s="863">
        <v>12.865857259999999</v>
      </c>
      <c r="N82" s="863">
        <v>27.257571358571429</v>
      </c>
      <c r="O82" s="863">
        <v>11.838857105714284</v>
      </c>
    </row>
    <row r="83" spans="11:15">
      <c r="K83" s="437">
        <v>28</v>
      </c>
      <c r="L83" s="862">
        <v>28</v>
      </c>
      <c r="M83" s="863">
        <v>12.915285789999999</v>
      </c>
      <c r="N83" s="863">
        <v>27.217285974285712</v>
      </c>
      <c r="O83" s="863">
        <v>9.7789998731428565</v>
      </c>
    </row>
    <row r="84" spans="11:15">
      <c r="L84" s="862">
        <v>29</v>
      </c>
      <c r="M84" s="863">
        <v>15.908571428571426</v>
      </c>
      <c r="N84" s="863">
        <v>24.955714285714286</v>
      </c>
      <c r="O84" s="863">
        <v>8.4957142857142856</v>
      </c>
    </row>
    <row r="85" spans="11:15">
      <c r="L85" s="862">
        <v>30</v>
      </c>
      <c r="M85" s="863">
        <v>16.584000042857145</v>
      </c>
      <c r="N85" s="863">
        <v>24.80942862142857</v>
      </c>
      <c r="O85" s="863">
        <v>7.807428428142857</v>
      </c>
    </row>
    <row r="86" spans="11:15">
      <c r="L86" s="862">
        <v>31</v>
      </c>
      <c r="M86" s="863">
        <v>18.553000000000001</v>
      </c>
      <c r="N86" s="863">
        <v>25.690999999999999</v>
      </c>
      <c r="O86" s="863">
        <v>7.53</v>
      </c>
    </row>
    <row r="87" spans="11:15">
      <c r="K87" s="437">
        <v>32</v>
      </c>
      <c r="L87" s="862">
        <v>32</v>
      </c>
      <c r="M87" s="863">
        <v>17.769714355714285</v>
      </c>
      <c r="N87" s="863">
        <v>27.630000251428573</v>
      </c>
      <c r="O87" s="863">
        <v>6.4074286734285701</v>
      </c>
    </row>
    <row r="88" spans="11:15">
      <c r="L88" s="862">
        <v>33</v>
      </c>
      <c r="M88" s="863">
        <v>14.782857348571428</v>
      </c>
      <c r="N88" s="863">
        <v>23.78</v>
      </c>
      <c r="O88" s="863">
        <v>4.9400000000000004</v>
      </c>
    </row>
    <row r="89" spans="11:15">
      <c r="L89" s="862">
        <v>34</v>
      </c>
      <c r="M89" s="863">
        <v>15.984000069999999</v>
      </c>
      <c r="N89" s="863">
        <v>23.527999878571428</v>
      </c>
      <c r="O89" s="863">
        <v>4.6688571658571432</v>
      </c>
    </row>
    <row r="90" spans="11:15">
      <c r="L90" s="862">
        <v>35</v>
      </c>
      <c r="M90" s="863">
        <v>15.55</v>
      </c>
      <c r="N90" s="863">
        <v>23.29</v>
      </c>
      <c r="O90" s="863">
        <v>4.5999999999999996</v>
      </c>
    </row>
    <row r="91" spans="11:15">
      <c r="K91" s="437">
        <v>36</v>
      </c>
      <c r="L91" s="862">
        <v>36</v>
      </c>
      <c r="M91" s="863">
        <v>15.042857142857143</v>
      </c>
      <c r="N91" s="863">
        <v>23.007142857142856</v>
      </c>
      <c r="O91" s="863">
        <v>3.9657142857142857</v>
      </c>
    </row>
    <row r="92" spans="11:15">
      <c r="L92" s="862">
        <v>37</v>
      </c>
      <c r="M92" s="863">
        <v>13.386857033</v>
      </c>
      <c r="N92" s="863">
        <v>23.173571724285711</v>
      </c>
      <c r="O92" s="863">
        <v>3.5334285327142858</v>
      </c>
    </row>
    <row r="93" spans="11:15">
      <c r="L93" s="862">
        <v>38</v>
      </c>
      <c r="M93" s="863">
        <v>12.963714189999999</v>
      </c>
      <c r="N93" s="863">
        <v>26.454000201428567</v>
      </c>
      <c r="O93" s="863">
        <v>6.4914285118571433</v>
      </c>
    </row>
    <row r="94" spans="11:15">
      <c r="L94" s="862">
        <v>39</v>
      </c>
      <c r="M94" s="863">
        <v>9.4700000000000006</v>
      </c>
      <c r="N94" s="863">
        <v>23.7</v>
      </c>
      <c r="O94" s="863">
        <v>4.9000000000000004</v>
      </c>
    </row>
    <row r="95" spans="11:15">
      <c r="K95" s="437">
        <v>40</v>
      </c>
      <c r="L95" s="862">
        <v>40</v>
      </c>
      <c r="M95" s="863">
        <v>9.6714286802857146</v>
      </c>
      <c r="N95" s="863">
        <v>23.695143017142858</v>
      </c>
      <c r="O95" s="863">
        <v>4.898285797571428</v>
      </c>
    </row>
    <row r="96" spans="11:15">
      <c r="L96" s="862">
        <v>41</v>
      </c>
      <c r="M96" s="863">
        <v>13.23900018419533</v>
      </c>
      <c r="N96" s="863">
        <v>28.113285882132363</v>
      </c>
      <c r="O96" s="863">
        <v>8.3430000032697169</v>
      </c>
    </row>
    <row r="97" spans="10:15">
      <c r="L97" s="862">
        <v>42</v>
      </c>
      <c r="M97" s="863">
        <v>13.085142816816015</v>
      </c>
      <c r="N97" s="863">
        <v>37.073285511561743</v>
      </c>
      <c r="O97" s="863">
        <v>7.2735712868826683</v>
      </c>
    </row>
    <row r="98" spans="10:15">
      <c r="L98" s="862">
        <v>43</v>
      </c>
      <c r="M98" s="863">
        <v>24.981571742466489</v>
      </c>
      <c r="N98" s="863">
        <v>70.535571507045162</v>
      </c>
      <c r="O98" s="863">
        <v>7.4324284962245324</v>
      </c>
    </row>
    <row r="99" spans="10:15">
      <c r="K99" s="437">
        <v>44</v>
      </c>
      <c r="L99" s="862">
        <v>44</v>
      </c>
      <c r="M99" s="863">
        <v>20.55814279714286</v>
      </c>
      <c r="N99" s="863">
        <v>55.183714184285712</v>
      </c>
      <c r="O99" s="863">
        <v>15.801856994857145</v>
      </c>
    </row>
    <row r="100" spans="10:15">
      <c r="L100" s="862">
        <v>45</v>
      </c>
      <c r="M100" s="863">
        <v>26.170000077142856</v>
      </c>
      <c r="N100" s="863">
        <v>60.445714132857141</v>
      </c>
      <c r="O100" s="863">
        <v>26.432857787142858</v>
      </c>
    </row>
    <row r="101" spans="10:15">
      <c r="L101" s="862">
        <v>46</v>
      </c>
      <c r="M101" s="863">
        <v>19.728571428571428</v>
      </c>
      <c r="N101" s="863">
        <v>57.005714285714291</v>
      </c>
      <c r="O101" s="863">
        <v>53.502857142857145</v>
      </c>
    </row>
    <row r="102" spans="10:15">
      <c r="L102" s="862">
        <v>47</v>
      </c>
      <c r="M102" s="863">
        <v>39.656714302857139</v>
      </c>
      <c r="N102" s="863">
        <v>103.00771440714287</v>
      </c>
      <c r="O102" s="863">
        <v>53.459142955714292</v>
      </c>
    </row>
    <row r="103" spans="10:15">
      <c r="K103" s="437">
        <v>48</v>
      </c>
      <c r="L103" s="862">
        <v>48</v>
      </c>
      <c r="M103" s="863">
        <v>39.656714302857139</v>
      </c>
      <c r="N103" s="863">
        <v>99.828000734285709</v>
      </c>
      <c r="O103" s="863">
        <v>45.539571760000008</v>
      </c>
    </row>
    <row r="104" spans="10:15">
      <c r="L104" s="862">
        <v>49</v>
      </c>
      <c r="M104" s="863">
        <v>22.62857142857143</v>
      </c>
      <c r="N104" s="863">
        <v>60.27571428571428</v>
      </c>
      <c r="O104" s="863">
        <v>17.955714285714286</v>
      </c>
    </row>
    <row r="105" spans="10:15">
      <c r="L105" s="862">
        <v>50</v>
      </c>
      <c r="M105" s="863">
        <v>17.776714461428572</v>
      </c>
      <c r="N105" s="863">
        <v>46.701999664285715</v>
      </c>
      <c r="O105" s="863">
        <v>13.432571411428571</v>
      </c>
    </row>
    <row r="106" spans="10:15">
      <c r="L106" s="862">
        <v>51</v>
      </c>
      <c r="M106" s="863">
        <v>34.085714285714282</v>
      </c>
      <c r="N106" s="863">
        <v>68.7</v>
      </c>
      <c r="O106" s="863">
        <v>39.414285714285711</v>
      </c>
    </row>
    <row r="107" spans="10:15">
      <c r="K107" s="437">
        <v>52</v>
      </c>
      <c r="L107" s="862">
        <v>52</v>
      </c>
      <c r="M107" s="863">
        <v>52.094142914285719</v>
      </c>
      <c r="N107" s="863">
        <v>97.347143448571416</v>
      </c>
      <c r="O107" s="863">
        <v>65.679429182857149</v>
      </c>
    </row>
    <row r="108" spans="10:15">
      <c r="J108" s="111">
        <v>2019</v>
      </c>
      <c r="K108" s="437">
        <v>1</v>
      </c>
      <c r="L108" s="862">
        <v>1</v>
      </c>
      <c r="M108" s="863">
        <v>27.79999951142857</v>
      </c>
      <c r="N108" s="863">
        <v>78.298570904285711</v>
      </c>
      <c r="O108" s="863">
        <v>21.927143370000003</v>
      </c>
    </row>
    <row r="109" spans="10:15">
      <c r="L109" s="862">
        <v>2</v>
      </c>
      <c r="M109" s="863">
        <v>28.678571428571427</v>
      </c>
      <c r="N109" s="863">
        <v>95.081715179999989</v>
      </c>
      <c r="O109" s="863">
        <v>22.397999900000002</v>
      </c>
    </row>
    <row r="110" spans="10:15">
      <c r="L110" s="862">
        <v>3</v>
      </c>
      <c r="M110" s="863">
        <v>44.51</v>
      </c>
      <c r="N110" s="863">
        <v>95.65</v>
      </c>
      <c r="O110" s="863">
        <v>17.61</v>
      </c>
    </row>
    <row r="111" spans="10:15">
      <c r="K111" s="437">
        <v>4</v>
      </c>
      <c r="L111" s="862">
        <v>4</v>
      </c>
      <c r="M111" s="863">
        <v>73.323141914285699</v>
      </c>
      <c r="N111" s="863">
        <v>109.29957036285714</v>
      </c>
      <c r="O111" s="863">
        <v>17.638000354285712</v>
      </c>
    </row>
    <row r="112" spans="10:15">
      <c r="L112" s="862">
        <v>5</v>
      </c>
      <c r="M112" s="863">
        <v>103.17716724333333</v>
      </c>
      <c r="N112" s="863">
        <v>149.65083311999999</v>
      </c>
      <c r="O112" s="863">
        <v>19.218833289999999</v>
      </c>
    </row>
    <row r="113" spans="11:15">
      <c r="L113" s="862">
        <v>6</v>
      </c>
      <c r="M113" s="863">
        <v>79.165714285714287</v>
      </c>
      <c r="N113" s="863">
        <v>136.57714285714286</v>
      </c>
      <c r="O113" s="863">
        <v>57.185714285714276</v>
      </c>
    </row>
    <row r="114" spans="11:15">
      <c r="L114" s="862">
        <v>7</v>
      </c>
      <c r="M114" s="863">
        <v>120.02256992142858</v>
      </c>
      <c r="N114" s="863">
        <v>224.71071514285714</v>
      </c>
      <c r="O114" s="863">
        <v>118.06042697857141</v>
      </c>
    </row>
    <row r="115" spans="11:15">
      <c r="K115" s="437">
        <v>8</v>
      </c>
      <c r="L115" s="862">
        <v>8</v>
      </c>
      <c r="M115" s="863">
        <v>97.560142514285715</v>
      </c>
      <c r="N115" s="863">
        <v>198.04342652857142</v>
      </c>
      <c r="O115" s="863">
        <v>106.29885756428571</v>
      </c>
    </row>
    <row r="116" spans="11:15">
      <c r="L116" s="862">
        <v>9</v>
      </c>
      <c r="M116" s="863">
        <v>97.560142514285715</v>
      </c>
      <c r="N116" s="863">
        <v>191.0112849857143</v>
      </c>
      <c r="O116" s="863">
        <v>142.12385776285717</v>
      </c>
    </row>
    <row r="117" spans="11:15">
      <c r="L117" s="862">
        <v>10</v>
      </c>
      <c r="M117" s="863">
        <v>97.497286117142863</v>
      </c>
      <c r="N117" s="863">
        <v>215.64014109999999</v>
      </c>
      <c r="O117" s="863">
        <v>164.59685624285717</v>
      </c>
    </row>
    <row r="118" spans="11:15">
      <c r="L118" s="862">
        <v>11</v>
      </c>
      <c r="M118" s="863">
        <v>98.21585736955906</v>
      </c>
      <c r="N118" s="863">
        <v>236.76099940708642</v>
      </c>
      <c r="O118" s="863">
        <v>121.6507121494835</v>
      </c>
    </row>
    <row r="119" spans="11:15">
      <c r="K119" s="437">
        <v>12</v>
      </c>
      <c r="L119" s="862">
        <v>12</v>
      </c>
      <c r="M119" s="863">
        <v>91.857713972857141</v>
      </c>
      <c r="N119" s="863">
        <v>250.8679761904763</v>
      </c>
      <c r="O119" s="863">
        <v>166.63136904761905</v>
      </c>
    </row>
    <row r="120" spans="11:15">
      <c r="L120" s="862">
        <v>13</v>
      </c>
      <c r="M120" s="863">
        <v>100.0137132957143</v>
      </c>
      <c r="N120" s="863">
        <v>301.45971681428574</v>
      </c>
      <c r="O120" s="863">
        <v>180.07000078571429</v>
      </c>
    </row>
    <row r="121" spans="11:15">
      <c r="L121" s="862">
        <v>14</v>
      </c>
      <c r="M121" s="863">
        <v>84.272714885714294</v>
      </c>
      <c r="N121" s="863">
        <v>253.08542525714284</v>
      </c>
      <c r="O121" s="863">
        <v>143.43971579999999</v>
      </c>
    </row>
    <row r="122" spans="11:15">
      <c r="L122" s="862">
        <v>15</v>
      </c>
      <c r="M122" s="863">
        <v>61.074856892857142</v>
      </c>
      <c r="N122" s="863">
        <v>253.08542525714284</v>
      </c>
      <c r="O122" s="863">
        <v>152.6561442857143</v>
      </c>
    </row>
    <row r="123" spans="11:15">
      <c r="K123" s="437">
        <v>16</v>
      </c>
      <c r="L123" s="862">
        <v>16</v>
      </c>
      <c r="M123" s="863">
        <v>47.843714031428576</v>
      </c>
      <c r="N123" s="863">
        <v>141.0458592</v>
      </c>
      <c r="O123" s="863">
        <v>83.844285145714295</v>
      </c>
    </row>
    <row r="124" spans="11:15">
      <c r="L124" s="862">
        <v>17</v>
      </c>
      <c r="M124" s="863">
        <v>50.907143728571427</v>
      </c>
      <c r="N124" s="863">
        <v>123.86656951428571</v>
      </c>
      <c r="O124" s="863">
        <v>125.28814153857142</v>
      </c>
    </row>
    <row r="125" spans="11:15">
      <c r="L125" s="862">
        <v>18</v>
      </c>
      <c r="M125" s="863">
        <v>39.120999471428568</v>
      </c>
      <c r="N125" s="863">
        <v>85.173857551428583</v>
      </c>
      <c r="O125" s="863">
        <v>66.347143447142855</v>
      </c>
    </row>
    <row r="126" spans="11:15">
      <c r="L126" s="862">
        <v>19</v>
      </c>
      <c r="M126" s="863">
        <v>35.410856791428571</v>
      </c>
      <c r="N126" s="863">
        <v>71.224285714285699</v>
      </c>
      <c r="O126" s="863">
        <v>42.216071428571425</v>
      </c>
    </row>
    <row r="127" spans="11:15">
      <c r="L127" s="862">
        <v>20</v>
      </c>
      <c r="M127" s="863">
        <v>32.405142920000003</v>
      </c>
      <c r="N127" s="863">
        <v>76.857142859999996</v>
      </c>
      <c r="O127" s="863">
        <v>58.324429100000003</v>
      </c>
    </row>
    <row r="128" spans="11:15">
      <c r="L128" s="862">
        <v>21</v>
      </c>
      <c r="M128" s="863">
        <v>26.58385740142857</v>
      </c>
      <c r="N128" s="863">
        <v>47.97114345</v>
      </c>
      <c r="O128" s="863">
        <v>34.032571519999998</v>
      </c>
    </row>
    <row r="129" spans="11:15">
      <c r="K129" s="437">
        <v>22</v>
      </c>
      <c r="L129" s="862">
        <v>22</v>
      </c>
      <c r="M129" s="863">
        <v>19.653714315714286</v>
      </c>
      <c r="N129" s="863">
        <v>37.624285945285713</v>
      </c>
      <c r="O129" s="863">
        <v>40.524285998571429</v>
      </c>
    </row>
    <row r="130" spans="11:15">
      <c r="L130" s="862">
        <v>23</v>
      </c>
      <c r="M130" s="863">
        <v>16.50400011857143</v>
      </c>
      <c r="N130" s="863">
        <v>37.806285858571421</v>
      </c>
      <c r="O130" s="863">
        <v>25.010571342857141</v>
      </c>
    </row>
    <row r="131" spans="11:15">
      <c r="L131" s="862">
        <v>24</v>
      </c>
      <c r="M131" s="863">
        <v>14.890428544285713</v>
      </c>
      <c r="N131" s="863">
        <v>35.468714032857143</v>
      </c>
      <c r="O131" s="863">
        <v>18.242713997857145</v>
      </c>
    </row>
    <row r="132" spans="11:15">
      <c r="L132" s="862">
        <v>25</v>
      </c>
      <c r="M132" s="863">
        <v>15.340000017142858</v>
      </c>
      <c r="N132" s="863">
        <v>33.200142724285719</v>
      </c>
      <c r="O132" s="863">
        <v>16.013142995714286</v>
      </c>
    </row>
    <row r="133" spans="11:15">
      <c r="K133" s="437">
        <v>26</v>
      </c>
      <c r="L133" s="862">
        <v>26</v>
      </c>
      <c r="M133" s="863">
        <v>15.521142687142857</v>
      </c>
      <c r="N133" s="863">
        <v>28.376285825714287</v>
      </c>
      <c r="O133" s="863">
        <v>12.961571557142857</v>
      </c>
    </row>
    <row r="134" spans="11:15">
      <c r="L134" s="862">
        <v>27</v>
      </c>
      <c r="M134" s="863">
        <v>15.32</v>
      </c>
      <c r="N134" s="863">
        <v>28.47</v>
      </c>
      <c r="O134" s="863">
        <v>11.39</v>
      </c>
    </row>
    <row r="135" spans="11:15">
      <c r="L135" s="862">
        <v>28</v>
      </c>
      <c r="M135" s="863">
        <v>14.809428488571427</v>
      </c>
      <c r="N135" s="864">
        <v>28.920333226666667</v>
      </c>
      <c r="O135" s="863">
        <v>11.405166626666668</v>
      </c>
    </row>
    <row r="136" spans="11:15">
      <c r="L136" s="862">
        <v>29</v>
      </c>
      <c r="M136" s="863">
        <v>13.666428565978956</v>
      </c>
      <c r="N136" s="864">
        <v>24.422333717346149</v>
      </c>
      <c r="O136" s="863">
        <v>10.173999945322651</v>
      </c>
    </row>
    <row r="137" spans="11:15">
      <c r="K137" s="437">
        <v>30</v>
      </c>
      <c r="L137" s="862">
        <v>30</v>
      </c>
      <c r="M137" s="863">
        <v>13.392857142857142</v>
      </c>
      <c r="N137" s="864">
        <v>24.086666666666662</v>
      </c>
      <c r="O137" s="863">
        <v>9.1716666666666669</v>
      </c>
    </row>
    <row r="138" spans="11:15">
      <c r="L138" s="862">
        <v>31</v>
      </c>
      <c r="M138" s="863">
        <v>13.098428589999999</v>
      </c>
      <c r="N138" s="864">
        <v>22.471285411428575</v>
      </c>
      <c r="O138" s="863">
        <v>8.5915715354285727</v>
      </c>
    </row>
    <row r="139" spans="11:15">
      <c r="L139" s="862">
        <v>32</v>
      </c>
      <c r="M139" s="863">
        <v>12.228285654285713</v>
      </c>
      <c r="N139" s="864">
        <v>25.212714058571429</v>
      </c>
      <c r="O139" s="863">
        <v>6.6260000637142857</v>
      </c>
    </row>
    <row r="140" spans="11:15">
      <c r="L140" s="862">
        <v>33</v>
      </c>
      <c r="M140" s="863">
        <v>12.838714327142856</v>
      </c>
      <c r="N140" s="864">
        <v>28.061000278571431</v>
      </c>
      <c r="O140" s="863">
        <v>5.9311428751428581</v>
      </c>
    </row>
    <row r="141" spans="11:15">
      <c r="K141" s="437">
        <v>34</v>
      </c>
      <c r="L141" s="862">
        <v>34</v>
      </c>
      <c r="M141" s="863">
        <v>12.37928554</v>
      </c>
      <c r="N141" s="864">
        <v>28.455856868571431</v>
      </c>
      <c r="O141" s="863">
        <v>5.2604285648571434</v>
      </c>
    </row>
    <row r="142" spans="11:15">
      <c r="L142" s="862">
        <v>35</v>
      </c>
      <c r="M142" s="863">
        <v>11.92371409142857</v>
      </c>
      <c r="N142" s="864">
        <v>26.646000226666668</v>
      </c>
      <c r="O142" s="863">
        <v>4.7316666444999997</v>
      </c>
    </row>
    <row r="143" spans="11:15">
      <c r="L143" s="862">
        <v>36</v>
      </c>
      <c r="M143" s="863">
        <v>10.731857162857143</v>
      </c>
      <c r="N143" s="863">
        <v>27.720570974285714</v>
      </c>
      <c r="O143" s="863">
        <v>4.5542856622857144</v>
      </c>
    </row>
    <row r="144" spans="11:15">
      <c r="L144" s="862">
        <v>37</v>
      </c>
      <c r="M144" s="863">
        <v>11.481428825714286</v>
      </c>
      <c r="N144" s="863">
        <v>27.967571258571429</v>
      </c>
      <c r="O144" s="863">
        <v>4.1919999124285718</v>
      </c>
    </row>
    <row r="145" spans="11:15">
      <c r="L145" s="862">
        <v>38</v>
      </c>
      <c r="M145" s="863">
        <v>12.217142857142859</v>
      </c>
      <c r="N145" s="863">
        <v>31.354000000000003</v>
      </c>
      <c r="O145" s="863">
        <v>4.1759999999999993</v>
      </c>
    </row>
    <row r="146" spans="11:15">
      <c r="L146" s="862">
        <v>39</v>
      </c>
      <c r="M146" s="863">
        <v>15.0261430740356</v>
      </c>
      <c r="N146" s="863">
        <v>37.146399307250938</v>
      </c>
      <c r="O146" s="863">
        <v>4.8932001113891559</v>
      </c>
    </row>
    <row r="147" spans="11:15">
      <c r="K147" s="437">
        <v>40</v>
      </c>
      <c r="L147" s="862">
        <v>40</v>
      </c>
      <c r="M147" s="863">
        <v>13.292000225714288</v>
      </c>
      <c r="N147" s="865">
        <v>29.934999783333328</v>
      </c>
      <c r="O147" s="863">
        <v>5.3130000431666664</v>
      </c>
    </row>
    <row r="148" spans="11:15">
      <c r="L148" s="862">
        <v>41</v>
      </c>
      <c r="M148" s="863">
        <v>15.472143037142859</v>
      </c>
      <c r="N148" s="865">
        <v>31.668000084285715</v>
      </c>
      <c r="O148" s="863">
        <v>8.3924286701428574</v>
      </c>
    </row>
    <row r="149" spans="11:15">
      <c r="L149" s="862">
        <v>42</v>
      </c>
      <c r="M149" s="863">
        <v>14.602857142857143</v>
      </c>
      <c r="N149" s="865">
        <v>30.061428571428571</v>
      </c>
      <c r="O149" s="863">
        <v>9.2871428571428574</v>
      </c>
    </row>
    <row r="150" spans="11:15">
      <c r="L150" s="862">
        <v>43</v>
      </c>
      <c r="M150" s="863">
        <v>18.763999527142854</v>
      </c>
      <c r="N150" s="865">
        <v>48.129999975714291</v>
      </c>
      <c r="O150" s="863">
        <v>18.153714861428572</v>
      </c>
    </row>
    <row r="151" spans="11:15">
      <c r="K151" s="437">
        <v>44</v>
      </c>
      <c r="L151" s="862">
        <v>44</v>
      </c>
      <c r="M151" s="863">
        <v>12.722428322857143</v>
      </c>
      <c r="N151" s="865">
        <v>37.781833011666663</v>
      </c>
      <c r="O151" s="863">
        <v>19.903499760000003</v>
      </c>
    </row>
    <row r="152" spans="11:15">
      <c r="L152" s="862">
        <v>45</v>
      </c>
      <c r="M152" s="863">
        <v>22.372000012857146</v>
      </c>
      <c r="N152" s="863">
        <v>60.721429549999996</v>
      </c>
      <c r="O152" s="863">
        <v>69.077428547142844</v>
      </c>
    </row>
    <row r="153" spans="11:15">
      <c r="L153" s="862">
        <v>46</v>
      </c>
      <c r="M153" s="863">
        <v>28.101571491428576</v>
      </c>
      <c r="N153" s="863">
        <v>68.569856369999997</v>
      </c>
      <c r="O153" s="863">
        <v>51.190428054285711</v>
      </c>
    </row>
    <row r="154" spans="11:15">
      <c r="L154" s="862">
        <v>47</v>
      </c>
      <c r="M154" s="863">
        <v>22.222285951428574</v>
      </c>
      <c r="N154" s="863">
        <v>51.534999302857152</v>
      </c>
      <c r="O154" s="863">
        <v>21.676285608571426</v>
      </c>
    </row>
    <row r="155" spans="11:15">
      <c r="K155" s="437">
        <v>48</v>
      </c>
      <c r="L155" s="862">
        <v>48</v>
      </c>
      <c r="M155" s="863">
        <v>18.796428408571426</v>
      </c>
      <c r="N155" s="863">
        <v>45.115714484285718</v>
      </c>
      <c r="O155" s="863">
        <v>19.428714208571428</v>
      </c>
    </row>
    <row r="156" spans="11:15">
      <c r="L156" s="862">
        <v>49</v>
      </c>
      <c r="M156" s="863">
        <v>40.459857124285712</v>
      </c>
      <c r="N156" s="863">
        <v>84.846428458571424</v>
      </c>
      <c r="O156" s="863">
        <v>67.787142617142862</v>
      </c>
    </row>
    <row r="157" spans="11:15">
      <c r="L157" s="862">
        <v>50</v>
      </c>
      <c r="M157" s="863">
        <v>55.208571570000004</v>
      </c>
      <c r="N157" s="863">
        <v>99.139714364285723</v>
      </c>
      <c r="O157" s="863">
        <v>46.000713344285714</v>
      </c>
    </row>
    <row r="158" spans="11:15">
      <c r="L158" s="862">
        <v>51</v>
      </c>
      <c r="M158" s="863">
        <v>84.778857641428559</v>
      </c>
      <c r="N158" s="863">
        <v>201.52657207142857</v>
      </c>
      <c r="O158" s="863">
        <v>43.586286274285712</v>
      </c>
    </row>
    <row r="159" spans="11:15">
      <c r="K159" s="437">
        <v>52</v>
      </c>
      <c r="L159" s="862">
        <v>52</v>
      </c>
      <c r="M159" s="863">
        <v>90.21400125571428</v>
      </c>
      <c r="N159" s="863">
        <v>224.1094316857143</v>
      </c>
      <c r="O159" s="863">
        <v>50.483570642857153</v>
      </c>
    </row>
    <row r="160" spans="11:15">
      <c r="K160" s="862"/>
      <c r="L160" s="862">
        <v>53</v>
      </c>
      <c r="M160" s="863">
        <v>80.061285835714287</v>
      </c>
      <c r="N160" s="863">
        <v>205.2461395</v>
      </c>
      <c r="O160" s="863">
        <v>83.637714931428576</v>
      </c>
    </row>
    <row r="161" spans="10:15">
      <c r="J161" s="111">
        <v>2020</v>
      </c>
      <c r="K161" s="866"/>
      <c r="L161" s="862">
        <v>1</v>
      </c>
      <c r="M161" s="863">
        <v>42.7519994463239</v>
      </c>
      <c r="N161" s="863">
        <v>129.33128356933543</v>
      </c>
      <c r="O161" s="863">
        <v>35.412713732038192</v>
      </c>
    </row>
    <row r="162" spans="10:15">
      <c r="K162" s="862"/>
      <c r="L162" s="862">
        <v>2</v>
      </c>
      <c r="M162" s="863">
        <v>30.679571151428568</v>
      </c>
      <c r="N162" s="863">
        <v>73.393001012857141</v>
      </c>
      <c r="O162" s="863">
        <v>22.044856754285714</v>
      </c>
    </row>
    <row r="163" spans="10:15">
      <c r="K163" s="862"/>
      <c r="L163" s="862">
        <v>3</v>
      </c>
      <c r="M163" s="863">
        <v>46.443999700000006</v>
      </c>
      <c r="N163" s="863">
        <v>73.092571804285726</v>
      </c>
      <c r="O163" s="863">
        <v>18.210142817142859</v>
      </c>
    </row>
    <row r="164" spans="10:15">
      <c r="K164" s="437">
        <v>4</v>
      </c>
      <c r="L164" s="862">
        <v>4</v>
      </c>
      <c r="M164" s="863">
        <v>56.559571404285713</v>
      </c>
      <c r="N164" s="863">
        <v>140.69343129999999</v>
      </c>
      <c r="O164" s="863">
        <v>15.934428624285713</v>
      </c>
    </row>
    <row r="165" spans="10:15">
      <c r="L165" s="862">
        <v>5</v>
      </c>
      <c r="M165" s="863">
        <v>85.997285015714283</v>
      </c>
      <c r="N165" s="863">
        <v>189.96014404285714</v>
      </c>
      <c r="O165" s="863">
        <v>16.347999845714288</v>
      </c>
    </row>
    <row r="166" spans="10:15">
      <c r="L166" s="862">
        <v>6</v>
      </c>
      <c r="M166" s="863">
        <v>79.643857683454215</v>
      </c>
      <c r="N166" s="863">
        <v>184.55100359235459</v>
      </c>
      <c r="O166" s="863">
        <v>24.545571190970243</v>
      </c>
    </row>
    <row r="167" spans="10:15">
      <c r="K167" s="862"/>
      <c r="L167" s="862">
        <v>7</v>
      </c>
      <c r="M167" s="863">
        <v>62.11542837857143</v>
      </c>
      <c r="N167" s="863">
        <v>141.4891401142857</v>
      </c>
      <c r="O167" s="863">
        <v>17.933714184285712</v>
      </c>
    </row>
    <row r="168" spans="10:15">
      <c r="K168" s="437">
        <v>8</v>
      </c>
      <c r="L168" s="862">
        <v>8</v>
      </c>
      <c r="M168" s="863">
        <v>41.134571620396166</v>
      </c>
      <c r="N168" s="863">
        <v>83.969571794782198</v>
      </c>
      <c r="O168" s="863">
        <v>15.5625712530953</v>
      </c>
    </row>
    <row r="169" spans="10:15">
      <c r="L169" s="862">
        <v>9</v>
      </c>
      <c r="M169" s="863">
        <v>70.027142117142859</v>
      </c>
      <c r="N169" s="863">
        <v>124.34114185428572</v>
      </c>
      <c r="O169" s="863">
        <v>23.340428760000002</v>
      </c>
    </row>
    <row r="170" spans="10:15">
      <c r="L170" s="862">
        <v>10</v>
      </c>
      <c r="M170" s="863">
        <v>51.713285718571434</v>
      </c>
      <c r="N170" s="863">
        <v>110.96499854142857</v>
      </c>
      <c r="O170" s="863">
        <v>51.143429344285714</v>
      </c>
    </row>
    <row r="171" spans="10:15">
      <c r="K171" s="862"/>
      <c r="L171" s="862">
        <v>11</v>
      </c>
      <c r="M171" s="863">
        <v>64.999999455714274</v>
      </c>
      <c r="N171" s="863">
        <v>130.17914037142856</v>
      </c>
      <c r="O171" s="863">
        <v>73.820713587142862</v>
      </c>
    </row>
    <row r="172" spans="10:15">
      <c r="K172" s="862">
        <v>12</v>
      </c>
      <c r="L172" s="862">
        <v>12</v>
      </c>
      <c r="M172" s="863">
        <v>70.530143192836164</v>
      </c>
      <c r="N172" s="863">
        <v>127.86657169886942</v>
      </c>
      <c r="O172" s="863">
        <v>34.1388571602957</v>
      </c>
    </row>
    <row r="173" spans="10:15">
      <c r="K173" s="862"/>
      <c r="L173" s="862">
        <v>13</v>
      </c>
      <c r="M173" s="863">
        <v>73.710714612688278</v>
      </c>
      <c r="N173" s="863">
        <v>138.12900325230143</v>
      </c>
      <c r="O173" s="863">
        <v>66.457714898245612</v>
      </c>
    </row>
    <row r="174" spans="10:15">
      <c r="L174" s="862">
        <v>14</v>
      </c>
      <c r="M174" s="863">
        <v>57.796857017142862</v>
      </c>
      <c r="N174" s="863">
        <v>109.14457049285714</v>
      </c>
      <c r="O174" s="863">
        <v>82.626999985714278</v>
      </c>
    </row>
    <row r="175" spans="10:15">
      <c r="K175" s="867"/>
      <c r="L175" s="862">
        <v>15</v>
      </c>
      <c r="M175" s="863">
        <v>44.430285317142861</v>
      </c>
      <c r="N175" s="863">
        <v>80.133571635714276</v>
      </c>
      <c r="O175" s="863">
        <v>89.91342707714287</v>
      </c>
    </row>
    <row r="176" spans="10:15">
      <c r="K176" s="867">
        <v>16</v>
      </c>
      <c r="L176" s="862">
        <v>16</v>
      </c>
      <c r="M176" s="863">
        <v>30.701856885714285</v>
      </c>
      <c r="N176" s="863">
        <v>57.13714327142857</v>
      </c>
      <c r="O176" s="863">
        <v>73.487428932857142</v>
      </c>
    </row>
    <row r="177" spans="10:21" s="738" customFormat="1">
      <c r="J177" s="111"/>
      <c r="K177" s="867"/>
      <c r="L177" s="862">
        <v>17</v>
      </c>
      <c r="M177" s="863">
        <v>24.932857240949314</v>
      </c>
      <c r="N177" s="863">
        <v>55.184285845075259</v>
      </c>
      <c r="O177" s="863">
        <v>80.585714067731558</v>
      </c>
      <c r="P177" s="437"/>
      <c r="Q177" s="428"/>
      <c r="R177" s="428"/>
      <c r="S177" s="428"/>
      <c r="T177" s="428"/>
      <c r="U177" s="428"/>
    </row>
    <row r="178" spans="10:21" s="738" customFormat="1">
      <c r="J178" s="111"/>
      <c r="K178" s="867"/>
      <c r="L178" s="862">
        <v>18</v>
      </c>
      <c r="M178" s="863">
        <v>46.867285591428576</v>
      </c>
      <c r="N178" s="863">
        <v>80.201000221428572</v>
      </c>
      <c r="O178" s="863">
        <v>93.131286082857144</v>
      </c>
      <c r="P178" s="437"/>
      <c r="Q178" s="428"/>
      <c r="R178" s="428"/>
      <c r="S178" s="428"/>
      <c r="T178" s="428"/>
      <c r="U178" s="428"/>
    </row>
    <row r="179" spans="10:21" s="738" customFormat="1">
      <c r="J179" s="111"/>
      <c r="K179" s="867"/>
      <c r="L179" s="862">
        <v>19</v>
      </c>
      <c r="M179" s="863">
        <v>39.880857740000003</v>
      </c>
      <c r="N179" s="863">
        <v>73.398713792857151</v>
      </c>
      <c r="O179" s="863">
        <v>43.960427964285714</v>
      </c>
      <c r="P179" s="437"/>
      <c r="Q179" s="428"/>
      <c r="R179" s="428"/>
      <c r="S179" s="428"/>
      <c r="T179" s="428"/>
      <c r="U179" s="428"/>
    </row>
    <row r="180" spans="10:21" s="738" customFormat="1">
      <c r="J180" s="111"/>
      <c r="K180" s="867">
        <v>20</v>
      </c>
      <c r="L180" s="862">
        <v>20</v>
      </c>
      <c r="M180" s="863">
        <v>34.332998821428575</v>
      </c>
      <c r="N180" s="863">
        <v>57.629714421428567</v>
      </c>
      <c r="O180" s="863">
        <v>29.038571492857141</v>
      </c>
      <c r="P180" s="437"/>
      <c r="Q180" s="428"/>
      <c r="R180" s="428"/>
      <c r="S180" s="428"/>
      <c r="T180" s="428"/>
      <c r="U180" s="428"/>
    </row>
    <row r="181" spans="10:21" s="738" customFormat="1">
      <c r="J181" s="111"/>
      <c r="K181" s="867"/>
      <c r="L181" s="862">
        <v>21</v>
      </c>
      <c r="M181" s="863">
        <v>28.39914212908057</v>
      </c>
      <c r="N181" s="863">
        <v>47.208427974155924</v>
      </c>
      <c r="O181" s="863">
        <v>20.747856957571798</v>
      </c>
      <c r="P181" s="437"/>
      <c r="Q181" s="428"/>
      <c r="R181" s="428"/>
      <c r="S181" s="428"/>
      <c r="T181" s="428"/>
      <c r="U181" s="428"/>
    </row>
    <row r="182" spans="10:21" s="738" customFormat="1">
      <c r="J182" s="111"/>
      <c r="K182" s="867"/>
      <c r="L182" s="862">
        <v>22</v>
      </c>
      <c r="M182" s="863">
        <v>19.016142710000004</v>
      </c>
      <c r="N182" s="863">
        <v>39.635571071428572</v>
      </c>
      <c r="O182" s="863">
        <v>28.597570964285715</v>
      </c>
      <c r="P182" s="437"/>
      <c r="Q182" s="428"/>
      <c r="R182" s="428"/>
      <c r="S182" s="428"/>
      <c r="T182" s="428"/>
      <c r="U182" s="428"/>
    </row>
    <row r="183" spans="10:21" s="738" customFormat="1">
      <c r="J183" s="111"/>
      <c r="K183" s="867"/>
      <c r="L183" s="862">
        <v>23</v>
      </c>
      <c r="M183" s="863">
        <v>16.323713982857143</v>
      </c>
      <c r="N183" s="863">
        <v>49.136857168571431</v>
      </c>
      <c r="O183" s="863">
        <v>19.104714530000003</v>
      </c>
      <c r="P183" s="437"/>
      <c r="Q183" s="428"/>
      <c r="R183" s="428"/>
      <c r="S183" s="428"/>
      <c r="T183" s="428"/>
      <c r="U183" s="428"/>
    </row>
    <row r="184" spans="10:21" s="738" customFormat="1">
      <c r="J184" s="111"/>
      <c r="K184" s="867"/>
      <c r="L184" s="862">
        <v>24</v>
      </c>
      <c r="M184" s="863">
        <v>14.458999906267413</v>
      </c>
      <c r="N184" s="863">
        <v>34.150428227015844</v>
      </c>
      <c r="O184" s="863">
        <v>14.211285591125442</v>
      </c>
      <c r="P184" s="437"/>
      <c r="Q184" s="428"/>
      <c r="R184" s="428"/>
      <c r="S184" s="428"/>
      <c r="T184" s="428"/>
      <c r="U184" s="428"/>
    </row>
    <row r="185" spans="10:21" s="738" customFormat="1">
      <c r="J185" s="111"/>
      <c r="K185" s="867"/>
      <c r="L185" s="862">
        <v>25</v>
      </c>
      <c r="M185" s="863">
        <v>13.476999827142858</v>
      </c>
      <c r="N185" s="863">
        <v>32.288857598571425</v>
      </c>
      <c r="O185" s="863">
        <v>11.628714288571429</v>
      </c>
      <c r="P185" s="437"/>
      <c r="Q185" s="428"/>
      <c r="R185" s="428"/>
      <c r="S185" s="428"/>
      <c r="T185" s="428"/>
      <c r="U185" s="428"/>
    </row>
    <row r="186" spans="10:21">
      <c r="K186" s="867">
        <v>26</v>
      </c>
      <c r="L186" s="862">
        <v>26</v>
      </c>
      <c r="M186" s="863">
        <v>14.175142699999999</v>
      </c>
      <c r="N186" s="863">
        <v>29.45585686714286</v>
      </c>
      <c r="O186" s="863">
        <v>11.67571422</v>
      </c>
    </row>
    <row r="187" spans="10:21">
      <c r="K187" s="867"/>
      <c r="M187" s="863"/>
      <c r="N187" s="863"/>
      <c r="O187" s="863"/>
    </row>
    <row r="188" spans="10:21">
      <c r="K188" s="867"/>
      <c r="L188" s="867"/>
      <c r="M188" s="863"/>
      <c r="N188" s="863"/>
      <c r="O188" s="863"/>
    </row>
    <row r="189" spans="10:21">
      <c r="K189" s="867"/>
      <c r="L189" s="867"/>
      <c r="M189" s="863"/>
      <c r="N189" s="863"/>
      <c r="O189" s="863"/>
    </row>
    <row r="190" spans="10:21">
      <c r="K190" s="867"/>
      <c r="L190" s="867"/>
    </row>
    <row r="191" spans="10:21">
      <c r="K191" s="676"/>
      <c r="L191" s="867"/>
      <c r="M191" s="863"/>
      <c r="N191" s="863"/>
      <c r="O191" s="863"/>
    </row>
    <row r="192" spans="10:21">
      <c r="K192" s="676"/>
      <c r="L192" s="867"/>
      <c r="M192" s="863"/>
      <c r="N192" s="863"/>
      <c r="O192" s="863"/>
    </row>
    <row r="193" spans="11:15">
      <c r="K193" s="676"/>
      <c r="L193" s="867"/>
      <c r="M193" s="863"/>
      <c r="N193" s="863"/>
      <c r="O193" s="863"/>
    </row>
    <row r="194" spans="11:15">
      <c r="K194" s="867"/>
      <c r="L194" s="867"/>
      <c r="M194" s="437" t="s">
        <v>263</v>
      </c>
      <c r="N194" s="437" t="s">
        <v>264</v>
      </c>
      <c r="O194" s="437" t="s">
        <v>265</v>
      </c>
    </row>
    <row r="195" spans="11:15">
      <c r="K195" s="676"/>
      <c r="L195" s="867"/>
      <c r="M195" s="863"/>
      <c r="N195" s="863"/>
      <c r="O195" s="863"/>
    </row>
    <row r="196" spans="11:15">
      <c r="K196" s="676"/>
      <c r="L196" s="867"/>
      <c r="M196" s="863"/>
      <c r="N196" s="863"/>
      <c r="O196" s="863"/>
    </row>
    <row r="197" spans="11:15">
      <c r="K197" s="676"/>
      <c r="L197" s="867"/>
      <c r="M197" s="863"/>
      <c r="N197" s="863"/>
      <c r="O197" s="863"/>
    </row>
    <row r="198" spans="11:15">
      <c r="K198" s="867"/>
      <c r="L198" s="867"/>
      <c r="M198" s="863"/>
      <c r="N198" s="863"/>
      <c r="O198" s="863"/>
    </row>
    <row r="199" spans="11:15">
      <c r="K199" s="676"/>
      <c r="L199" s="867"/>
      <c r="M199" s="863"/>
      <c r="N199" s="863"/>
      <c r="O199" s="863"/>
    </row>
    <row r="200" spans="11:15">
      <c r="K200" s="676"/>
      <c r="L200" s="867"/>
      <c r="M200" s="863"/>
      <c r="N200" s="863"/>
      <c r="O200" s="863"/>
    </row>
    <row r="201" spans="11:15">
      <c r="K201" s="676"/>
      <c r="L201" s="867"/>
      <c r="M201" s="863"/>
      <c r="N201" s="863"/>
      <c r="O201" s="863"/>
    </row>
    <row r="202" spans="11:15">
      <c r="K202" s="676"/>
      <c r="L202" s="867"/>
      <c r="M202" s="863"/>
      <c r="N202" s="863"/>
      <c r="O202" s="863"/>
    </row>
    <row r="203" spans="11:15">
      <c r="K203" s="676"/>
      <c r="L203" s="867"/>
      <c r="M203" s="863"/>
      <c r="N203" s="863"/>
      <c r="O203" s="863"/>
    </row>
    <row r="204" spans="11:15">
      <c r="K204" s="676"/>
      <c r="L204" s="867"/>
      <c r="M204" s="863"/>
      <c r="N204" s="863"/>
      <c r="O204" s="863"/>
    </row>
    <row r="205" spans="11:15">
      <c r="K205" s="676"/>
      <c r="L205" s="867"/>
      <c r="M205" s="863"/>
      <c r="N205" s="863"/>
      <c r="O205" s="863"/>
    </row>
    <row r="206" spans="11:15">
      <c r="K206" s="676"/>
      <c r="L206" s="867"/>
      <c r="M206" s="863"/>
      <c r="N206" s="863"/>
      <c r="O206" s="863"/>
    </row>
    <row r="207" spans="11:15">
      <c r="M207" s="863"/>
      <c r="N207" s="863"/>
      <c r="O207" s="863"/>
    </row>
    <row r="208" spans="11:15">
      <c r="M208" s="863"/>
      <c r="N208" s="863"/>
      <c r="O208" s="863"/>
    </row>
    <row r="209" spans="13:15">
      <c r="M209" s="863"/>
      <c r="N209" s="863"/>
      <c r="O209" s="863"/>
    </row>
    <row r="210" spans="13:15">
      <c r="M210" s="863"/>
      <c r="N210" s="863"/>
      <c r="O210" s="863"/>
    </row>
    <row r="211" spans="13:15">
      <c r="M211" s="863"/>
      <c r="N211" s="863"/>
      <c r="O211" s="863"/>
    </row>
    <row r="212" spans="13:15">
      <c r="M212" s="863"/>
      <c r="N212" s="863"/>
      <c r="O212" s="863"/>
    </row>
    <row r="213" spans="13:15">
      <c r="M213" s="863"/>
      <c r="N213" s="863"/>
      <c r="O213" s="863"/>
    </row>
    <row r="214" spans="13:15">
      <c r="M214" s="863"/>
      <c r="N214" s="863"/>
      <c r="O214" s="863"/>
    </row>
    <row r="215" spans="13:15">
      <c r="M215" s="863"/>
      <c r="N215" s="863"/>
      <c r="O215" s="863"/>
    </row>
    <row r="216" spans="13:15">
      <c r="M216" s="863"/>
      <c r="N216" s="863"/>
      <c r="O216" s="863"/>
    </row>
    <row r="217" spans="13:15">
      <c r="M217" s="863"/>
      <c r="N217" s="863"/>
      <c r="O217" s="863"/>
    </row>
    <row r="218" spans="13:15">
      <c r="M218" s="863"/>
      <c r="N218" s="863"/>
      <c r="O218" s="863"/>
    </row>
    <row r="219" spans="13:15">
      <c r="M219" s="863"/>
      <c r="N219" s="863"/>
      <c r="O219" s="863"/>
    </row>
    <row r="220" spans="13:15">
      <c r="M220" s="863"/>
      <c r="N220" s="863"/>
      <c r="O220" s="863"/>
    </row>
    <row r="222" spans="13:15">
      <c r="M222" s="437" t="s">
        <v>263</v>
      </c>
      <c r="N222" s="437" t="s">
        <v>264</v>
      </c>
      <c r="O222" s="437"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Junio 2020
INFSGI-MES-06-2020
13/07/2020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25"/>
  <sheetViews>
    <sheetView showGridLines="0" view="pageBreakPreview" zoomScale="85" zoomScaleNormal="100" zoomScaleSheetLayoutView="85" zoomScalePageLayoutView="130" workbookViewId="0">
      <selection activeCell="N65" sqref="N65"/>
    </sheetView>
  </sheetViews>
  <sheetFormatPr defaultColWidth="9.33203125" defaultRowHeight="11.25"/>
  <cols>
    <col min="10" max="11" width="9.33203125" customWidth="1"/>
    <col min="13" max="16" width="9.33203125" style="428"/>
    <col min="17" max="17" width="11.6640625" style="428" bestFit="1" customWidth="1"/>
    <col min="18" max="18" width="15.1640625" style="428" customWidth="1"/>
    <col min="19" max="19" width="14.33203125" style="428" customWidth="1"/>
    <col min="20" max="20" width="14.5" style="428" customWidth="1"/>
    <col min="21" max="21" width="9.5" style="428" bestFit="1" customWidth="1"/>
    <col min="22" max="22" width="14.6640625" style="428" customWidth="1"/>
    <col min="23" max="23" width="9.5" style="428" customWidth="1"/>
    <col min="24" max="24" width="9.6640625" style="428" bestFit="1" customWidth="1"/>
    <col min="25" max="25" width="9.5" style="428" bestFit="1" customWidth="1"/>
    <col min="26" max="26" width="9.33203125" style="418"/>
    <col min="27" max="30" width="9.33203125" style="303"/>
    <col min="31" max="32" width="9.33203125" style="291"/>
  </cols>
  <sheetData>
    <row r="1" spans="1:25" ht="11.25" customHeight="1"/>
    <row r="2" spans="1:25" ht="11.25" customHeight="1">
      <c r="A2" s="304"/>
      <c r="B2" s="305"/>
      <c r="C2" s="305"/>
      <c r="D2" s="305"/>
      <c r="E2" s="305"/>
      <c r="F2" s="305"/>
      <c r="G2" s="174"/>
      <c r="H2" s="174"/>
      <c r="I2" s="132"/>
    </row>
    <row r="3" spans="1:25" ht="11.25" customHeight="1">
      <c r="A3" s="132"/>
      <c r="B3" s="132"/>
      <c r="C3" s="132"/>
      <c r="D3" s="132"/>
      <c r="E3" s="132"/>
      <c r="F3" s="132"/>
      <c r="G3" s="138"/>
      <c r="H3" s="138"/>
      <c r="I3" s="138"/>
      <c r="J3" s="148"/>
      <c r="K3" s="148"/>
      <c r="L3" s="148"/>
      <c r="O3" s="428" t="s">
        <v>262</v>
      </c>
      <c r="P3" s="429"/>
      <c r="Q3" s="428" t="s">
        <v>266</v>
      </c>
      <c r="R3" s="428" t="s">
        <v>267</v>
      </c>
      <c r="S3" s="428" t="s">
        <v>268</v>
      </c>
      <c r="T3" s="428" t="s">
        <v>269</v>
      </c>
      <c r="U3" s="428" t="s">
        <v>270</v>
      </c>
      <c r="V3" s="428" t="s">
        <v>271</v>
      </c>
      <c r="W3" s="428" t="s">
        <v>272</v>
      </c>
      <c r="X3" s="428" t="s">
        <v>273</v>
      </c>
      <c r="Y3" s="428" t="s">
        <v>274</v>
      </c>
    </row>
    <row r="4" spans="1:25" ht="11.25" customHeight="1">
      <c r="A4" s="132"/>
      <c r="B4" s="132"/>
      <c r="C4" s="132"/>
      <c r="D4" s="132"/>
      <c r="E4" s="132"/>
      <c r="F4" s="132"/>
      <c r="G4" s="138"/>
      <c r="H4" s="138"/>
      <c r="I4" s="138"/>
      <c r="J4" s="148"/>
      <c r="K4" s="148"/>
      <c r="L4" s="148"/>
      <c r="N4" s="428">
        <v>2017</v>
      </c>
      <c r="O4" s="428">
        <v>1</v>
      </c>
      <c r="P4" s="429">
        <v>1</v>
      </c>
      <c r="Q4" s="430">
        <v>13.85</v>
      </c>
      <c r="R4" s="430">
        <v>11.3</v>
      </c>
      <c r="S4" s="430">
        <v>104.02</v>
      </c>
      <c r="T4" s="430">
        <v>148.43</v>
      </c>
      <c r="U4" s="430">
        <v>24.1</v>
      </c>
      <c r="V4" s="430">
        <v>10.220000000000001</v>
      </c>
      <c r="W4" s="430">
        <v>3.28</v>
      </c>
      <c r="X4" s="430">
        <v>89.46</v>
      </c>
      <c r="Y4" s="430">
        <v>25.43</v>
      </c>
    </row>
    <row r="5" spans="1:25" ht="11.25" customHeight="1">
      <c r="A5" s="176"/>
      <c r="B5" s="176"/>
      <c r="C5" s="176"/>
      <c r="D5" s="176"/>
      <c r="E5" s="176"/>
      <c r="F5" s="176"/>
      <c r="G5" s="176"/>
      <c r="H5" s="176"/>
      <c r="I5" s="176"/>
      <c r="J5" s="24"/>
      <c r="K5" s="24"/>
      <c r="L5" s="131"/>
      <c r="P5" s="429">
        <v>2</v>
      </c>
      <c r="Q5" s="430">
        <v>14.96</v>
      </c>
      <c r="R5" s="430">
        <v>15.4</v>
      </c>
      <c r="S5" s="430">
        <v>143.97</v>
      </c>
      <c r="T5" s="430">
        <v>175.88</v>
      </c>
      <c r="U5" s="430">
        <v>33.74</v>
      </c>
      <c r="V5" s="430">
        <v>10.17</v>
      </c>
      <c r="W5" s="430">
        <v>6.45</v>
      </c>
      <c r="X5" s="430">
        <v>178.14</v>
      </c>
      <c r="Y5" s="430">
        <v>55.67</v>
      </c>
    </row>
    <row r="6" spans="1:25" ht="11.25" customHeight="1">
      <c r="A6" s="132"/>
      <c r="B6" s="306"/>
      <c r="C6" s="307"/>
      <c r="D6" s="308"/>
      <c r="E6" s="308"/>
      <c r="F6" s="177"/>
      <c r="G6" s="178"/>
      <c r="H6" s="178"/>
      <c r="I6" s="179"/>
      <c r="J6" s="24"/>
      <c r="K6" s="24"/>
      <c r="L6" s="19"/>
      <c r="P6" s="429">
        <v>3</v>
      </c>
      <c r="Q6" s="430">
        <v>28.98</v>
      </c>
      <c r="R6" s="430">
        <v>21.94</v>
      </c>
      <c r="S6" s="430">
        <v>355.12</v>
      </c>
      <c r="T6" s="430">
        <v>177.57</v>
      </c>
      <c r="U6" s="430">
        <v>35.49</v>
      </c>
      <c r="V6" s="430">
        <v>10</v>
      </c>
      <c r="W6" s="430">
        <v>9.0500000000000007</v>
      </c>
      <c r="X6" s="430">
        <v>174.94</v>
      </c>
      <c r="Y6" s="430">
        <v>58.31</v>
      </c>
    </row>
    <row r="7" spans="1:25" ht="11.25" customHeight="1">
      <c r="A7" s="132"/>
      <c r="B7" s="180"/>
      <c r="C7" s="180"/>
      <c r="D7" s="181"/>
      <c r="E7" s="181"/>
      <c r="F7" s="177"/>
      <c r="G7" s="178"/>
      <c r="H7" s="178"/>
      <c r="I7" s="179"/>
      <c r="J7" s="25"/>
      <c r="K7" s="25"/>
      <c r="L7" s="22"/>
      <c r="O7" s="428">
        <v>4</v>
      </c>
      <c r="P7" s="429">
        <v>4</v>
      </c>
      <c r="Q7" s="430">
        <v>30.46</v>
      </c>
      <c r="R7" s="430">
        <v>23.91</v>
      </c>
      <c r="S7" s="430">
        <v>519.4</v>
      </c>
      <c r="T7" s="430">
        <v>205.76</v>
      </c>
      <c r="U7" s="430">
        <v>48.48</v>
      </c>
      <c r="V7" s="430">
        <v>10</v>
      </c>
      <c r="W7" s="430">
        <v>2.4300000000000002</v>
      </c>
      <c r="X7" s="430">
        <v>141.31</v>
      </c>
      <c r="Y7" s="430">
        <v>47.49</v>
      </c>
    </row>
    <row r="8" spans="1:25" ht="11.25" customHeight="1">
      <c r="A8" s="132"/>
      <c r="B8" s="182"/>
      <c r="C8" s="132"/>
      <c r="D8" s="156"/>
      <c r="E8" s="156"/>
      <c r="F8" s="177"/>
      <c r="G8" s="178"/>
      <c r="H8" s="178"/>
      <c r="I8" s="179"/>
      <c r="J8" s="23"/>
      <c r="K8" s="23"/>
      <c r="L8" s="24"/>
      <c r="P8" s="429">
        <v>5</v>
      </c>
      <c r="Q8" s="430">
        <v>21.36</v>
      </c>
      <c r="R8" s="430">
        <v>18.07</v>
      </c>
      <c r="S8" s="430">
        <v>330.78</v>
      </c>
      <c r="T8" s="430">
        <v>123.41</v>
      </c>
      <c r="U8" s="430">
        <v>25.33</v>
      </c>
      <c r="V8" s="430">
        <v>11.41</v>
      </c>
      <c r="W8" s="430">
        <v>2.87</v>
      </c>
      <c r="X8" s="430">
        <v>123.59</v>
      </c>
      <c r="Y8" s="430">
        <v>45.46</v>
      </c>
    </row>
    <row r="9" spans="1:25" ht="11.25" customHeight="1">
      <c r="A9" s="132"/>
      <c r="B9" s="182"/>
      <c r="C9" s="132"/>
      <c r="D9" s="156"/>
      <c r="E9" s="156"/>
      <c r="F9" s="177"/>
      <c r="G9" s="178"/>
      <c r="H9" s="178"/>
      <c r="I9" s="179"/>
      <c r="J9" s="25"/>
      <c r="K9" s="26"/>
      <c r="L9" s="22"/>
      <c r="P9" s="429">
        <v>6</v>
      </c>
      <c r="Q9" s="430">
        <v>25.42</v>
      </c>
      <c r="R9" s="430">
        <v>21.42</v>
      </c>
      <c r="S9" s="430">
        <v>200.58</v>
      </c>
      <c r="T9" s="430">
        <v>108.48</v>
      </c>
      <c r="U9" s="430">
        <v>22.99</v>
      </c>
      <c r="V9" s="430">
        <v>10.57</v>
      </c>
      <c r="W9" s="430">
        <v>3.01</v>
      </c>
      <c r="X9" s="430">
        <v>85.48</v>
      </c>
      <c r="Y9" s="430">
        <v>28.56</v>
      </c>
    </row>
    <row r="10" spans="1:25" ht="11.25" customHeight="1">
      <c r="A10" s="132"/>
      <c r="B10" s="182"/>
      <c r="C10" s="132"/>
      <c r="D10" s="156"/>
      <c r="E10" s="156"/>
      <c r="F10" s="177"/>
      <c r="G10" s="178"/>
      <c r="H10" s="178"/>
      <c r="I10" s="179"/>
      <c r="J10" s="25"/>
      <c r="K10" s="25"/>
      <c r="L10" s="22"/>
      <c r="P10" s="429">
        <v>7</v>
      </c>
      <c r="Q10" s="430">
        <v>35.43</v>
      </c>
      <c r="R10" s="430">
        <v>25.12</v>
      </c>
      <c r="S10" s="430">
        <v>393.69</v>
      </c>
      <c r="T10" s="430">
        <v>144.62</v>
      </c>
      <c r="U10" s="430">
        <v>39.44</v>
      </c>
      <c r="V10" s="430">
        <v>10</v>
      </c>
      <c r="W10" s="430">
        <v>2.88</v>
      </c>
      <c r="X10" s="430">
        <v>100.57</v>
      </c>
      <c r="Y10" s="430">
        <v>25.04</v>
      </c>
    </row>
    <row r="11" spans="1:25" ht="11.25" customHeight="1">
      <c r="A11" s="132"/>
      <c r="B11" s="156"/>
      <c r="C11" s="132"/>
      <c r="D11" s="156"/>
      <c r="E11" s="156"/>
      <c r="F11" s="177"/>
      <c r="G11" s="178"/>
      <c r="H11" s="178"/>
      <c r="I11" s="179"/>
      <c r="J11" s="25"/>
      <c r="K11" s="25"/>
      <c r="L11" s="22"/>
      <c r="O11" s="428">
        <v>8</v>
      </c>
      <c r="P11" s="429">
        <v>8</v>
      </c>
      <c r="Q11" s="430">
        <v>30.45</v>
      </c>
      <c r="R11" s="430">
        <v>23.33</v>
      </c>
      <c r="S11" s="430">
        <v>345.37</v>
      </c>
      <c r="T11" s="430">
        <v>140.63</v>
      </c>
      <c r="U11" s="430">
        <v>30.47</v>
      </c>
      <c r="V11" s="430">
        <v>9.58</v>
      </c>
      <c r="W11" s="430">
        <v>2.0699999999999998</v>
      </c>
      <c r="X11" s="430">
        <v>163.72999999999999</v>
      </c>
      <c r="Y11" s="430">
        <v>58.84</v>
      </c>
    </row>
    <row r="12" spans="1:25" ht="11.25" customHeight="1">
      <c r="A12" s="132"/>
      <c r="B12" s="156"/>
      <c r="C12" s="132"/>
      <c r="D12" s="156"/>
      <c r="E12" s="156"/>
      <c r="F12" s="177"/>
      <c r="G12" s="178"/>
      <c r="H12" s="178"/>
      <c r="I12" s="179"/>
      <c r="J12" s="25"/>
      <c r="K12" s="25"/>
      <c r="L12" s="22"/>
      <c r="P12" s="429">
        <v>9</v>
      </c>
      <c r="Q12" s="430">
        <v>37.72</v>
      </c>
      <c r="R12" s="430">
        <v>24.83</v>
      </c>
      <c r="S12" s="430">
        <v>567.22</v>
      </c>
      <c r="T12" s="430">
        <v>245.85</v>
      </c>
      <c r="U12" s="430">
        <v>67.56</v>
      </c>
      <c r="V12" s="430">
        <v>9.01</v>
      </c>
      <c r="W12" s="430">
        <v>7.33</v>
      </c>
      <c r="X12" s="430">
        <v>285.31</v>
      </c>
      <c r="Y12" s="430">
        <v>102.26</v>
      </c>
    </row>
    <row r="13" spans="1:25" ht="11.25" customHeight="1">
      <c r="A13" s="132"/>
      <c r="B13" s="156"/>
      <c r="C13" s="132"/>
      <c r="D13" s="156"/>
      <c r="E13" s="156"/>
      <c r="F13" s="177"/>
      <c r="G13" s="178"/>
      <c r="H13" s="178"/>
      <c r="I13" s="179"/>
      <c r="J13" s="23"/>
      <c r="K13" s="23"/>
      <c r="L13" s="24"/>
      <c r="P13" s="429">
        <v>10</v>
      </c>
      <c r="Q13" s="430">
        <v>36.46</v>
      </c>
      <c r="R13" s="430">
        <v>24.95</v>
      </c>
      <c r="S13" s="430">
        <v>467.04</v>
      </c>
      <c r="T13" s="430">
        <v>188.01</v>
      </c>
      <c r="U13" s="430">
        <v>50.5</v>
      </c>
      <c r="V13" s="430">
        <v>10.06</v>
      </c>
      <c r="W13" s="430">
        <v>3.71</v>
      </c>
      <c r="X13" s="430">
        <v>374.33</v>
      </c>
      <c r="Y13" s="430">
        <v>83.74</v>
      </c>
    </row>
    <row r="14" spans="1:25" ht="11.25" customHeight="1">
      <c r="A14" s="132"/>
      <c r="B14" s="156"/>
      <c r="C14" s="132"/>
      <c r="D14" s="156"/>
      <c r="E14" s="156"/>
      <c r="F14" s="177"/>
      <c r="G14" s="178"/>
      <c r="H14" s="178"/>
      <c r="I14" s="179"/>
      <c r="J14" s="25"/>
      <c r="K14" s="26"/>
      <c r="L14" s="22"/>
      <c r="P14" s="429">
        <v>11</v>
      </c>
      <c r="Q14" s="430">
        <v>35.590000000000003</v>
      </c>
      <c r="R14" s="430">
        <v>26.89</v>
      </c>
      <c r="S14" s="430">
        <v>448.3</v>
      </c>
      <c r="T14" s="430">
        <v>169.95</v>
      </c>
      <c r="U14" s="430">
        <v>51.21</v>
      </c>
      <c r="V14" s="430">
        <v>26.15</v>
      </c>
      <c r="W14" s="430">
        <v>8.66</v>
      </c>
      <c r="X14" s="430">
        <v>219.86</v>
      </c>
      <c r="Y14" s="430">
        <v>62.42</v>
      </c>
    </row>
    <row r="15" spans="1:25" ht="11.25" customHeight="1">
      <c r="A15" s="132"/>
      <c r="B15" s="156"/>
      <c r="C15" s="132"/>
      <c r="D15" s="156"/>
      <c r="E15" s="156"/>
      <c r="F15" s="177"/>
      <c r="G15" s="178"/>
      <c r="H15" s="178"/>
      <c r="I15" s="179"/>
      <c r="J15" s="25"/>
      <c r="K15" s="26"/>
      <c r="L15" s="22"/>
      <c r="O15" s="428">
        <v>12</v>
      </c>
      <c r="P15" s="429">
        <v>12</v>
      </c>
      <c r="Q15" s="430">
        <v>37.82</v>
      </c>
      <c r="R15" s="430">
        <v>20.6</v>
      </c>
      <c r="S15" s="430">
        <v>350.87</v>
      </c>
      <c r="T15" s="430">
        <v>146.01</v>
      </c>
      <c r="U15" s="430">
        <v>38.08</v>
      </c>
      <c r="V15" s="430">
        <v>12.43</v>
      </c>
      <c r="W15" s="430">
        <v>5.63</v>
      </c>
      <c r="X15" s="430">
        <v>190.11</v>
      </c>
      <c r="Y15" s="430">
        <v>52.01</v>
      </c>
    </row>
    <row r="16" spans="1:25" ht="11.25" customHeight="1">
      <c r="A16" s="132"/>
      <c r="B16" s="156"/>
      <c r="C16" s="132"/>
      <c r="D16" s="156"/>
      <c r="E16" s="156"/>
      <c r="F16" s="177"/>
      <c r="G16" s="178"/>
      <c r="H16" s="178"/>
      <c r="I16" s="179"/>
      <c r="J16" s="25"/>
      <c r="K16" s="26"/>
      <c r="L16" s="22"/>
      <c r="P16" s="429">
        <v>13</v>
      </c>
      <c r="Q16" s="430">
        <v>35.93</v>
      </c>
      <c r="R16" s="430">
        <v>24.02</v>
      </c>
      <c r="S16" s="430">
        <v>380.48</v>
      </c>
      <c r="T16" s="430">
        <v>173.02</v>
      </c>
      <c r="U16" s="430">
        <v>38.869999999999997</v>
      </c>
      <c r="V16" s="430">
        <v>11.98</v>
      </c>
      <c r="W16" s="430">
        <v>5.83</v>
      </c>
      <c r="X16" s="430">
        <v>272.08999999999997</v>
      </c>
      <c r="Y16" s="430">
        <v>65.430000000000007</v>
      </c>
    </row>
    <row r="17" spans="1:25" ht="11.25" customHeight="1">
      <c r="A17" s="132"/>
      <c r="B17" s="156"/>
      <c r="C17" s="132"/>
      <c r="D17" s="156"/>
      <c r="E17" s="156"/>
      <c r="F17" s="177"/>
      <c r="G17" s="178"/>
      <c r="H17" s="178"/>
      <c r="I17" s="179"/>
      <c r="J17" s="25"/>
      <c r="K17" s="26"/>
      <c r="L17" s="22"/>
      <c r="P17" s="429">
        <v>14</v>
      </c>
      <c r="Q17" s="430">
        <v>42.9</v>
      </c>
      <c r="R17" s="430">
        <v>17.87</v>
      </c>
      <c r="S17" s="430">
        <v>427.28</v>
      </c>
      <c r="T17" s="430">
        <v>137.65</v>
      </c>
      <c r="U17" s="430">
        <v>35.950000000000003</v>
      </c>
      <c r="V17" s="430">
        <v>28.72</v>
      </c>
      <c r="W17" s="430">
        <v>4.95</v>
      </c>
      <c r="X17" s="430">
        <v>301.82</v>
      </c>
      <c r="Y17" s="430">
        <v>71.06</v>
      </c>
    </row>
    <row r="18" spans="1:25" ht="11.25" customHeight="1">
      <c r="A18" s="957" t="s">
        <v>470</v>
      </c>
      <c r="B18" s="957"/>
      <c r="C18" s="957"/>
      <c r="D18" s="957"/>
      <c r="E18" s="957"/>
      <c r="F18" s="957"/>
      <c r="G18" s="957"/>
      <c r="H18" s="957"/>
      <c r="I18" s="957"/>
      <c r="J18" s="957"/>
      <c r="K18" s="957"/>
      <c r="L18" s="957"/>
      <c r="P18" s="429">
        <v>15</v>
      </c>
      <c r="Q18" s="430">
        <v>31.19</v>
      </c>
      <c r="R18" s="430">
        <v>17.87</v>
      </c>
      <c r="S18" s="430">
        <v>334.14</v>
      </c>
      <c r="T18" s="430">
        <v>129.9</v>
      </c>
      <c r="U18" s="430">
        <v>29.93</v>
      </c>
      <c r="V18" s="430">
        <v>16.28</v>
      </c>
      <c r="W18" s="430">
        <v>1.82</v>
      </c>
      <c r="X18" s="430">
        <v>203.49</v>
      </c>
      <c r="Y18" s="430">
        <v>77.099999999999994</v>
      </c>
    </row>
    <row r="19" spans="1:25" ht="11.25" customHeight="1">
      <c r="A19" s="25"/>
      <c r="B19" s="156"/>
      <c r="C19" s="132"/>
      <c r="D19" s="156"/>
      <c r="E19" s="156"/>
      <c r="F19" s="177"/>
      <c r="G19" s="178"/>
      <c r="H19" s="178"/>
      <c r="I19" s="179"/>
      <c r="J19" s="25"/>
      <c r="K19" s="26"/>
      <c r="L19" s="22"/>
      <c r="O19" s="428">
        <v>16</v>
      </c>
      <c r="P19" s="429">
        <v>16</v>
      </c>
      <c r="Q19" s="430">
        <v>22.8</v>
      </c>
      <c r="R19" s="430">
        <v>11.46</v>
      </c>
      <c r="S19" s="430">
        <v>218.96</v>
      </c>
      <c r="T19" s="430">
        <v>100.66</v>
      </c>
      <c r="U19" s="430">
        <v>21.85</v>
      </c>
      <c r="V19" s="430">
        <v>15.43</v>
      </c>
      <c r="W19" s="430">
        <v>2.33</v>
      </c>
      <c r="X19" s="430">
        <v>155.33000000000001</v>
      </c>
      <c r="Y19" s="430">
        <v>48.77</v>
      </c>
    </row>
    <row r="20" spans="1:25" ht="11.25" customHeight="1">
      <c r="A20" s="132"/>
      <c r="B20" s="156"/>
      <c r="C20" s="132"/>
      <c r="D20" s="156"/>
      <c r="E20" s="156"/>
      <c r="F20" s="177"/>
      <c r="G20" s="178"/>
      <c r="H20" s="178"/>
      <c r="I20" s="179"/>
      <c r="J20" s="25"/>
      <c r="K20" s="26"/>
      <c r="L20" s="22"/>
      <c r="P20" s="429">
        <v>17</v>
      </c>
      <c r="Q20" s="430">
        <v>20.18</v>
      </c>
      <c r="R20" s="430">
        <v>11.46</v>
      </c>
      <c r="S20" s="430">
        <v>180.47</v>
      </c>
      <c r="T20" s="430">
        <v>91.24</v>
      </c>
      <c r="U20" s="430">
        <v>18.89</v>
      </c>
      <c r="V20" s="430">
        <v>12.29</v>
      </c>
      <c r="W20" s="430">
        <v>1.9</v>
      </c>
      <c r="X20" s="430">
        <v>111.37</v>
      </c>
      <c r="Y20" s="430">
        <v>34.409999999999997</v>
      </c>
    </row>
    <row r="21" spans="1:25" ht="11.25" customHeight="1">
      <c r="A21" s="132"/>
      <c r="B21" s="156"/>
      <c r="C21" s="132"/>
      <c r="D21" s="156"/>
      <c r="E21" s="156"/>
      <c r="F21" s="177"/>
      <c r="G21" s="178"/>
      <c r="H21" s="178"/>
      <c r="I21" s="179"/>
      <c r="J21" s="25"/>
      <c r="K21" s="29"/>
      <c r="L21" s="30"/>
      <c r="P21" s="429">
        <v>18</v>
      </c>
      <c r="Q21" s="430">
        <v>19.84</v>
      </c>
      <c r="R21" s="430">
        <v>10.36</v>
      </c>
      <c r="S21" s="430">
        <v>212.89</v>
      </c>
      <c r="T21" s="430">
        <v>98.95</v>
      </c>
      <c r="U21" s="430">
        <v>19.899999999999999</v>
      </c>
      <c r="V21" s="430">
        <v>11.64</v>
      </c>
      <c r="W21" s="430">
        <v>1.46</v>
      </c>
      <c r="X21" s="430">
        <v>117.05</v>
      </c>
      <c r="Y21" s="430">
        <v>28.8</v>
      </c>
    </row>
    <row r="22" spans="1:25" ht="11.25" customHeight="1">
      <c r="A22" s="137"/>
      <c r="B22" s="156"/>
      <c r="C22" s="132"/>
      <c r="D22" s="156"/>
      <c r="E22" s="156"/>
      <c r="F22" s="177"/>
      <c r="G22" s="178"/>
      <c r="H22" s="178"/>
      <c r="I22" s="179"/>
      <c r="J22" s="25"/>
      <c r="K22" s="26"/>
      <c r="L22" s="22"/>
      <c r="P22" s="429">
        <v>19</v>
      </c>
      <c r="Q22" s="430">
        <v>21.4</v>
      </c>
      <c r="R22" s="430">
        <v>9.25</v>
      </c>
      <c r="S22" s="430">
        <v>199.54</v>
      </c>
      <c r="T22" s="430">
        <v>89.02</v>
      </c>
      <c r="U22" s="430">
        <v>15.9</v>
      </c>
      <c r="V22" s="430">
        <v>11</v>
      </c>
      <c r="W22" s="430">
        <v>1.36</v>
      </c>
      <c r="X22" s="430">
        <v>79.2</v>
      </c>
      <c r="Y22" s="430">
        <v>22.78</v>
      </c>
    </row>
    <row r="23" spans="1:25" ht="11.25" customHeight="1">
      <c r="A23" s="137"/>
      <c r="B23" s="156"/>
      <c r="C23" s="132"/>
      <c r="D23" s="156"/>
      <c r="E23" s="156"/>
      <c r="F23" s="177"/>
      <c r="G23" s="178"/>
      <c r="H23" s="178"/>
      <c r="I23" s="179"/>
      <c r="J23" s="25"/>
      <c r="K23" s="26"/>
      <c r="L23" s="22"/>
      <c r="O23" s="428">
        <v>20</v>
      </c>
      <c r="P23" s="429">
        <v>20</v>
      </c>
      <c r="Q23" s="430">
        <v>17.23</v>
      </c>
      <c r="R23" s="430">
        <v>6.32</v>
      </c>
      <c r="S23" s="430">
        <v>136.84</v>
      </c>
      <c r="T23" s="430">
        <v>72.95</v>
      </c>
      <c r="U23" s="430">
        <v>15.03</v>
      </c>
      <c r="V23" s="430">
        <v>11</v>
      </c>
      <c r="W23" s="430">
        <v>1.98</v>
      </c>
      <c r="X23" s="430">
        <v>69.37</v>
      </c>
      <c r="Y23" s="430">
        <v>17.8</v>
      </c>
    </row>
    <row r="24" spans="1:25" ht="11.25" customHeight="1">
      <c r="A24" s="137"/>
      <c r="B24" s="156"/>
      <c r="C24" s="132"/>
      <c r="D24" s="156"/>
      <c r="E24" s="156"/>
      <c r="F24" s="177"/>
      <c r="G24" s="178"/>
      <c r="H24" s="178"/>
      <c r="I24" s="179"/>
      <c r="J24" s="26"/>
      <c r="K24" s="26"/>
      <c r="L24" s="22"/>
      <c r="P24" s="429">
        <v>21</v>
      </c>
      <c r="Q24" s="430">
        <v>16.09</v>
      </c>
      <c r="R24" s="430">
        <v>6.32</v>
      </c>
      <c r="S24" s="430">
        <v>116.86</v>
      </c>
      <c r="T24" s="430">
        <v>99.42</v>
      </c>
      <c r="U24" s="430">
        <v>20.059999999999999</v>
      </c>
      <c r="V24" s="430">
        <v>11.01</v>
      </c>
      <c r="W24" s="430">
        <v>1.6</v>
      </c>
      <c r="X24" s="430">
        <v>68.8</v>
      </c>
      <c r="Y24" s="430">
        <v>17.84</v>
      </c>
    </row>
    <row r="25" spans="1:25" ht="11.25" customHeight="1">
      <c r="A25" s="137"/>
      <c r="B25" s="156"/>
      <c r="C25" s="132"/>
      <c r="D25" s="156"/>
      <c r="E25" s="156"/>
      <c r="F25" s="177"/>
      <c r="G25" s="178"/>
      <c r="H25" s="178"/>
      <c r="I25" s="179"/>
      <c r="J25" s="25"/>
      <c r="K25" s="29"/>
      <c r="L25" s="30"/>
      <c r="P25" s="429">
        <v>22</v>
      </c>
      <c r="Q25" s="430">
        <v>15.1</v>
      </c>
      <c r="R25" s="430">
        <v>5.59</v>
      </c>
      <c r="S25" s="430">
        <v>118.58</v>
      </c>
      <c r="T25" s="430">
        <v>79.099999999999994</v>
      </c>
      <c r="U25" s="430">
        <v>16</v>
      </c>
      <c r="V25" s="430">
        <v>11</v>
      </c>
      <c r="W25" s="430">
        <v>1.01</v>
      </c>
      <c r="X25" s="430">
        <v>69.05</v>
      </c>
      <c r="Y25" s="430">
        <v>16.37</v>
      </c>
    </row>
    <row r="26" spans="1:25" ht="11.25" customHeight="1">
      <c r="A26" s="137"/>
      <c r="B26" s="156"/>
      <c r="C26" s="132"/>
      <c r="D26" s="156"/>
      <c r="E26" s="156"/>
      <c r="F26" s="138"/>
      <c r="G26" s="138"/>
      <c r="H26" s="138"/>
      <c r="I26" s="138"/>
      <c r="J26" s="23"/>
      <c r="K26" s="26"/>
      <c r="L26" s="22"/>
      <c r="P26" s="429">
        <v>23</v>
      </c>
      <c r="Q26" s="430">
        <v>14.28</v>
      </c>
      <c r="R26" s="430">
        <v>4.8499999999999996</v>
      </c>
      <c r="S26" s="430">
        <v>112.05</v>
      </c>
      <c r="T26" s="430">
        <v>63.27</v>
      </c>
      <c r="U26" s="430">
        <v>13.78</v>
      </c>
      <c r="V26" s="430">
        <v>11</v>
      </c>
      <c r="W26" s="430">
        <v>1.82</v>
      </c>
      <c r="X26" s="430">
        <v>54.09</v>
      </c>
      <c r="Y26" s="430">
        <v>13.15</v>
      </c>
    </row>
    <row r="27" spans="1:25" ht="11.25" customHeight="1">
      <c r="A27" s="137"/>
      <c r="B27" s="156"/>
      <c r="C27" s="132"/>
      <c r="D27" s="156"/>
      <c r="E27" s="156"/>
      <c r="F27" s="138"/>
      <c r="G27" s="138"/>
      <c r="H27" s="138"/>
      <c r="I27" s="138"/>
      <c r="J27" s="23"/>
      <c r="K27" s="26"/>
      <c r="L27" s="22"/>
      <c r="O27" s="428">
        <v>24</v>
      </c>
      <c r="P27" s="429">
        <v>24</v>
      </c>
      <c r="Q27" s="430">
        <v>13.3</v>
      </c>
      <c r="R27" s="430">
        <v>4.8499999999999996</v>
      </c>
      <c r="S27" s="430">
        <v>91.62</v>
      </c>
      <c r="T27" s="430">
        <v>49.79</v>
      </c>
      <c r="U27" s="430">
        <v>11.29</v>
      </c>
      <c r="V27" s="430">
        <v>11</v>
      </c>
      <c r="W27" s="430">
        <v>1.89</v>
      </c>
      <c r="X27" s="430">
        <v>45.31</v>
      </c>
      <c r="Y27" s="430">
        <v>10.85</v>
      </c>
    </row>
    <row r="28" spans="1:25" ht="11.25" customHeight="1">
      <c r="A28" s="136"/>
      <c r="B28" s="138"/>
      <c r="C28" s="138"/>
      <c r="D28" s="138"/>
      <c r="E28" s="138"/>
      <c r="F28" s="138"/>
      <c r="G28" s="138"/>
      <c r="H28" s="138"/>
      <c r="I28" s="138"/>
      <c r="J28" s="25"/>
      <c r="K28" s="26"/>
      <c r="L28" s="22"/>
      <c r="P28" s="429">
        <v>25</v>
      </c>
      <c r="Q28" s="430">
        <v>12.63</v>
      </c>
      <c r="R28" s="430">
        <v>3.77</v>
      </c>
      <c r="S28" s="430">
        <v>81.33</v>
      </c>
      <c r="T28" s="430">
        <v>46.74</v>
      </c>
      <c r="U28" s="430">
        <v>10.02</v>
      </c>
      <c r="V28" s="430">
        <v>11</v>
      </c>
      <c r="W28" s="430">
        <v>1.77</v>
      </c>
      <c r="X28" s="430">
        <v>40.42</v>
      </c>
      <c r="Y28" s="430">
        <v>8.98</v>
      </c>
    </row>
    <row r="29" spans="1:25" ht="11.25" customHeight="1">
      <c r="A29" s="136"/>
      <c r="B29" s="138"/>
      <c r="C29" s="138"/>
      <c r="D29" s="138"/>
      <c r="E29" s="138"/>
      <c r="F29" s="138"/>
      <c r="G29" s="138"/>
      <c r="H29" s="138"/>
      <c r="I29" s="138"/>
      <c r="J29" s="25"/>
      <c r="K29" s="26"/>
      <c r="L29" s="22"/>
      <c r="P29" s="429">
        <v>26</v>
      </c>
      <c r="Q29" s="430">
        <v>11.92</v>
      </c>
      <c r="R29" s="430">
        <v>3.77</v>
      </c>
      <c r="S29" s="430">
        <v>80.900000000000006</v>
      </c>
      <c r="T29" s="430">
        <v>41.45</v>
      </c>
      <c r="U29" s="430">
        <v>9.24</v>
      </c>
      <c r="V29" s="430">
        <v>12</v>
      </c>
      <c r="W29" s="430">
        <v>1.86</v>
      </c>
      <c r="X29" s="430">
        <v>37.89</v>
      </c>
      <c r="Y29" s="430">
        <v>9.41</v>
      </c>
    </row>
    <row r="30" spans="1:25" ht="11.25" customHeight="1">
      <c r="A30" s="136"/>
      <c r="B30" s="138"/>
      <c r="C30" s="138"/>
      <c r="D30" s="138"/>
      <c r="E30" s="138"/>
      <c r="F30" s="138"/>
      <c r="G30" s="138"/>
      <c r="H30" s="138"/>
      <c r="I30" s="138"/>
      <c r="J30" s="25"/>
      <c r="K30" s="26"/>
      <c r="L30" s="22"/>
      <c r="P30" s="429">
        <v>27</v>
      </c>
      <c r="Q30" s="430">
        <v>11.92</v>
      </c>
      <c r="R30" s="430">
        <v>3.91</v>
      </c>
      <c r="S30" s="430">
        <v>82.99</v>
      </c>
      <c r="T30" s="430">
        <v>60.31</v>
      </c>
      <c r="U30" s="430">
        <v>9.73</v>
      </c>
      <c r="V30" s="430">
        <v>12</v>
      </c>
      <c r="W30" s="430">
        <v>1.9</v>
      </c>
      <c r="X30" s="430">
        <v>38.229999999999997</v>
      </c>
      <c r="Y30" s="430">
        <v>8.58</v>
      </c>
    </row>
    <row r="31" spans="1:25" ht="11.25" customHeight="1">
      <c r="A31" s="136"/>
      <c r="B31" s="138"/>
      <c r="C31" s="138"/>
      <c r="D31" s="138"/>
      <c r="E31" s="138"/>
      <c r="F31" s="138"/>
      <c r="G31" s="138"/>
      <c r="H31" s="138"/>
      <c r="I31" s="138"/>
      <c r="J31" s="25"/>
      <c r="K31" s="26"/>
      <c r="L31" s="22"/>
      <c r="O31" s="428">
        <v>28</v>
      </c>
      <c r="P31" s="429">
        <v>28</v>
      </c>
      <c r="Q31" s="430">
        <v>11.04</v>
      </c>
      <c r="R31" s="430">
        <v>3.91</v>
      </c>
      <c r="S31" s="430">
        <v>71.739999999999995</v>
      </c>
      <c r="T31" s="430">
        <v>39.090000000000003</v>
      </c>
      <c r="U31" s="430">
        <v>8.42</v>
      </c>
      <c r="V31" s="430">
        <v>12</v>
      </c>
      <c r="W31" s="430">
        <v>1.65</v>
      </c>
      <c r="X31" s="430">
        <v>33.9</v>
      </c>
      <c r="Y31" s="430">
        <v>6.64</v>
      </c>
    </row>
    <row r="32" spans="1:25" ht="11.25" customHeight="1">
      <c r="A32" s="136"/>
      <c r="B32" s="138"/>
      <c r="C32" s="138"/>
      <c r="D32" s="138"/>
      <c r="E32" s="138"/>
      <c r="F32" s="138"/>
      <c r="G32" s="138"/>
      <c r="H32" s="138"/>
      <c r="I32" s="138"/>
      <c r="J32" s="26"/>
      <c r="K32" s="26"/>
      <c r="L32" s="22"/>
      <c r="P32" s="429">
        <v>29</v>
      </c>
      <c r="Q32" s="430">
        <v>10.27</v>
      </c>
      <c r="R32" s="430">
        <v>3.42</v>
      </c>
      <c r="S32" s="430">
        <v>67.8</v>
      </c>
      <c r="T32" s="430">
        <v>32.590000000000003</v>
      </c>
      <c r="U32" s="430">
        <v>7.7</v>
      </c>
      <c r="V32" s="430">
        <v>10.51</v>
      </c>
      <c r="W32" s="430">
        <v>1.79</v>
      </c>
      <c r="X32" s="430">
        <v>31.97</v>
      </c>
      <c r="Y32" s="430">
        <v>6.49</v>
      </c>
    </row>
    <row r="33" spans="1:25" ht="11.25" customHeight="1">
      <c r="A33" s="136"/>
      <c r="B33" s="138"/>
      <c r="C33" s="138"/>
      <c r="D33" s="138"/>
      <c r="E33" s="138"/>
      <c r="F33" s="138"/>
      <c r="G33" s="138"/>
      <c r="H33" s="138"/>
      <c r="I33" s="138"/>
      <c r="J33" s="25"/>
      <c r="K33" s="26"/>
      <c r="L33" s="22"/>
      <c r="P33" s="429">
        <v>30</v>
      </c>
      <c r="Q33" s="430">
        <v>9.4700000000000006</v>
      </c>
      <c r="R33" s="430">
        <v>3.42</v>
      </c>
      <c r="S33" s="430">
        <v>69.62</v>
      </c>
      <c r="T33" s="430">
        <v>28.39</v>
      </c>
      <c r="U33" s="430">
        <v>7.39</v>
      </c>
      <c r="V33" s="430">
        <v>12</v>
      </c>
      <c r="W33" s="430">
        <v>1.64</v>
      </c>
      <c r="X33" s="430">
        <v>31.76</v>
      </c>
      <c r="Y33" s="430">
        <v>6.15</v>
      </c>
    </row>
    <row r="34" spans="1:25" ht="11.25" customHeight="1">
      <c r="A34" s="136"/>
      <c r="B34" s="138"/>
      <c r="C34" s="138"/>
      <c r="D34" s="138"/>
      <c r="E34" s="138"/>
      <c r="F34" s="138"/>
      <c r="G34" s="138"/>
      <c r="H34" s="138"/>
      <c r="I34" s="138"/>
      <c r="J34" s="25"/>
      <c r="K34" s="34"/>
      <c r="L34" s="22"/>
      <c r="P34" s="429">
        <v>31</v>
      </c>
      <c r="Q34" s="430">
        <v>9.0500000000000007</v>
      </c>
      <c r="R34" s="430">
        <v>3.3</v>
      </c>
      <c r="S34" s="430">
        <v>61.71</v>
      </c>
      <c r="T34" s="430">
        <v>26.51</v>
      </c>
      <c r="U34" s="430">
        <v>7.02</v>
      </c>
      <c r="V34" s="430">
        <v>12</v>
      </c>
      <c r="W34" s="430">
        <v>1.87</v>
      </c>
      <c r="X34" s="430">
        <v>31.68</v>
      </c>
      <c r="Y34" s="430">
        <v>5.51</v>
      </c>
    </row>
    <row r="35" spans="1:25" ht="11.25" customHeight="1">
      <c r="A35" s="136"/>
      <c r="B35" s="138"/>
      <c r="C35" s="138"/>
      <c r="D35" s="138"/>
      <c r="E35" s="138"/>
      <c r="F35" s="138"/>
      <c r="G35" s="138"/>
      <c r="H35" s="138"/>
      <c r="I35" s="138"/>
      <c r="J35" s="25"/>
      <c r="K35" s="34"/>
      <c r="L35" s="38"/>
      <c r="O35" s="428">
        <v>32</v>
      </c>
      <c r="P35" s="429">
        <v>32</v>
      </c>
      <c r="Q35" s="430">
        <v>9.9</v>
      </c>
      <c r="R35" s="430">
        <v>2.68</v>
      </c>
      <c r="S35" s="430">
        <v>65.38</v>
      </c>
      <c r="T35" s="430">
        <v>24.1</v>
      </c>
      <c r="U35" s="430">
        <v>6.7</v>
      </c>
      <c r="V35" s="430">
        <v>12</v>
      </c>
      <c r="W35" s="430">
        <v>1.95</v>
      </c>
      <c r="X35" s="430">
        <v>31.01</v>
      </c>
      <c r="Y35" s="430">
        <v>5.16</v>
      </c>
    </row>
    <row r="36" spans="1:25" ht="11.25" customHeight="1">
      <c r="A36" s="136"/>
      <c r="B36" s="138"/>
      <c r="C36" s="138"/>
      <c r="D36" s="138"/>
      <c r="E36" s="138"/>
      <c r="F36" s="138"/>
      <c r="G36" s="138"/>
      <c r="H36" s="138"/>
      <c r="I36" s="138"/>
      <c r="J36" s="25"/>
      <c r="K36" s="29"/>
      <c r="L36" s="22"/>
      <c r="P36" s="429">
        <v>33</v>
      </c>
      <c r="Q36" s="430">
        <v>9.17</v>
      </c>
      <c r="R36" s="430">
        <v>2.4300000000000002</v>
      </c>
      <c r="S36" s="430">
        <v>59.63</v>
      </c>
      <c r="T36" s="430">
        <v>24.29</v>
      </c>
      <c r="U36" s="430">
        <v>6.44</v>
      </c>
      <c r="V36" s="430">
        <v>12</v>
      </c>
      <c r="W36" s="430">
        <v>1.82</v>
      </c>
      <c r="X36" s="430">
        <v>30.23</v>
      </c>
      <c r="Y36" s="430">
        <v>5.27</v>
      </c>
    </row>
    <row r="37" spans="1:25" ht="11.25" customHeight="1">
      <c r="A37" s="136"/>
      <c r="B37" s="138"/>
      <c r="C37" s="138"/>
      <c r="D37" s="138"/>
      <c r="E37" s="138"/>
      <c r="F37" s="138"/>
      <c r="G37" s="138"/>
      <c r="H37" s="138"/>
      <c r="I37" s="138"/>
      <c r="J37" s="25"/>
      <c r="K37" s="29"/>
      <c r="L37" s="22"/>
      <c r="P37" s="429">
        <v>34</v>
      </c>
      <c r="Q37" s="430">
        <v>7.78</v>
      </c>
      <c r="R37" s="430">
        <v>2.61</v>
      </c>
      <c r="S37" s="430">
        <v>60.62</v>
      </c>
      <c r="T37" s="430">
        <v>25.9</v>
      </c>
      <c r="U37" s="430">
        <v>6.62</v>
      </c>
      <c r="V37" s="430">
        <v>12</v>
      </c>
      <c r="W37" s="430">
        <v>1.89</v>
      </c>
      <c r="X37" s="430">
        <v>32.17</v>
      </c>
      <c r="Y37" s="430">
        <v>5.0599999999999996</v>
      </c>
    </row>
    <row r="38" spans="1:25" ht="11.25" customHeight="1">
      <c r="A38" s="136"/>
      <c r="B38" s="138"/>
      <c r="C38" s="138"/>
      <c r="D38" s="138"/>
      <c r="E38" s="138"/>
      <c r="F38" s="138"/>
      <c r="G38" s="138"/>
      <c r="H38" s="138"/>
      <c r="I38" s="138"/>
      <c r="J38" s="25"/>
      <c r="K38" s="29"/>
      <c r="L38" s="22"/>
      <c r="P38" s="429">
        <v>35</v>
      </c>
      <c r="Q38" s="430">
        <v>7.73</v>
      </c>
      <c r="R38" s="430">
        <v>3.07</v>
      </c>
      <c r="S38" s="430">
        <v>58.47</v>
      </c>
      <c r="T38" s="430">
        <v>26.33</v>
      </c>
      <c r="U38" s="430">
        <v>6.66</v>
      </c>
      <c r="V38" s="430">
        <v>12.14</v>
      </c>
      <c r="W38" s="430">
        <v>1.97</v>
      </c>
      <c r="X38" s="430">
        <v>31.63</v>
      </c>
      <c r="Y38" s="430">
        <v>4.84</v>
      </c>
    </row>
    <row r="39" spans="1:25" ht="11.25" customHeight="1">
      <c r="O39" s="428">
        <v>36</v>
      </c>
      <c r="P39" s="429">
        <v>36</v>
      </c>
      <c r="Q39" s="430">
        <v>7.1</v>
      </c>
      <c r="R39" s="430">
        <v>3.57</v>
      </c>
      <c r="S39" s="430">
        <v>61.13</v>
      </c>
      <c r="T39" s="430">
        <v>27.35</v>
      </c>
      <c r="U39" s="430">
        <v>6.84</v>
      </c>
      <c r="V39" s="430">
        <v>13</v>
      </c>
      <c r="W39" s="430">
        <v>1.76</v>
      </c>
      <c r="X39" s="430">
        <v>34.090000000000003</v>
      </c>
      <c r="Y39" s="430">
        <v>4.8899999999999997</v>
      </c>
    </row>
    <row r="40" spans="1:25" ht="11.25" customHeight="1">
      <c r="A40" s="957" t="s">
        <v>471</v>
      </c>
      <c r="B40" s="957"/>
      <c r="C40" s="957"/>
      <c r="D40" s="957"/>
      <c r="E40" s="957"/>
      <c r="F40" s="957"/>
      <c r="G40" s="957"/>
      <c r="H40" s="957"/>
      <c r="I40" s="957"/>
      <c r="J40" s="957"/>
      <c r="K40" s="957"/>
      <c r="L40" s="957"/>
      <c r="P40" s="429">
        <v>37</v>
      </c>
      <c r="Q40" s="430">
        <v>7.53</v>
      </c>
      <c r="R40" s="430">
        <v>5.04</v>
      </c>
      <c r="S40" s="430">
        <v>59.93</v>
      </c>
      <c r="T40" s="430">
        <v>34.56</v>
      </c>
      <c r="U40" s="430">
        <v>7.96</v>
      </c>
      <c r="V40" s="430">
        <v>13</v>
      </c>
      <c r="W40" s="430">
        <v>1.7</v>
      </c>
      <c r="X40" s="430">
        <v>38.06</v>
      </c>
      <c r="Y40" s="430">
        <v>8.4</v>
      </c>
    </row>
    <row r="41" spans="1:25" ht="11.25" customHeight="1">
      <c r="P41" s="429">
        <v>38</v>
      </c>
      <c r="Q41" s="430">
        <v>9.73</v>
      </c>
      <c r="R41" s="430">
        <v>3.75</v>
      </c>
      <c r="S41" s="430">
        <v>64.319999999999993</v>
      </c>
      <c r="T41" s="430">
        <v>41.74</v>
      </c>
      <c r="U41" s="430">
        <v>9.43</v>
      </c>
      <c r="V41" s="430">
        <v>13</v>
      </c>
      <c r="W41" s="430">
        <v>1.77</v>
      </c>
      <c r="X41" s="430">
        <v>41.12</v>
      </c>
      <c r="Y41" s="430">
        <v>6.42</v>
      </c>
    </row>
    <row r="42" spans="1:25" ht="11.25" customHeight="1">
      <c r="A42" s="136"/>
      <c r="B42" s="138"/>
      <c r="C42" s="138"/>
      <c r="D42" s="138"/>
      <c r="E42" s="138"/>
      <c r="F42" s="138"/>
      <c r="G42" s="138"/>
      <c r="H42" s="138"/>
      <c r="I42" s="138"/>
      <c r="O42" s="428">
        <v>39</v>
      </c>
      <c r="P42" s="429">
        <v>39</v>
      </c>
      <c r="Q42" s="430">
        <v>7.21</v>
      </c>
      <c r="R42" s="430">
        <v>3.83</v>
      </c>
      <c r="S42" s="430">
        <v>66.83</v>
      </c>
      <c r="T42" s="430">
        <v>46.48</v>
      </c>
      <c r="U42" s="430">
        <v>7.93</v>
      </c>
      <c r="V42" s="430">
        <v>13</v>
      </c>
      <c r="W42" s="430">
        <v>1.99</v>
      </c>
      <c r="X42" s="430">
        <v>33.06</v>
      </c>
      <c r="Y42" s="430">
        <v>7.98</v>
      </c>
    </row>
    <row r="43" spans="1:25" ht="11.25" customHeight="1">
      <c r="A43" s="136"/>
      <c r="B43" s="138"/>
      <c r="C43" s="138"/>
      <c r="D43" s="138"/>
      <c r="E43" s="138"/>
      <c r="F43" s="138"/>
      <c r="G43" s="138"/>
      <c r="H43" s="138"/>
      <c r="I43" s="138"/>
      <c r="P43" s="429">
        <v>40</v>
      </c>
      <c r="Q43" s="430">
        <v>6.89</v>
      </c>
      <c r="R43" s="430">
        <v>3.2</v>
      </c>
      <c r="S43" s="430">
        <v>56.32</v>
      </c>
      <c r="T43" s="430">
        <v>28.11</v>
      </c>
      <c r="U43" s="430">
        <v>6.02</v>
      </c>
      <c r="V43" s="430">
        <v>13</v>
      </c>
      <c r="W43" s="430">
        <v>1.48</v>
      </c>
      <c r="X43" s="430">
        <v>35.54</v>
      </c>
      <c r="Y43" s="430">
        <v>5.32</v>
      </c>
    </row>
    <row r="44" spans="1:25" ht="11.25" customHeight="1">
      <c r="A44" s="136"/>
      <c r="B44" s="138"/>
      <c r="C44" s="138"/>
      <c r="D44" s="138"/>
      <c r="E44" s="138"/>
      <c r="F44" s="138"/>
      <c r="G44" s="138"/>
      <c r="H44" s="138"/>
      <c r="I44" s="138"/>
      <c r="P44" s="429">
        <v>41</v>
      </c>
      <c r="Q44" s="430">
        <v>7.51</v>
      </c>
      <c r="R44" s="430">
        <v>3.26</v>
      </c>
      <c r="S44" s="430">
        <v>57.18</v>
      </c>
      <c r="T44" s="430">
        <v>32.11</v>
      </c>
      <c r="U44" s="430">
        <v>6.5</v>
      </c>
      <c r="V44" s="430">
        <v>13</v>
      </c>
      <c r="W44" s="430">
        <v>1.53</v>
      </c>
      <c r="X44" s="430">
        <v>37.47</v>
      </c>
      <c r="Y44" s="430">
        <v>4.95</v>
      </c>
    </row>
    <row r="45" spans="1:25" ht="11.25" customHeight="1">
      <c r="A45" s="136"/>
      <c r="B45" s="138"/>
      <c r="C45" s="138"/>
      <c r="D45" s="138"/>
      <c r="E45" s="138"/>
      <c r="F45" s="138"/>
      <c r="G45" s="138"/>
      <c r="H45" s="138"/>
      <c r="I45" s="138"/>
      <c r="P45" s="429">
        <v>42</v>
      </c>
      <c r="Q45" s="430">
        <v>7.92</v>
      </c>
      <c r="R45" s="430">
        <v>3.59</v>
      </c>
      <c r="S45" s="430">
        <v>71.87</v>
      </c>
      <c r="T45" s="430">
        <v>64.69</v>
      </c>
      <c r="U45" s="430">
        <v>9.44</v>
      </c>
      <c r="V45" s="430">
        <v>13</v>
      </c>
      <c r="W45" s="430">
        <v>1.93</v>
      </c>
      <c r="X45" s="430">
        <v>52.42</v>
      </c>
      <c r="Y45" s="430">
        <v>7.39</v>
      </c>
    </row>
    <row r="46" spans="1:25" ht="11.25" customHeight="1">
      <c r="A46" s="136"/>
      <c r="B46" s="138"/>
      <c r="C46" s="138"/>
      <c r="D46" s="138"/>
      <c r="E46" s="138"/>
      <c r="F46" s="138"/>
      <c r="G46" s="138"/>
      <c r="H46" s="138"/>
      <c r="I46" s="138"/>
      <c r="O46" s="428">
        <v>43</v>
      </c>
      <c r="P46" s="429">
        <v>43</v>
      </c>
      <c r="Q46" s="430">
        <v>9.16</v>
      </c>
      <c r="R46" s="430">
        <v>3.99</v>
      </c>
      <c r="S46" s="430">
        <v>73.22</v>
      </c>
      <c r="T46" s="430">
        <v>71.16</v>
      </c>
      <c r="U46" s="430">
        <v>8.8800000000000008</v>
      </c>
      <c r="V46" s="430">
        <v>13</v>
      </c>
      <c r="W46" s="430">
        <v>1.69</v>
      </c>
      <c r="X46" s="430">
        <v>43.93</v>
      </c>
      <c r="Y46" s="430">
        <v>6.18</v>
      </c>
    </row>
    <row r="47" spans="1:25" ht="11.25" customHeight="1">
      <c r="A47" s="136"/>
      <c r="B47" s="138"/>
      <c r="C47" s="138"/>
      <c r="D47" s="138"/>
      <c r="E47" s="138"/>
      <c r="F47" s="138"/>
      <c r="G47" s="138"/>
      <c r="H47" s="138"/>
      <c r="I47" s="138"/>
      <c r="P47" s="429">
        <v>44</v>
      </c>
      <c r="Q47" s="430">
        <v>8.81</v>
      </c>
      <c r="R47" s="430">
        <v>5.0199999999999996</v>
      </c>
      <c r="S47" s="430">
        <v>75.150000000000006</v>
      </c>
      <c r="T47" s="430">
        <v>62.33</v>
      </c>
      <c r="U47" s="430">
        <v>10.59</v>
      </c>
      <c r="V47" s="430">
        <v>13</v>
      </c>
      <c r="W47" s="430">
        <v>1.65</v>
      </c>
      <c r="X47" s="430">
        <v>40.229999999999997</v>
      </c>
      <c r="Y47" s="430">
        <v>8.7899999999999991</v>
      </c>
    </row>
    <row r="48" spans="1:25">
      <c r="A48" s="136"/>
      <c r="B48" s="138"/>
      <c r="C48" s="138"/>
      <c r="D48" s="138"/>
      <c r="E48" s="138"/>
      <c r="F48" s="138"/>
      <c r="G48" s="138"/>
      <c r="H48" s="138"/>
      <c r="I48" s="138"/>
      <c r="P48" s="429">
        <v>45</v>
      </c>
      <c r="Q48" s="430">
        <v>8.3800000000000008</v>
      </c>
      <c r="R48" s="430">
        <v>4.2</v>
      </c>
      <c r="S48" s="430">
        <v>67.39</v>
      </c>
      <c r="T48" s="430">
        <v>61.76</v>
      </c>
      <c r="U48" s="430">
        <v>10.039999999999999</v>
      </c>
      <c r="V48" s="430">
        <v>13</v>
      </c>
      <c r="W48" s="430">
        <v>1.51</v>
      </c>
      <c r="X48" s="430">
        <v>41.85</v>
      </c>
      <c r="Y48" s="430">
        <v>11.45</v>
      </c>
    </row>
    <row r="49" spans="1:25">
      <c r="A49" s="136"/>
      <c r="B49" s="138"/>
      <c r="C49" s="138"/>
      <c r="D49" s="138"/>
      <c r="E49" s="138"/>
      <c r="F49" s="138"/>
      <c r="G49" s="138"/>
      <c r="H49" s="138"/>
      <c r="I49" s="138"/>
      <c r="P49" s="429">
        <v>46</v>
      </c>
      <c r="Q49" s="430">
        <v>7.55</v>
      </c>
      <c r="R49" s="430">
        <v>3.7</v>
      </c>
      <c r="S49" s="430">
        <v>66.959999999999994</v>
      </c>
      <c r="T49" s="430">
        <v>66.040000000000006</v>
      </c>
      <c r="U49" s="430">
        <v>8.7799999999999994</v>
      </c>
      <c r="V49" s="430">
        <v>13</v>
      </c>
      <c r="W49" s="430">
        <v>1.65</v>
      </c>
      <c r="X49" s="430">
        <v>70.849999999999994</v>
      </c>
      <c r="Y49" s="430">
        <v>14.58</v>
      </c>
    </row>
    <row r="50" spans="1:25">
      <c r="A50" s="136"/>
      <c r="B50" s="138"/>
      <c r="C50" s="138"/>
      <c r="D50" s="138"/>
      <c r="E50" s="138"/>
      <c r="F50" s="138"/>
      <c r="G50" s="138"/>
      <c r="H50" s="138"/>
      <c r="I50" s="138"/>
      <c r="P50" s="429">
        <v>47</v>
      </c>
      <c r="Q50" s="430">
        <v>7.39</v>
      </c>
      <c r="R50" s="430">
        <v>3.85</v>
      </c>
      <c r="S50" s="430">
        <v>67.72</v>
      </c>
      <c r="T50" s="430">
        <v>52.82</v>
      </c>
      <c r="U50" s="430">
        <v>7.81</v>
      </c>
      <c r="V50" s="430">
        <v>13</v>
      </c>
      <c r="W50" s="430">
        <v>1.6</v>
      </c>
      <c r="X50" s="430">
        <v>64.819999999999993</v>
      </c>
      <c r="Y50" s="430">
        <v>12.14</v>
      </c>
    </row>
    <row r="51" spans="1:25">
      <c r="A51" s="136"/>
      <c r="B51" s="138"/>
      <c r="C51" s="138"/>
      <c r="D51" s="138"/>
      <c r="E51" s="138"/>
      <c r="F51" s="138"/>
      <c r="G51" s="138"/>
      <c r="H51" s="138"/>
      <c r="I51" s="138"/>
      <c r="O51" s="428">
        <v>48</v>
      </c>
      <c r="P51" s="429">
        <v>48</v>
      </c>
      <c r="Q51" s="430">
        <v>7.9678571564285718</v>
      </c>
      <c r="R51" s="430">
        <v>3.558142900428571</v>
      </c>
      <c r="S51" s="430">
        <v>77.366571698571434</v>
      </c>
      <c r="T51" s="430">
        <v>66.577285762857144</v>
      </c>
      <c r="U51" s="430">
        <v>9.1851428580000007</v>
      </c>
      <c r="V51" s="430">
        <v>13.005714417142858</v>
      </c>
      <c r="W51" s="430">
        <v>1.6</v>
      </c>
      <c r="X51" s="430">
        <v>47.846427917142854</v>
      </c>
      <c r="Y51" s="430">
        <v>12.516714369142859</v>
      </c>
    </row>
    <row r="52" spans="1:25">
      <c r="A52" s="136"/>
      <c r="B52" s="138"/>
      <c r="C52" s="138"/>
      <c r="D52" s="138"/>
      <c r="E52" s="138"/>
      <c r="F52" s="138"/>
      <c r="G52" s="138"/>
      <c r="H52" s="138"/>
      <c r="I52" s="138"/>
      <c r="P52" s="429">
        <v>49</v>
      </c>
      <c r="Q52" s="430">
        <v>8.4875713758571436</v>
      </c>
      <c r="R52" s="430">
        <v>3.2600000074285718</v>
      </c>
      <c r="S52" s="430">
        <v>84.55585806714285</v>
      </c>
      <c r="T52" s="430">
        <v>72.732000077142857</v>
      </c>
      <c r="U52" s="430">
        <v>14.04828548342857</v>
      </c>
      <c r="V52" s="430">
        <v>13.002857208571429</v>
      </c>
      <c r="W52" s="430">
        <v>1.6</v>
      </c>
      <c r="X52" s="430">
        <v>57.322143555714298</v>
      </c>
      <c r="Y52" s="430">
        <v>18.826999800000003</v>
      </c>
    </row>
    <row r="53" spans="1:25">
      <c r="A53" s="136"/>
      <c r="B53" s="138"/>
      <c r="C53" s="138"/>
      <c r="D53" s="138"/>
      <c r="E53" s="138"/>
      <c r="F53" s="138"/>
      <c r="G53" s="138"/>
      <c r="H53" s="138"/>
      <c r="I53" s="138"/>
      <c r="P53" s="429">
        <v>50</v>
      </c>
      <c r="Q53" s="430">
        <v>8.7257142747142868</v>
      </c>
      <c r="R53" s="430">
        <v>3.4628571441428577</v>
      </c>
      <c r="S53" s="430">
        <v>77.460142951428566</v>
      </c>
      <c r="T53" s="430">
        <v>64.097142899999994</v>
      </c>
      <c r="U53" s="430">
        <v>11.032857077571427</v>
      </c>
      <c r="V53" s="430">
        <v>13</v>
      </c>
      <c r="W53" s="430">
        <v>1.6000000240000001</v>
      </c>
      <c r="X53" s="430">
        <v>51.470714571428573</v>
      </c>
      <c r="Y53" s="430">
        <v>20.280285972857143</v>
      </c>
    </row>
    <row r="54" spans="1:25">
      <c r="A54" s="136"/>
      <c r="B54" s="138"/>
      <c r="C54" s="138"/>
      <c r="D54" s="138"/>
      <c r="E54" s="138"/>
      <c r="F54" s="138"/>
      <c r="G54" s="138"/>
      <c r="H54" s="138"/>
      <c r="I54" s="138"/>
      <c r="P54" s="429">
        <v>51</v>
      </c>
      <c r="Q54" s="430">
        <v>9.7215715127142861</v>
      </c>
      <c r="R54" s="430">
        <v>4.2539999484285715</v>
      </c>
      <c r="S54" s="430">
        <v>78.166143688571424</v>
      </c>
      <c r="T54" s="430">
        <v>94.237856191428577</v>
      </c>
      <c r="U54" s="430">
        <v>14.381428445285712</v>
      </c>
      <c r="V54" s="430">
        <v>13.01285743857143</v>
      </c>
      <c r="W54" s="430">
        <v>1.6257142851428572</v>
      </c>
      <c r="X54" s="430">
        <v>65.58357184285714</v>
      </c>
      <c r="Y54" s="430">
        <v>34.849000112857141</v>
      </c>
    </row>
    <row r="55" spans="1:25">
      <c r="A55" s="136"/>
      <c r="B55" s="138"/>
      <c r="C55" s="138"/>
      <c r="D55" s="138"/>
      <c r="E55" s="138"/>
      <c r="F55" s="138"/>
      <c r="G55" s="138"/>
      <c r="H55" s="138"/>
      <c r="I55" s="138"/>
      <c r="O55" s="428">
        <v>52</v>
      </c>
      <c r="P55" s="429">
        <v>52</v>
      </c>
      <c r="Q55" s="430">
        <v>10.323285784571427</v>
      </c>
      <c r="R55" s="430">
        <v>4.6457142829999993</v>
      </c>
      <c r="S55" s="430">
        <v>86.972714017142849</v>
      </c>
      <c r="T55" s="430">
        <v>94.357285634285716</v>
      </c>
      <c r="U55" s="430">
        <v>13.293999945714287</v>
      </c>
      <c r="V55" s="430">
        <v>13.09681579142857</v>
      </c>
      <c r="W55" s="430">
        <v>1.644999981</v>
      </c>
      <c r="X55" s="430">
        <v>104.27285767571428</v>
      </c>
      <c r="Y55" s="430">
        <v>35.335714887142856</v>
      </c>
    </row>
    <row r="56" spans="1:25">
      <c r="A56" s="136"/>
      <c r="B56" s="138"/>
      <c r="C56" s="138"/>
      <c r="D56" s="138"/>
      <c r="E56" s="138"/>
      <c r="F56" s="138"/>
      <c r="G56" s="138"/>
      <c r="H56" s="138"/>
      <c r="I56" s="138"/>
      <c r="N56" s="428">
        <v>2018</v>
      </c>
      <c r="O56" s="428">
        <v>1</v>
      </c>
      <c r="P56" s="429">
        <v>1</v>
      </c>
      <c r="Q56" s="430">
        <v>10.34</v>
      </c>
      <c r="R56" s="430">
        <v>4.4628571428571426</v>
      </c>
      <c r="S56" s="430">
        <v>140.04142857142858</v>
      </c>
      <c r="T56" s="430">
        <v>143.09</v>
      </c>
      <c r="U56" s="430">
        <v>20.63</v>
      </c>
      <c r="V56" s="430">
        <v>13</v>
      </c>
      <c r="W56" s="430">
        <v>1.64</v>
      </c>
      <c r="X56" s="430">
        <v>201.2428571428571</v>
      </c>
      <c r="Y56" s="430">
        <v>63.23</v>
      </c>
    </row>
    <row r="57" spans="1:25">
      <c r="A57" s="136"/>
      <c r="B57" s="138"/>
      <c r="C57" s="138"/>
      <c r="D57" s="138"/>
      <c r="E57" s="138"/>
      <c r="F57" s="138"/>
      <c r="G57" s="138"/>
      <c r="H57" s="138"/>
      <c r="I57" s="138"/>
      <c r="P57" s="429">
        <v>2</v>
      </c>
      <c r="Q57" s="430">
        <v>13.730999947142859</v>
      </c>
      <c r="R57" s="430">
        <v>3.5944285392857145</v>
      </c>
      <c r="S57" s="430">
        <v>209.91800362857143</v>
      </c>
      <c r="T57" s="430">
        <v>160.98214394285716</v>
      </c>
      <c r="U57" s="430">
        <v>36.213856559999996</v>
      </c>
      <c r="V57" s="430">
        <v>11.774285724285715</v>
      </c>
      <c r="W57" s="430">
        <v>1.5914286031428568</v>
      </c>
      <c r="X57" s="430">
        <v>229.4250030571429</v>
      </c>
      <c r="Y57" s="430">
        <v>56.654285431428562</v>
      </c>
    </row>
    <row r="58" spans="1:25">
      <c r="A58" s="136"/>
      <c r="B58" s="138"/>
      <c r="C58" s="138"/>
      <c r="D58" s="138"/>
      <c r="E58" s="138"/>
      <c r="F58" s="138"/>
      <c r="G58" s="138"/>
      <c r="H58" s="138"/>
      <c r="I58" s="138"/>
      <c r="P58" s="429">
        <v>3</v>
      </c>
      <c r="Q58" s="430">
        <v>15.983285902857142</v>
      </c>
      <c r="R58" s="430">
        <v>8.3045714242857152</v>
      </c>
      <c r="S58" s="430">
        <v>223.6645725857143</v>
      </c>
      <c r="T58" s="430">
        <v>190.44042751428574</v>
      </c>
      <c r="U58" s="430">
        <v>30.819142750000001</v>
      </c>
      <c r="V58" s="430">
        <v>11.857142857142858</v>
      </c>
      <c r="W58" s="430">
        <v>1.5814286125714285</v>
      </c>
      <c r="X58" s="430">
        <v>261.56357028571426</v>
      </c>
      <c r="Y58" s="430">
        <v>68.516428267142857</v>
      </c>
    </row>
    <row r="59" spans="1:25">
      <c r="A59" s="136"/>
      <c r="B59" s="138"/>
      <c r="C59" s="138"/>
      <c r="D59" s="138"/>
      <c r="E59" s="138"/>
      <c r="F59" s="138"/>
      <c r="G59" s="138"/>
      <c r="H59" s="138"/>
      <c r="I59" s="138"/>
      <c r="O59" s="428">
        <v>4</v>
      </c>
      <c r="P59" s="429">
        <v>4</v>
      </c>
      <c r="Q59" s="430">
        <v>21.988571574285714</v>
      </c>
      <c r="R59" s="430">
        <v>15.598142828000002</v>
      </c>
      <c r="S59" s="430">
        <v>346.88342720000003</v>
      </c>
      <c r="T59" s="430">
        <v>205.5832868285714</v>
      </c>
      <c r="U59" s="430">
        <v>40.893000467142862</v>
      </c>
      <c r="V59" s="430">
        <v>18.734285627142857</v>
      </c>
      <c r="W59" s="430">
        <v>1.5700000519999997</v>
      </c>
      <c r="X59" s="430">
        <v>261.98000009999998</v>
      </c>
      <c r="Y59" s="430">
        <v>58.935427530000005</v>
      </c>
    </row>
    <row r="60" spans="1:25">
      <c r="A60" s="136"/>
      <c r="B60" s="138"/>
      <c r="C60" s="138"/>
      <c r="D60" s="138"/>
      <c r="E60" s="138"/>
      <c r="F60" s="138"/>
      <c r="G60" s="138"/>
      <c r="H60" s="138"/>
      <c r="I60" s="138"/>
      <c r="P60" s="429">
        <v>5</v>
      </c>
      <c r="Q60" s="430">
        <v>17.729000225714284</v>
      </c>
      <c r="R60" s="430">
        <v>13.724571365714285</v>
      </c>
      <c r="S60" s="430">
        <v>214.95928737142859</v>
      </c>
      <c r="T60" s="430">
        <v>93.607142857142861</v>
      </c>
      <c r="U60" s="430">
        <v>17.748285841428572</v>
      </c>
      <c r="V60" s="430">
        <v>23.390000208571426</v>
      </c>
      <c r="W60" s="430">
        <v>1.5700000519999997</v>
      </c>
      <c r="X60" s="430">
        <v>141.83571514285714</v>
      </c>
      <c r="Y60" s="430">
        <v>45.332857951428579</v>
      </c>
    </row>
    <row r="61" spans="1:25">
      <c r="A61" s="136"/>
      <c r="B61" s="138"/>
      <c r="C61" s="138"/>
      <c r="D61" s="138"/>
      <c r="E61" s="138"/>
      <c r="F61" s="138"/>
      <c r="G61" s="138"/>
      <c r="H61" s="138"/>
      <c r="I61" s="138"/>
      <c r="P61" s="429">
        <v>6</v>
      </c>
      <c r="Q61" s="430">
        <v>13.582571572857143</v>
      </c>
      <c r="R61" s="430">
        <v>8.6634286477142854</v>
      </c>
      <c r="S61" s="430">
        <v>166.34242902857142</v>
      </c>
      <c r="T61" s="430">
        <v>108.25571334000001</v>
      </c>
      <c r="U61" s="430">
        <v>18.79157175142857</v>
      </c>
      <c r="V61" s="430">
        <v>20.201017107142857</v>
      </c>
      <c r="W61" s="430">
        <v>2.3694285491428571</v>
      </c>
      <c r="X61" s="430">
        <v>164.55714089999998</v>
      </c>
      <c r="Y61" s="430">
        <v>65.987571171428584</v>
      </c>
    </row>
    <row r="62" spans="1:25">
      <c r="A62" s="136"/>
      <c r="B62" s="138"/>
      <c r="C62" s="138"/>
      <c r="D62" s="138"/>
      <c r="E62" s="138"/>
      <c r="F62" s="138"/>
      <c r="G62" s="138"/>
      <c r="H62" s="138"/>
      <c r="I62" s="138"/>
      <c r="P62" s="429">
        <v>7</v>
      </c>
      <c r="Q62" s="430">
        <v>14.722571237142859</v>
      </c>
      <c r="R62" s="430">
        <v>11.071428435428571</v>
      </c>
      <c r="S62" s="430">
        <v>239.50057330000001</v>
      </c>
      <c r="T62" s="430">
        <v>202.98199900000003</v>
      </c>
      <c r="U62" s="430">
        <v>42.088571821428573</v>
      </c>
      <c r="V62" s="430">
        <v>15.283185821428571</v>
      </c>
      <c r="W62" s="430">
        <v>3.1689999100000001</v>
      </c>
      <c r="X62" s="430">
        <v>355.31285748571423</v>
      </c>
      <c r="Y62" s="430">
        <v>97.722999031428586</v>
      </c>
    </row>
    <row r="63" spans="1:25">
      <c r="A63" s="136"/>
      <c r="B63" s="138"/>
      <c r="C63" s="138"/>
      <c r="D63" s="138"/>
      <c r="E63" s="138"/>
      <c r="F63" s="138"/>
      <c r="G63" s="138"/>
      <c r="H63" s="138"/>
      <c r="I63" s="138"/>
      <c r="O63" s="428">
        <v>8</v>
      </c>
      <c r="P63" s="429">
        <v>8</v>
      </c>
      <c r="Q63" s="430">
        <v>18.48</v>
      </c>
      <c r="R63" s="430">
        <v>14.97</v>
      </c>
      <c r="S63" s="430">
        <v>357.61814662857148</v>
      </c>
      <c r="T63" s="430">
        <v>251.1</v>
      </c>
      <c r="U63" s="430">
        <v>43.74</v>
      </c>
      <c r="V63" s="430">
        <v>16.564</v>
      </c>
      <c r="W63" s="430">
        <v>3.16</v>
      </c>
      <c r="X63" s="430">
        <v>437.78</v>
      </c>
      <c r="Y63" s="430">
        <v>142.13</v>
      </c>
    </row>
    <row r="64" spans="1:25" ht="6" customHeight="1">
      <c r="A64" s="136"/>
      <c r="B64" s="138"/>
      <c r="C64" s="138"/>
      <c r="D64" s="138"/>
      <c r="E64" s="138"/>
      <c r="F64" s="138"/>
      <c r="G64" s="138"/>
      <c r="H64" s="138"/>
      <c r="I64" s="138"/>
      <c r="P64" s="429">
        <v>9</v>
      </c>
      <c r="Q64" s="430">
        <v>21.652428627142854</v>
      </c>
      <c r="R64" s="430">
        <v>14.185285431142857</v>
      </c>
      <c r="S64" s="430">
        <v>333.90885488571433</v>
      </c>
      <c r="T64" s="430">
        <v>204.95843285714287</v>
      </c>
      <c r="U64" s="430">
        <v>31.755000522857138</v>
      </c>
      <c r="V64" s="430">
        <v>15.852976190476195</v>
      </c>
      <c r="W64" s="430">
        <v>3.1689999100000001</v>
      </c>
      <c r="X64" s="430">
        <v>424.14571271428576</v>
      </c>
      <c r="Y64" s="430">
        <v>142.13857270714286</v>
      </c>
    </row>
    <row r="65" spans="1:25" ht="24.75" customHeight="1">
      <c r="A65" s="928" t="s">
        <v>472</v>
      </c>
      <c r="B65" s="928"/>
      <c r="C65" s="928"/>
      <c r="D65" s="928"/>
      <c r="E65" s="928"/>
      <c r="F65" s="928"/>
      <c r="G65" s="928"/>
      <c r="H65" s="928"/>
      <c r="I65" s="928"/>
      <c r="J65" s="928"/>
      <c r="K65" s="928"/>
      <c r="L65" s="928"/>
      <c r="P65" s="429">
        <v>10</v>
      </c>
      <c r="Q65" s="430">
        <v>30.272714344285713</v>
      </c>
      <c r="R65" s="430">
        <v>17.434571538571429</v>
      </c>
      <c r="S65" s="430">
        <v>431.64157101428572</v>
      </c>
      <c r="T65" s="430">
        <v>177.15485925714287</v>
      </c>
      <c r="U65" s="430">
        <v>31.196571622857142</v>
      </c>
      <c r="V65" s="430">
        <v>14.442</v>
      </c>
      <c r="W65" s="430">
        <v>4.7437142644285712</v>
      </c>
      <c r="X65" s="430">
        <v>293.69142804285718</v>
      </c>
      <c r="Y65" s="430">
        <v>72.30971418</v>
      </c>
    </row>
    <row r="66" spans="1:25" ht="20.25" customHeight="1">
      <c r="P66" s="429">
        <v>11</v>
      </c>
      <c r="Q66" s="430">
        <v>28.071857179999999</v>
      </c>
      <c r="R66" s="430">
        <v>17.048571724285715</v>
      </c>
      <c r="S66" s="430">
        <v>485.98543439999997</v>
      </c>
      <c r="T66" s="430">
        <v>169.375</v>
      </c>
      <c r="U66" s="430">
        <v>52.626284462857136</v>
      </c>
      <c r="V66" s="430">
        <v>18.273</v>
      </c>
      <c r="W66" s="430">
        <v>3.0879999738571429</v>
      </c>
      <c r="X66" s="430">
        <v>511.54500034285724</v>
      </c>
      <c r="Y66" s="430">
        <v>119.7894287057143</v>
      </c>
    </row>
    <row r="67" spans="1:25">
      <c r="O67" s="428">
        <v>12</v>
      </c>
      <c r="P67" s="429">
        <v>12</v>
      </c>
      <c r="Q67" s="430">
        <v>29.90999984714286</v>
      </c>
      <c r="R67" s="430">
        <v>21.62</v>
      </c>
      <c r="S67" s="430">
        <v>465.24414497142863</v>
      </c>
      <c r="T67" s="430">
        <v>201.58328465714288</v>
      </c>
      <c r="U67" s="430">
        <v>57.669144221428567</v>
      </c>
      <c r="V67" s="430">
        <v>23.244</v>
      </c>
      <c r="W67" s="430">
        <v>4.5095714328571432</v>
      </c>
      <c r="X67" s="430">
        <v>433.89143152857145</v>
      </c>
      <c r="Y67" s="430">
        <v>152.80443028571429</v>
      </c>
    </row>
    <row r="68" spans="1:25">
      <c r="P68" s="429">
        <v>13</v>
      </c>
      <c r="Q68" s="430">
        <v>28.360142844285718</v>
      </c>
      <c r="R68" s="430">
        <v>17.439428465714283</v>
      </c>
      <c r="S68" s="430">
        <v>396.37686155714289</v>
      </c>
      <c r="T68" s="430">
        <v>163.75585502857143</v>
      </c>
      <c r="U68" s="430">
        <v>35.725570951428573</v>
      </c>
      <c r="V68" s="430">
        <v>23.143392837142859</v>
      </c>
      <c r="W68" s="430">
        <v>3.3929999999999998</v>
      </c>
      <c r="X68" s="430">
        <v>281.79928587142859</v>
      </c>
      <c r="Y68" s="430">
        <v>107.32928468714286</v>
      </c>
    </row>
    <row r="69" spans="1:25">
      <c r="P69" s="429">
        <v>14</v>
      </c>
      <c r="Q69" s="430">
        <v>23.830285752857144</v>
      </c>
      <c r="R69" s="430">
        <v>12.833285604571429</v>
      </c>
      <c r="S69" s="430">
        <v>226.32643345714288</v>
      </c>
      <c r="T69" s="430">
        <v>133.53585814285714</v>
      </c>
      <c r="U69" s="430">
        <v>28.622000282857147</v>
      </c>
      <c r="V69" s="430">
        <v>19.16</v>
      </c>
      <c r="W69" s="430">
        <v>1.736</v>
      </c>
      <c r="X69" s="430">
        <v>176.23214502857144</v>
      </c>
      <c r="Y69" s="430">
        <v>80.936570849999995</v>
      </c>
    </row>
    <row r="70" spans="1:25">
      <c r="P70" s="429">
        <v>15</v>
      </c>
      <c r="Q70" s="430">
        <v>27</v>
      </c>
      <c r="R70" s="430">
        <v>15.571285655714286</v>
      </c>
      <c r="S70" s="430">
        <v>207.40800040000002</v>
      </c>
      <c r="T70" s="430">
        <v>107.59514291428572</v>
      </c>
      <c r="U70" s="430">
        <v>30.753999982857145</v>
      </c>
      <c r="V70" s="430">
        <v>14.377143042857142</v>
      </c>
      <c r="W70" s="430">
        <v>1.8612856864285716</v>
      </c>
      <c r="X70" s="430">
        <v>130.09</v>
      </c>
      <c r="Y70" s="430">
        <v>42.693143572857146</v>
      </c>
    </row>
    <row r="71" spans="1:25">
      <c r="O71" s="428">
        <v>16</v>
      </c>
      <c r="P71" s="429">
        <v>16</v>
      </c>
      <c r="Q71" s="430">
        <v>19.899999999999999</v>
      </c>
      <c r="R71" s="430">
        <v>12.83</v>
      </c>
      <c r="S71" s="430">
        <v>166.38871437142856</v>
      </c>
      <c r="T71" s="430">
        <v>95.78</v>
      </c>
      <c r="U71" s="430">
        <v>29.88</v>
      </c>
      <c r="V71" s="430">
        <v>12.36</v>
      </c>
      <c r="W71" s="430">
        <v>1.9</v>
      </c>
      <c r="X71" s="430">
        <v>96.9</v>
      </c>
      <c r="Y71" s="430">
        <v>33.717142651428574</v>
      </c>
    </row>
    <row r="72" spans="1:25">
      <c r="P72" s="429">
        <v>17</v>
      </c>
      <c r="Q72" s="430">
        <v>19.14</v>
      </c>
      <c r="R72" s="430">
        <v>13.52</v>
      </c>
      <c r="S72" s="430">
        <v>168.19342804285716</v>
      </c>
      <c r="T72" s="430">
        <v>95.39</v>
      </c>
      <c r="U72" s="430">
        <v>22.257285525714284</v>
      </c>
      <c r="V72" s="430">
        <v>13.4</v>
      </c>
      <c r="W72" s="430">
        <v>1.7940000124285713</v>
      </c>
      <c r="X72" s="430">
        <v>89.59</v>
      </c>
      <c r="Y72" s="430">
        <v>27.06</v>
      </c>
    </row>
    <row r="73" spans="1:25">
      <c r="P73" s="429">
        <v>18</v>
      </c>
      <c r="Q73" s="430">
        <v>19.703571455714286</v>
      </c>
      <c r="R73" s="430">
        <v>14.166857039571427</v>
      </c>
      <c r="S73" s="430">
        <v>171.5428597714286</v>
      </c>
      <c r="T73" s="430">
        <v>85.958285739999994</v>
      </c>
      <c r="U73" s="430">
        <v>21.651714052857141</v>
      </c>
      <c r="V73" s="430">
        <v>12.785805702857145</v>
      </c>
      <c r="W73" s="430">
        <v>2.3024285860000004</v>
      </c>
      <c r="X73" s="430">
        <v>89.602142331428567</v>
      </c>
      <c r="Y73" s="430">
        <v>22.269714081428571</v>
      </c>
    </row>
    <row r="74" spans="1:25">
      <c r="P74" s="429">
        <v>19</v>
      </c>
      <c r="Q74" s="430">
        <v>15.48828561</v>
      </c>
      <c r="R74" s="430">
        <v>12.650857108142857</v>
      </c>
      <c r="S74" s="430">
        <v>146.54485865714287</v>
      </c>
      <c r="T74" s="430">
        <v>88.244000028571435</v>
      </c>
      <c r="U74" s="430">
        <v>19.037142890000002</v>
      </c>
      <c r="V74" s="430">
        <v>11.328391347142857</v>
      </c>
      <c r="W74" s="430">
        <v>1.8057142665714285</v>
      </c>
      <c r="X74" s="430">
        <v>75.568572998571426</v>
      </c>
      <c r="Y74" s="430">
        <v>17.565999711428571</v>
      </c>
    </row>
    <row r="75" spans="1:25">
      <c r="O75" s="428">
        <v>20</v>
      </c>
      <c r="P75" s="429">
        <v>20</v>
      </c>
      <c r="Q75" s="430">
        <v>14.601142882857145</v>
      </c>
      <c r="R75" s="430">
        <v>10.013285772</v>
      </c>
      <c r="S75" s="430">
        <v>112.76242937142857</v>
      </c>
      <c r="T75" s="430">
        <v>64.809571402857145</v>
      </c>
      <c r="U75" s="430">
        <v>16.531571660000001</v>
      </c>
      <c r="V75" s="430">
        <v>10.899261474285714</v>
      </c>
      <c r="W75" s="430">
        <v>1.7767143248571429</v>
      </c>
      <c r="X75" s="430">
        <v>62.208570752857149</v>
      </c>
      <c r="Y75" s="430">
        <v>14.502285821428572</v>
      </c>
    </row>
    <row r="76" spans="1:25">
      <c r="P76" s="429">
        <v>21</v>
      </c>
      <c r="Q76" s="430">
        <v>13.411285537142858</v>
      </c>
      <c r="R76" s="430">
        <v>7.8631429672857154</v>
      </c>
      <c r="S76" s="430">
        <v>94.636570517142857</v>
      </c>
      <c r="T76" s="430">
        <v>49.303714208571428</v>
      </c>
      <c r="U76" s="430">
        <v>13.450571468571427</v>
      </c>
      <c r="V76" s="430">
        <v>11.166911400000002</v>
      </c>
      <c r="W76" s="430">
        <v>1.8437143055714282</v>
      </c>
      <c r="X76" s="430">
        <v>54.38714218285714</v>
      </c>
      <c r="Y76" s="430">
        <v>12.214999879999999</v>
      </c>
    </row>
    <row r="77" spans="1:25">
      <c r="P77" s="429">
        <v>22</v>
      </c>
      <c r="Q77" s="430">
        <v>12.490285737142855</v>
      </c>
      <c r="R77" s="430">
        <v>6.4215714250000007</v>
      </c>
      <c r="S77" s="430">
        <v>81.718714031428576</v>
      </c>
      <c r="T77" s="430">
        <v>42.928571428571431</v>
      </c>
      <c r="U77" s="430">
        <v>11.897571562857141</v>
      </c>
      <c r="V77" s="430">
        <v>10.57333578442857</v>
      </c>
      <c r="W77" s="430">
        <v>1.8770000252857142</v>
      </c>
      <c r="X77" s="430">
        <v>48.837857382857138</v>
      </c>
      <c r="Y77" s="430">
        <v>10.894571441428569</v>
      </c>
    </row>
    <row r="78" spans="1:25">
      <c r="P78" s="429">
        <v>23</v>
      </c>
      <c r="Q78" s="430">
        <v>12.278000014285713</v>
      </c>
      <c r="R78" s="430">
        <v>5.5577142921428564</v>
      </c>
      <c r="S78" s="430">
        <v>83.760285512857152</v>
      </c>
      <c r="T78" s="430">
        <v>67.797571451428567</v>
      </c>
      <c r="U78" s="430">
        <v>15.801714215714284</v>
      </c>
      <c r="V78" s="430">
        <v>11.341294289999999</v>
      </c>
      <c r="W78" s="430">
        <v>1.7928571701428571</v>
      </c>
      <c r="X78" s="430">
        <v>58.175000328571436</v>
      </c>
      <c r="Y78" s="430">
        <v>13.860571451428571</v>
      </c>
    </row>
    <row r="79" spans="1:25">
      <c r="O79" s="428">
        <v>24</v>
      </c>
      <c r="P79" s="429">
        <v>24</v>
      </c>
      <c r="Q79" s="430">
        <v>10.882714271142857</v>
      </c>
      <c r="R79" s="430">
        <v>5.3317142215714286</v>
      </c>
      <c r="S79" s="430">
        <v>82.799001421428557</v>
      </c>
      <c r="T79" s="430">
        <v>63.982142857142854</v>
      </c>
      <c r="U79" s="430">
        <v>15.595999989999999</v>
      </c>
      <c r="V79" s="430">
        <v>11.96411841142857</v>
      </c>
      <c r="W79" s="430">
        <v>2.0252857377142854</v>
      </c>
      <c r="X79" s="430">
        <v>61.988572801428582</v>
      </c>
      <c r="Y79" s="430">
        <v>13.392856871428572</v>
      </c>
    </row>
    <row r="80" spans="1:25">
      <c r="P80" s="429">
        <v>25</v>
      </c>
      <c r="Q80" s="430">
        <v>10.290999957142857</v>
      </c>
      <c r="R80" s="430">
        <v>3.7498572211428569</v>
      </c>
      <c r="S80" s="430">
        <v>74.093855721428568</v>
      </c>
      <c r="T80" s="430">
        <v>53.035571505714287</v>
      </c>
      <c r="U80" s="430">
        <v>14.135857038571428</v>
      </c>
      <c r="V80" s="430">
        <v>11.79</v>
      </c>
      <c r="W80" s="430">
        <v>2.0514285564285717</v>
      </c>
      <c r="X80" s="430">
        <v>51.970714024285719</v>
      </c>
      <c r="Y80" s="430">
        <v>10.749428476857142</v>
      </c>
    </row>
    <row r="81" spans="15:25">
      <c r="P81" s="429">
        <v>26</v>
      </c>
      <c r="Q81" s="430">
        <v>9.5591429302857147</v>
      </c>
      <c r="R81" s="430">
        <v>3.5651427677142853</v>
      </c>
      <c r="S81" s="430">
        <v>66.795142037142867</v>
      </c>
      <c r="T81" s="430">
        <v>40.369000025714286</v>
      </c>
      <c r="U81" s="430">
        <v>10.912428581428573</v>
      </c>
      <c r="V81" s="430">
        <v>10.93</v>
      </c>
      <c r="W81" s="430">
        <v>2.1038571597142854</v>
      </c>
      <c r="X81" s="430">
        <v>44.390714371428579</v>
      </c>
      <c r="Y81" s="430">
        <v>9.1145714351428584</v>
      </c>
    </row>
    <row r="82" spans="15:25">
      <c r="P82" s="429">
        <v>27</v>
      </c>
      <c r="Q82" s="430">
        <v>9.3137141635714293</v>
      </c>
      <c r="R82" s="430">
        <v>4.7600000245714282</v>
      </c>
      <c r="S82" s="430">
        <v>67.368571689999996</v>
      </c>
      <c r="T82" s="430">
        <v>33.409999999999997</v>
      </c>
      <c r="U82" s="430">
        <v>9.4035714009999989</v>
      </c>
      <c r="V82" s="430">
        <v>12.51</v>
      </c>
      <c r="W82" s="430">
        <v>2.0499999999999998</v>
      </c>
      <c r="X82" s="430">
        <v>39.173571994285716</v>
      </c>
      <c r="Y82" s="430">
        <v>7.6487142698571438</v>
      </c>
    </row>
    <row r="83" spans="15:25">
      <c r="O83" s="428">
        <v>28</v>
      </c>
      <c r="P83" s="429">
        <v>28</v>
      </c>
      <c r="Q83" s="430">
        <v>8.7544284548571447</v>
      </c>
      <c r="R83" s="430">
        <v>2.5707143034285713</v>
      </c>
      <c r="S83" s="430">
        <v>65.073571887142847</v>
      </c>
      <c r="T83" s="430">
        <v>33.160714285714285</v>
      </c>
      <c r="U83" s="430">
        <v>9.4155716217142871</v>
      </c>
      <c r="V83" s="430">
        <v>12.3</v>
      </c>
      <c r="W83" s="430">
        <v>2.2505714212857142</v>
      </c>
      <c r="X83" s="430">
        <v>36.999285560000011</v>
      </c>
      <c r="Y83" s="430">
        <v>7.0544285774285713</v>
      </c>
    </row>
    <row r="84" spans="15:25">
      <c r="P84" s="429">
        <v>29</v>
      </c>
      <c r="Q84" s="430">
        <v>8.6149000000000004</v>
      </c>
      <c r="R84" s="430">
        <v>3.7006000000000001</v>
      </c>
      <c r="S84" s="430">
        <v>62.515714285714289</v>
      </c>
      <c r="T84" s="430">
        <v>35.738</v>
      </c>
      <c r="U84" s="430">
        <v>9.5503999999999998</v>
      </c>
      <c r="V84" s="430">
        <v>12.245714285714286</v>
      </c>
      <c r="W84" s="430">
        <v>1.9771428571428571</v>
      </c>
      <c r="X84" s="430">
        <v>38.677142857142861</v>
      </c>
      <c r="Y84" s="430">
        <v>6.3400000000000007</v>
      </c>
    </row>
    <row r="85" spans="15:25">
      <c r="P85" s="429">
        <v>30</v>
      </c>
      <c r="Q85" s="430">
        <v>8.1221428598571439</v>
      </c>
      <c r="R85" s="430">
        <v>4.9111429789999992</v>
      </c>
      <c r="S85" s="430">
        <v>57.148857115714286</v>
      </c>
      <c r="T85" s="430">
        <v>85.065429679999994</v>
      </c>
      <c r="U85" s="430">
        <v>15.534142631428571</v>
      </c>
      <c r="V85" s="430">
        <v>10.995952741142858</v>
      </c>
      <c r="W85" s="430">
        <v>2.2859999964285715</v>
      </c>
      <c r="X85" s="430">
        <v>56.166428702857139</v>
      </c>
      <c r="Y85" s="430">
        <v>9.4385714285714304</v>
      </c>
    </row>
    <row r="86" spans="15:25">
      <c r="P86" s="429">
        <v>31</v>
      </c>
      <c r="Q86" s="430">
        <v>7.5620000000000003</v>
      </c>
      <c r="R86" s="430">
        <v>3.28</v>
      </c>
      <c r="S86" s="430">
        <v>58.768000000000001</v>
      </c>
      <c r="T86" s="430">
        <v>40.375</v>
      </c>
      <c r="U86" s="430">
        <v>8.5579999999999998</v>
      </c>
      <c r="V86" s="430">
        <v>13.18</v>
      </c>
      <c r="W86" s="430">
        <v>2</v>
      </c>
      <c r="X86" s="430">
        <v>50.215000000000003</v>
      </c>
      <c r="Y86" s="430">
        <v>8.5770238095238049</v>
      </c>
    </row>
    <row r="87" spans="15:25">
      <c r="O87" s="428">
        <v>32</v>
      </c>
      <c r="P87" s="429">
        <v>32</v>
      </c>
      <c r="Q87" s="430">
        <v>8.4994284765714276</v>
      </c>
      <c r="R87" s="430">
        <v>4.8781427315714287</v>
      </c>
      <c r="S87" s="430">
        <v>54.703428540000004</v>
      </c>
      <c r="T87" s="430">
        <v>52.946428571428569</v>
      </c>
      <c r="U87" s="430">
        <v>10.739857128857144</v>
      </c>
      <c r="V87" s="430">
        <v>10.850328444285712</v>
      </c>
      <c r="W87" s="430">
        <v>2.0667142697142857</v>
      </c>
      <c r="X87" s="430">
        <v>50.460713522857141</v>
      </c>
      <c r="Y87" s="430">
        <v>9.7962856299999999</v>
      </c>
    </row>
    <row r="88" spans="15:25">
      <c r="P88" s="429">
        <v>33</v>
      </c>
      <c r="Q88" s="430">
        <v>7.8117142411428571</v>
      </c>
      <c r="R88" s="430">
        <v>4.5999999999999996</v>
      </c>
      <c r="S88" s="430">
        <v>59.066285269999995</v>
      </c>
      <c r="T88" s="430">
        <v>47.13</v>
      </c>
      <c r="U88" s="430">
        <v>9.23</v>
      </c>
      <c r="V88" s="430">
        <v>10.84</v>
      </c>
      <c r="W88" s="430">
        <v>2.0499999999999998</v>
      </c>
      <c r="X88" s="430">
        <v>44.64</v>
      </c>
      <c r="Y88" s="430">
        <v>8.7822855541428577</v>
      </c>
    </row>
    <row r="89" spans="15:25">
      <c r="P89" s="429">
        <v>34</v>
      </c>
      <c r="Q89" s="430">
        <v>6.44</v>
      </c>
      <c r="R89" s="430">
        <v>5.1568571165714285</v>
      </c>
      <c r="S89" s="430">
        <v>82.033571515714272</v>
      </c>
      <c r="T89" s="430">
        <v>63.892999920000001</v>
      </c>
      <c r="U89" s="430">
        <v>10.917285918714287</v>
      </c>
      <c r="V89" s="430">
        <v>10.534582955714285</v>
      </c>
      <c r="W89" s="430">
        <v>1.8788571358571429</v>
      </c>
      <c r="X89" s="430">
        <v>35.627857751428571</v>
      </c>
      <c r="Y89" s="430">
        <v>11.383714402571428</v>
      </c>
    </row>
    <row r="90" spans="15:25">
      <c r="P90" s="429">
        <v>35</v>
      </c>
      <c r="Q90" s="430">
        <v>7.5428571428571427</v>
      </c>
      <c r="R90" s="430">
        <v>2.15</v>
      </c>
      <c r="S90" s="430">
        <v>71.48</v>
      </c>
      <c r="T90" s="430">
        <v>45.64</v>
      </c>
      <c r="U90" s="430">
        <v>9.4700000000000006</v>
      </c>
      <c r="V90" s="430">
        <v>10.92</v>
      </c>
      <c r="W90" s="430">
        <v>1.88</v>
      </c>
      <c r="X90" s="430">
        <v>32.979999999999997</v>
      </c>
      <c r="Y90" s="430">
        <v>7.88</v>
      </c>
    </row>
    <row r="91" spans="15:25">
      <c r="O91" s="428">
        <v>36</v>
      </c>
      <c r="P91" s="429">
        <v>36</v>
      </c>
      <c r="Q91" s="430">
        <v>7.1671427998571433</v>
      </c>
      <c r="R91" s="430">
        <v>4.8342857142857136</v>
      </c>
      <c r="S91" s="430">
        <v>63.092857142857149</v>
      </c>
      <c r="T91" s="430">
        <v>34.571428571428569</v>
      </c>
      <c r="U91" s="430">
        <v>7.5942857142857134</v>
      </c>
      <c r="V91" s="430">
        <v>11.091428571428571</v>
      </c>
      <c r="W91" s="430">
        <v>1.8442857142857143</v>
      </c>
      <c r="X91" s="430">
        <v>31.20428571428571</v>
      </c>
      <c r="Y91" s="430">
        <v>8.0857142857142854</v>
      </c>
    </row>
    <row r="92" spans="15:25">
      <c r="P92" s="429">
        <v>37</v>
      </c>
      <c r="Q92" s="430">
        <v>7.1637143408571422</v>
      </c>
      <c r="R92" s="430">
        <v>3.1535714688571423</v>
      </c>
      <c r="S92" s="430">
        <v>61.141713821428574</v>
      </c>
      <c r="T92" s="430">
        <v>28.744000025714286</v>
      </c>
      <c r="U92" s="430">
        <v>6.5637142318571433</v>
      </c>
      <c r="V92" s="430">
        <v>10.825238499999999</v>
      </c>
      <c r="W92" s="430">
        <v>1.8114285809999999</v>
      </c>
      <c r="X92" s="430">
        <v>29.614285605714283</v>
      </c>
      <c r="Y92" s="430">
        <v>8.6452856064285708</v>
      </c>
    </row>
    <row r="93" spans="15:25">
      <c r="P93" s="429">
        <v>38</v>
      </c>
      <c r="Q93" s="430">
        <v>8.31</v>
      </c>
      <c r="R93" s="430">
        <v>3.3441428289999995</v>
      </c>
      <c r="S93" s="430">
        <v>49.664428712857145</v>
      </c>
      <c r="T93" s="430">
        <v>35.571571351428574</v>
      </c>
      <c r="U93" s="430">
        <v>7.2939999444285712</v>
      </c>
      <c r="V93" s="430">
        <v>11.159824370000001</v>
      </c>
      <c r="W93" s="430">
        <v>1.8427142925714282</v>
      </c>
      <c r="X93" s="430">
        <v>30.912857054285716</v>
      </c>
      <c r="Y93" s="430">
        <v>8.6452856064285708</v>
      </c>
    </row>
    <row r="94" spans="15:25">
      <c r="P94" s="429">
        <v>39</v>
      </c>
      <c r="Q94" s="430">
        <v>7.621428489714285</v>
      </c>
      <c r="R94" s="430">
        <v>4.6500000000000004</v>
      </c>
      <c r="S94" s="430">
        <v>42.24</v>
      </c>
      <c r="T94" s="430">
        <v>39.39</v>
      </c>
      <c r="U94" s="430">
        <v>7.68</v>
      </c>
      <c r="V94" s="430">
        <v>11.33</v>
      </c>
      <c r="W94" s="430">
        <v>1.64</v>
      </c>
      <c r="X94" s="430">
        <v>37.200000000000003</v>
      </c>
      <c r="Y94" s="430">
        <v>7.4194285528571422</v>
      </c>
    </row>
    <row r="95" spans="15:25">
      <c r="O95" s="428">
        <v>40</v>
      </c>
      <c r="P95" s="429">
        <v>40</v>
      </c>
      <c r="Q95" s="430">
        <v>7.621428489714285</v>
      </c>
      <c r="R95" s="430">
        <v>5.128571373571428</v>
      </c>
      <c r="S95" s="430">
        <v>38.906285422857138</v>
      </c>
      <c r="T95" s="430">
        <v>41.34000069857143</v>
      </c>
      <c r="U95" s="430">
        <v>9.112857137571428</v>
      </c>
      <c r="V95" s="430">
        <v>11.565001485714285</v>
      </c>
      <c r="W95" s="430">
        <v>1.8221428395714285</v>
      </c>
      <c r="X95" s="430">
        <v>42.197143011428572</v>
      </c>
      <c r="Y95" s="430">
        <v>9.6005713597142837</v>
      </c>
    </row>
    <row r="96" spans="15:25">
      <c r="P96" s="429">
        <v>41</v>
      </c>
      <c r="Q96" s="430">
        <v>7.2698572022574259</v>
      </c>
      <c r="R96" s="430">
        <v>4.8594285079410948</v>
      </c>
      <c r="S96" s="430">
        <v>42.923713956560341</v>
      </c>
      <c r="T96" s="430">
        <v>56.607142857142847</v>
      </c>
      <c r="U96" s="430">
        <v>11.170142854962995</v>
      </c>
      <c r="V96" s="430">
        <v>12.740178653172041</v>
      </c>
      <c r="W96" s="430">
        <v>1.7041428429739784</v>
      </c>
      <c r="X96" s="430">
        <v>49.475714547293492</v>
      </c>
      <c r="Y96" s="430">
        <v>10.943285942077617</v>
      </c>
    </row>
    <row r="97" spans="14:25">
      <c r="P97" s="429">
        <v>42</v>
      </c>
      <c r="Q97" s="430">
        <v>6.2732856614249064</v>
      </c>
      <c r="R97" s="430">
        <v>4.00314286776951</v>
      </c>
      <c r="S97" s="430">
        <v>73.976001194545148</v>
      </c>
      <c r="T97" s="430">
        <v>89.232285635811792</v>
      </c>
      <c r="U97" s="430">
        <v>19.282285690307582</v>
      </c>
      <c r="V97" s="430">
        <v>11.792381422860229</v>
      </c>
      <c r="W97" s="430">
        <v>1.5524285691124997</v>
      </c>
      <c r="X97" s="430">
        <v>72.350713457379968</v>
      </c>
      <c r="Y97" s="430">
        <v>17.972571236746628</v>
      </c>
    </row>
    <row r="98" spans="14:25">
      <c r="P98" s="429">
        <v>43</v>
      </c>
      <c r="Q98" s="430">
        <v>8.3208571161542526</v>
      </c>
      <c r="R98" s="430">
        <v>6.0481427737644662</v>
      </c>
      <c r="S98" s="430">
        <v>97.234427315848038</v>
      </c>
      <c r="T98" s="430">
        <v>125.70828465052978</v>
      </c>
      <c r="U98" s="430">
        <v>26.382142475673081</v>
      </c>
      <c r="V98" s="430">
        <v>12.0416071755545</v>
      </c>
      <c r="W98" s="430">
        <v>1.585428544453207</v>
      </c>
      <c r="X98" s="430">
        <v>82.484284537179079</v>
      </c>
      <c r="Y98" s="430">
        <v>19.552571432931028</v>
      </c>
    </row>
    <row r="99" spans="14:25">
      <c r="O99" s="428">
        <v>44</v>
      </c>
      <c r="P99" s="429">
        <v>44</v>
      </c>
      <c r="Q99" s="430">
        <v>9.2941429947142868</v>
      </c>
      <c r="R99" s="430">
        <v>7.6531428608571428</v>
      </c>
      <c r="S99" s="430">
        <v>120.62971387142855</v>
      </c>
      <c r="T99" s="430">
        <v>157.60714285714286</v>
      </c>
      <c r="U99" s="430">
        <v>33.364427840000005</v>
      </c>
      <c r="V99" s="430">
        <v>12.188929967142856</v>
      </c>
      <c r="W99" s="430">
        <v>1.6864285471428571</v>
      </c>
      <c r="X99" s="430">
        <v>110.40928649571428</v>
      </c>
      <c r="Y99" s="430">
        <v>33.081571032857141</v>
      </c>
    </row>
    <row r="100" spans="14:25">
      <c r="P100" s="429">
        <v>45</v>
      </c>
      <c r="Q100" s="430">
        <v>8.6642857274285721</v>
      </c>
      <c r="R100" s="430">
        <v>4.2061428341428568</v>
      </c>
      <c r="S100" s="430">
        <v>125.43157086857143</v>
      </c>
      <c r="T100" s="430">
        <v>105.63685608857143</v>
      </c>
      <c r="U100" s="430">
        <v>18.735571588571428</v>
      </c>
      <c r="V100" s="430">
        <v>13</v>
      </c>
      <c r="W100" s="430">
        <v>1.7397142818571427</v>
      </c>
      <c r="X100" s="430">
        <v>114.14357212285714</v>
      </c>
      <c r="Y100" s="430">
        <v>39.80185754</v>
      </c>
    </row>
    <row r="101" spans="14:25">
      <c r="P101" s="429">
        <v>46</v>
      </c>
      <c r="Q101" s="430">
        <v>8.5371428571428574</v>
      </c>
      <c r="R101" s="430">
        <v>5.9</v>
      </c>
      <c r="S101" s="430">
        <v>78.757142857142853</v>
      </c>
      <c r="T101" s="430">
        <v>79.304285714285712</v>
      </c>
      <c r="U101" s="430">
        <v>13.16</v>
      </c>
      <c r="V101" s="430">
        <v>13.001428571428571</v>
      </c>
      <c r="W101" s="430">
        <v>1.5</v>
      </c>
      <c r="X101" s="430">
        <v>93.457142857142841</v>
      </c>
      <c r="Y101" s="430">
        <v>37.212857142857146</v>
      </c>
    </row>
    <row r="102" spans="14:25">
      <c r="P102" s="429">
        <v>47</v>
      </c>
      <c r="Q102" s="430">
        <v>9.0094285692857135</v>
      </c>
      <c r="R102" s="430">
        <v>7.1015714912857133</v>
      </c>
      <c r="S102" s="430">
        <v>88.111712864285735</v>
      </c>
      <c r="T102" s="430">
        <v>74.684428622857141</v>
      </c>
      <c r="U102" s="430">
        <v>13.483142988571428</v>
      </c>
      <c r="V102" s="430">
        <v>12.142405645714286</v>
      </c>
      <c r="W102" s="430">
        <v>1.5</v>
      </c>
      <c r="X102" s="430">
        <v>104.10500007571429</v>
      </c>
      <c r="Y102" s="430">
        <v>35.055428368571434</v>
      </c>
    </row>
    <row r="103" spans="14:25">
      <c r="O103" s="428">
        <v>48</v>
      </c>
      <c r="P103" s="429">
        <v>48</v>
      </c>
      <c r="Q103" s="430">
        <v>8.5042856081428582</v>
      </c>
      <c r="R103" s="430">
        <v>4.3617142950000005</v>
      </c>
      <c r="S103" s="430">
        <v>80.151286534285717</v>
      </c>
      <c r="T103" s="430">
        <v>95.303570342857142</v>
      </c>
      <c r="U103" s="430">
        <v>12.543571337142859</v>
      </c>
      <c r="V103" s="430">
        <v>11.975262778571429</v>
      </c>
      <c r="W103" s="430">
        <v>1.5</v>
      </c>
      <c r="X103" s="430">
        <v>91.569999695714287</v>
      </c>
      <c r="Y103" s="430">
        <v>28.370000294285713</v>
      </c>
    </row>
    <row r="104" spans="14:25">
      <c r="P104" s="429">
        <v>49</v>
      </c>
      <c r="Q104" s="430">
        <v>8.27</v>
      </c>
      <c r="R104" s="430">
        <v>6.9099999999999993</v>
      </c>
      <c r="S104" s="430">
        <v>66.555714285714288</v>
      </c>
      <c r="T104" s="430">
        <v>54.31</v>
      </c>
      <c r="U104" s="430">
        <v>8.99</v>
      </c>
      <c r="V104" s="430">
        <v>12.26</v>
      </c>
      <c r="W104" s="430">
        <v>1.5</v>
      </c>
      <c r="X104" s="430">
        <v>62.974285714285706</v>
      </c>
      <c r="Y104" s="430">
        <v>22.919999999999998</v>
      </c>
    </row>
    <row r="105" spans="14:25">
      <c r="P105" s="429">
        <v>50</v>
      </c>
      <c r="Q105" s="430">
        <v>8.1765714374285707</v>
      </c>
      <c r="R105" s="430">
        <v>6.5639999597142857</v>
      </c>
      <c r="S105" s="430">
        <v>61.602715082857152</v>
      </c>
      <c r="T105" s="430">
        <v>52.47614288285714</v>
      </c>
      <c r="U105" s="430">
        <v>10.909571511285714</v>
      </c>
      <c r="V105" s="430">
        <v>13.001428604285715</v>
      </c>
      <c r="W105" s="430">
        <v>1.457142846857143</v>
      </c>
      <c r="X105" s="430">
        <v>52.244286674285718</v>
      </c>
      <c r="Y105" s="430">
        <v>17.695714271428571</v>
      </c>
    </row>
    <row r="106" spans="14:25">
      <c r="P106" s="429">
        <v>51</v>
      </c>
      <c r="Q106" s="430">
        <v>10.342857142857142</v>
      </c>
      <c r="R106" s="430">
        <v>7.3285714285714283</v>
      </c>
      <c r="S106" s="430">
        <v>53.9</v>
      </c>
      <c r="T106" s="430">
        <v>126.14285714285714</v>
      </c>
      <c r="U106" s="430">
        <v>16.8</v>
      </c>
      <c r="V106" s="430">
        <v>12.257142857142856</v>
      </c>
      <c r="W106" s="430">
        <v>1.3857142857142859</v>
      </c>
      <c r="X106" s="430">
        <v>86.528571428571439</v>
      </c>
      <c r="Y106" s="430">
        <v>33.51428571428572</v>
      </c>
    </row>
    <row r="107" spans="14:25">
      <c r="O107" s="428">
        <v>52</v>
      </c>
      <c r="P107" s="429">
        <v>52</v>
      </c>
      <c r="Q107" s="430">
        <v>10.661999840142856</v>
      </c>
      <c r="R107" s="430">
        <v>7.4820000789999996</v>
      </c>
      <c r="S107" s="430">
        <v>57.504999978571433</v>
      </c>
      <c r="T107" s="430">
        <v>100.38085719714286</v>
      </c>
      <c r="U107" s="430">
        <v>16.435142652857145</v>
      </c>
      <c r="V107" s="430">
        <v>12.222315514285714</v>
      </c>
      <c r="W107" s="430">
        <v>1.2999999520000001</v>
      </c>
      <c r="X107" s="430">
        <v>103.53357153142858</v>
      </c>
      <c r="Y107" s="430">
        <v>52.753143308571431</v>
      </c>
    </row>
    <row r="108" spans="14:25">
      <c r="N108" s="428">
        <v>2019</v>
      </c>
      <c r="O108" s="428">
        <v>1</v>
      </c>
      <c r="P108" s="429">
        <v>1</v>
      </c>
      <c r="Q108" s="430">
        <v>8.992857251428573</v>
      </c>
      <c r="R108" s="430">
        <v>4.4642857141428571</v>
      </c>
      <c r="S108" s="430">
        <v>57.514999934285704</v>
      </c>
      <c r="T108" s="430">
        <v>79.871427261428579</v>
      </c>
      <c r="U108" s="430">
        <v>13.115714484285716</v>
      </c>
      <c r="V108" s="430">
        <v>11.571904317142856</v>
      </c>
      <c r="W108" s="430">
        <v>1.2999999520000001</v>
      </c>
      <c r="X108" s="430">
        <v>121.75642612857142</v>
      </c>
      <c r="Y108" s="430">
        <v>64.398429325714275</v>
      </c>
    </row>
    <row r="109" spans="14:25">
      <c r="P109" s="429">
        <v>2</v>
      </c>
      <c r="Q109" s="430">
        <v>7.4904285157142843</v>
      </c>
      <c r="R109" s="430">
        <v>3.3685714177142856</v>
      </c>
      <c r="S109" s="430">
        <v>63.363856724285711</v>
      </c>
      <c r="T109" s="430">
        <v>84.184571402857145</v>
      </c>
      <c r="U109" s="430">
        <v>16.11014284285714</v>
      </c>
      <c r="V109" s="430">
        <v>11.570298602857141</v>
      </c>
      <c r="W109" s="430">
        <v>1.2999999520000001</v>
      </c>
      <c r="X109" s="430">
        <v>180.32999965714288</v>
      </c>
      <c r="Y109" s="430">
        <v>70.997858864285703</v>
      </c>
    </row>
    <row r="110" spans="14:25">
      <c r="P110" s="429">
        <v>3</v>
      </c>
      <c r="Q110" s="430">
        <v>14.36</v>
      </c>
      <c r="R110" s="430">
        <v>10.74</v>
      </c>
      <c r="S110" s="430">
        <v>80.75</v>
      </c>
      <c r="T110" s="430">
        <v>149.30000000000001</v>
      </c>
      <c r="U110" s="430">
        <v>29.23</v>
      </c>
      <c r="V110" s="430">
        <v>11.28</v>
      </c>
      <c r="W110" s="430">
        <v>1.33</v>
      </c>
      <c r="X110" s="430">
        <v>167.22</v>
      </c>
      <c r="Y110" s="430">
        <v>68.83</v>
      </c>
    </row>
    <row r="111" spans="14:25">
      <c r="O111" s="428">
        <v>4</v>
      </c>
      <c r="P111" s="429">
        <v>4</v>
      </c>
      <c r="Q111" s="430">
        <v>17.131428719999999</v>
      </c>
      <c r="R111" s="430">
        <v>11.155714580142858</v>
      </c>
      <c r="S111" s="430">
        <v>85.689570837142853</v>
      </c>
      <c r="T111" s="430">
        <v>168.80999974285714</v>
      </c>
      <c r="U111" s="430">
        <v>36.200000218571425</v>
      </c>
      <c r="V111" s="430">
        <v>11.843988554285716</v>
      </c>
      <c r="W111" s="430">
        <v>3.0287143159999999</v>
      </c>
      <c r="X111" s="430">
        <v>185.51500375714286</v>
      </c>
      <c r="Y111" s="430">
        <v>70.089428494285713</v>
      </c>
    </row>
    <row r="112" spans="14:25">
      <c r="P112" s="429">
        <v>5</v>
      </c>
      <c r="Q112" s="430">
        <v>30.592286245714288</v>
      </c>
      <c r="R112" s="430">
        <v>16.463000024285716</v>
      </c>
      <c r="S112" s="430">
        <v>416.48700821428571</v>
      </c>
      <c r="T112" s="430">
        <v>195.24999782857142</v>
      </c>
      <c r="U112" s="430">
        <v>36.703999928571427</v>
      </c>
      <c r="V112" s="430">
        <v>12.496724401428571</v>
      </c>
      <c r="W112" s="430">
        <v>6.6928571292857146</v>
      </c>
      <c r="X112" s="430">
        <v>199.03571430000002</v>
      </c>
      <c r="Y112" s="430">
        <v>74.655428748571438</v>
      </c>
    </row>
    <row r="113" spans="15:25">
      <c r="P113" s="429">
        <v>6</v>
      </c>
      <c r="Q113" s="430">
        <v>20.372857142857146</v>
      </c>
      <c r="R113" s="430">
        <v>17.05857142857143</v>
      </c>
      <c r="S113" s="430">
        <v>426.67142857142863</v>
      </c>
      <c r="T113" s="430">
        <v>265.28000000000003</v>
      </c>
      <c r="U113" s="430">
        <v>51.29</v>
      </c>
      <c r="V113" s="430">
        <v>12.744285714285715</v>
      </c>
      <c r="W113" s="430">
        <v>14.464285714285714</v>
      </c>
      <c r="X113" s="430">
        <v>338.89857142857142</v>
      </c>
      <c r="Y113" s="430">
        <v>117.82857142857142</v>
      </c>
    </row>
    <row r="114" spans="15:25">
      <c r="P114" s="429">
        <v>7</v>
      </c>
      <c r="Q114" s="430">
        <v>28.837571554285717</v>
      </c>
      <c r="R114" s="430">
        <v>18.065285818571429</v>
      </c>
      <c r="S114" s="430">
        <v>581.62514822857145</v>
      </c>
      <c r="T114" s="430">
        <v>230.7322888857143</v>
      </c>
      <c r="U114" s="430">
        <v>46.224000658571427</v>
      </c>
      <c r="V114" s="430">
        <v>23.841369902857146</v>
      </c>
      <c r="W114" s="430">
        <v>21.059571402857141</v>
      </c>
      <c r="X114" s="430">
        <v>288.0957205571429</v>
      </c>
      <c r="Y114" s="430">
        <v>118.07871352857144</v>
      </c>
    </row>
    <row r="115" spans="15:25">
      <c r="O115" s="428">
        <v>8</v>
      </c>
      <c r="P115" s="429">
        <v>8</v>
      </c>
      <c r="Q115" s="430">
        <v>20.077857700000003</v>
      </c>
      <c r="R115" s="430">
        <v>14.531571660571432</v>
      </c>
      <c r="S115" s="430">
        <v>439.74099729999995</v>
      </c>
      <c r="T115" s="430">
        <v>219.37485614285717</v>
      </c>
      <c r="U115" s="430">
        <v>42.94585745571429</v>
      </c>
      <c r="V115" s="430">
        <v>23.894881112857146</v>
      </c>
      <c r="W115" s="430">
        <v>6.8928571428571432</v>
      </c>
      <c r="X115" s="430">
        <v>411.75142995714288</v>
      </c>
      <c r="Y115" s="430">
        <v>98.32</v>
      </c>
    </row>
    <row r="116" spans="15:25">
      <c r="P116" s="429">
        <v>9</v>
      </c>
      <c r="Q116" s="430">
        <v>26.317999977142858</v>
      </c>
      <c r="R116" s="430">
        <v>19.520428521428574</v>
      </c>
      <c r="S116" s="430">
        <v>316.26999772857147</v>
      </c>
      <c r="T116" s="430">
        <v>191.17842539999998</v>
      </c>
      <c r="U116" s="430">
        <v>34.696428571428569</v>
      </c>
      <c r="V116" s="430">
        <v>22.406962801428573</v>
      </c>
      <c r="W116" s="430">
        <v>3.3807143142857146</v>
      </c>
      <c r="X116" s="430">
        <v>249.46285358571427</v>
      </c>
      <c r="Y116" s="430">
        <v>120.90099988571428</v>
      </c>
    </row>
    <row r="117" spans="15:25">
      <c r="P117" s="429">
        <v>10</v>
      </c>
      <c r="Q117" s="430">
        <v>27.959571565714288</v>
      </c>
      <c r="R117" s="430">
        <v>20.831714628571426</v>
      </c>
      <c r="S117" s="430">
        <v>326.63642664285715</v>
      </c>
      <c r="T117" s="430">
        <v>184.08928571428572</v>
      </c>
      <c r="U117" s="430">
        <v>38.680999754285715</v>
      </c>
      <c r="V117" s="430">
        <v>23.828572680000001</v>
      </c>
      <c r="W117" s="430">
        <v>2.3840000118571427</v>
      </c>
      <c r="X117" s="430">
        <v>225.10000174285716</v>
      </c>
      <c r="Y117" s="430">
        <v>78.177285328571429</v>
      </c>
    </row>
    <row r="118" spans="15:25">
      <c r="P118" s="429">
        <v>11</v>
      </c>
      <c r="Q118" s="430">
        <v>27.959571565714288</v>
      </c>
      <c r="R118" s="430">
        <v>22.247142927987216</v>
      </c>
      <c r="S118" s="430">
        <v>416.08099801199745</v>
      </c>
      <c r="T118" s="430">
        <v>226.88085501534573</v>
      </c>
      <c r="U118" s="430">
        <v>42.633285522460888</v>
      </c>
      <c r="V118" s="430">
        <v>23.809881482805473</v>
      </c>
      <c r="W118" s="430">
        <v>1.9291428668158341</v>
      </c>
      <c r="X118" s="430">
        <v>217.45642525809117</v>
      </c>
      <c r="Y118" s="430">
        <v>44.638999938964801</v>
      </c>
    </row>
    <row r="119" spans="15:25">
      <c r="O119" s="428">
        <v>12</v>
      </c>
      <c r="P119" s="429">
        <v>12</v>
      </c>
      <c r="Q119" s="430">
        <v>28.476714270455457</v>
      </c>
      <c r="R119" s="430">
        <v>21.707857131428572</v>
      </c>
      <c r="S119" s="430">
        <v>394.13957431428571</v>
      </c>
      <c r="T119" s="430">
        <v>203.44642857142858</v>
      </c>
      <c r="U119" s="430">
        <v>43.529285431428569</v>
      </c>
      <c r="V119" s="430">
        <v>19.572964258571432</v>
      </c>
      <c r="W119" s="430">
        <v>1.7968571012857144</v>
      </c>
      <c r="X119" s="430">
        <v>327.82142857142861</v>
      </c>
      <c r="Y119" s="430">
        <v>98.4</v>
      </c>
    </row>
    <row r="120" spans="15:25">
      <c r="P120" s="429">
        <v>13</v>
      </c>
      <c r="Q120" s="430">
        <v>24.844714028571435</v>
      </c>
      <c r="R120" s="430">
        <v>20.569142751428576</v>
      </c>
      <c r="S120" s="430">
        <v>522.42285592857138</v>
      </c>
      <c r="T120" s="430">
        <v>225.26185825714285</v>
      </c>
      <c r="U120" s="430">
        <v>57.974427901428569</v>
      </c>
      <c r="V120" s="430">
        <v>12.582738467142859</v>
      </c>
      <c r="W120" s="430">
        <v>1.6904285634285714</v>
      </c>
      <c r="X120" s="430">
        <v>339.04356602857143</v>
      </c>
      <c r="Y120" s="430">
        <v>92.103571201428579</v>
      </c>
    </row>
    <row r="121" spans="15:25">
      <c r="P121" s="429">
        <v>14</v>
      </c>
      <c r="Q121" s="430">
        <v>29.483285902857141</v>
      </c>
      <c r="R121" s="430">
        <v>18.767857142857142</v>
      </c>
      <c r="S121" s="430">
        <v>316.33943394285717</v>
      </c>
      <c r="T121" s="430">
        <v>152.47643277142856</v>
      </c>
      <c r="U121" s="430">
        <v>55.119428907142868</v>
      </c>
      <c r="V121" s="430">
        <v>21.303751674285714</v>
      </c>
      <c r="W121" s="430">
        <v>1.6808571647142858</v>
      </c>
      <c r="X121" s="430">
        <v>250.08571298571431</v>
      </c>
      <c r="Y121" s="430">
        <v>65.665856497142855</v>
      </c>
    </row>
    <row r="122" spans="15:25">
      <c r="P122" s="429">
        <v>15</v>
      </c>
      <c r="Q122" s="430">
        <v>20.040428705714284</v>
      </c>
      <c r="R122" s="430">
        <v>14.275999887714287</v>
      </c>
      <c r="S122" s="430">
        <v>168.45457024285716</v>
      </c>
      <c r="T122" s="430">
        <v>98.160714291428576</v>
      </c>
      <c r="U122" s="430">
        <v>27.713714872857139</v>
      </c>
      <c r="V122" s="430">
        <v>17.810774395714287</v>
      </c>
      <c r="W122" s="430">
        <v>1.7205714498571432</v>
      </c>
      <c r="X122" s="430">
        <v>148.48785617142858</v>
      </c>
      <c r="Y122" s="430">
        <v>49.633285522857136</v>
      </c>
    </row>
    <row r="123" spans="15:25">
      <c r="O123" s="428">
        <v>16</v>
      </c>
      <c r="P123" s="429">
        <v>16</v>
      </c>
      <c r="Q123" s="430">
        <v>16.072142737142858</v>
      </c>
      <c r="R123" s="430">
        <v>10.180143014285713</v>
      </c>
      <c r="S123" s="430">
        <v>131.80142647142856</v>
      </c>
      <c r="T123" s="430">
        <v>98.279714314285712</v>
      </c>
      <c r="U123" s="430">
        <v>22.869143077142859</v>
      </c>
      <c r="V123" s="430">
        <v>12.210951395714286</v>
      </c>
      <c r="W123" s="430">
        <v>1.789857131857143</v>
      </c>
      <c r="X123" s="430">
        <v>105.47928511571429</v>
      </c>
      <c r="Y123" s="430">
        <v>31.291000095714285</v>
      </c>
    </row>
    <row r="124" spans="15:25">
      <c r="P124" s="429">
        <v>17</v>
      </c>
      <c r="Q124" s="430">
        <v>15.383999960000001</v>
      </c>
      <c r="R124" s="430">
        <v>12.121571608857142</v>
      </c>
      <c r="S124" s="430">
        <v>143.84128789999997</v>
      </c>
      <c r="T124" s="430">
        <v>83.547571454285716</v>
      </c>
      <c r="U124" s="430">
        <v>20.273857388571425</v>
      </c>
      <c r="V124" s="430">
        <v>12.949641501428573</v>
      </c>
      <c r="W124" s="430">
        <v>1.6648571664285714</v>
      </c>
      <c r="X124" s="430">
        <v>103.81928579571429</v>
      </c>
      <c r="Y124" s="430">
        <v>25.921857015714284</v>
      </c>
    </row>
    <row r="125" spans="15:25">
      <c r="P125" s="429">
        <v>18</v>
      </c>
      <c r="Q125" s="430">
        <v>16.026142665714286</v>
      </c>
      <c r="R125" s="430">
        <v>11.996285711571428</v>
      </c>
      <c r="S125" s="430">
        <v>111.12314277285714</v>
      </c>
      <c r="T125" s="430">
        <v>74.392857142857139</v>
      </c>
      <c r="U125" s="430">
        <v>18.103142875714287</v>
      </c>
      <c r="V125" s="430">
        <v>11.493274145714285</v>
      </c>
      <c r="W125" s="430">
        <v>1.55</v>
      </c>
      <c r="X125" s="430">
        <v>91.532855442857141</v>
      </c>
      <c r="Y125" s="430">
        <v>22.190428595714284</v>
      </c>
    </row>
    <row r="126" spans="15:25">
      <c r="P126" s="429">
        <v>19</v>
      </c>
      <c r="Q126" s="430">
        <v>14.769714355714287</v>
      </c>
      <c r="R126" s="430">
        <v>10.123285769857144</v>
      </c>
      <c r="S126" s="430">
        <v>89.41828482428572</v>
      </c>
      <c r="T126" s="430">
        <v>60.613000051428571</v>
      </c>
      <c r="U126" s="430">
        <v>15.728999954285714</v>
      </c>
      <c r="V126" s="430">
        <v>10.883738517142858</v>
      </c>
      <c r="W126" s="430">
        <v>1.5914285865714286</v>
      </c>
      <c r="X126" s="430">
        <v>82.45500183</v>
      </c>
      <c r="Y126" s="430">
        <v>20.991285870000006</v>
      </c>
    </row>
    <row r="127" spans="15:25">
      <c r="P127" s="429">
        <v>20</v>
      </c>
      <c r="Q127" s="430">
        <v>13.81242861</v>
      </c>
      <c r="R127" s="430">
        <v>9.3731427190000005</v>
      </c>
      <c r="S127" s="430">
        <v>79.212427410000004</v>
      </c>
      <c r="T127" s="430">
        <v>72.321428569999995</v>
      </c>
      <c r="U127" s="430">
        <v>20.647571429999999</v>
      </c>
      <c r="V127" s="430">
        <v>11.153748650000001</v>
      </c>
      <c r="W127" s="430">
        <v>1.5371428389999999</v>
      </c>
      <c r="X127" s="430">
        <v>76.857142859999996</v>
      </c>
      <c r="Y127" s="430">
        <v>23.085714070000002</v>
      </c>
    </row>
    <row r="128" spans="15:25">
      <c r="P128" s="429">
        <v>21</v>
      </c>
      <c r="Q128" s="430">
        <v>12.849714414285714</v>
      </c>
      <c r="R128" s="430">
        <v>7.085428442285715</v>
      </c>
      <c r="S128" s="430">
        <v>62.717000688571432</v>
      </c>
      <c r="T128" s="430">
        <v>52.565571377142859</v>
      </c>
      <c r="U128" s="430">
        <v>14.46171447</v>
      </c>
      <c r="V128" s="430">
        <v>12</v>
      </c>
      <c r="W128" s="430">
        <v>1.5128571304285714</v>
      </c>
      <c r="X128" s="430">
        <v>58.057856968571436</v>
      </c>
      <c r="Y128" s="430">
        <v>17.858285902857144</v>
      </c>
    </row>
    <row r="129" spans="15:26">
      <c r="O129" s="428">
        <v>22</v>
      </c>
      <c r="P129" s="429">
        <v>22</v>
      </c>
      <c r="Q129" s="430">
        <v>12.105428559999998</v>
      </c>
      <c r="R129" s="430">
        <v>7.3308571058571435</v>
      </c>
      <c r="S129" s="430">
        <v>41.633143151428598</v>
      </c>
      <c r="T129" s="430">
        <v>49.261999948571429</v>
      </c>
      <c r="U129" s="430">
        <v>12.621714454285712</v>
      </c>
      <c r="V129" s="430">
        <v>10.442797251571431</v>
      </c>
      <c r="W129" s="430">
        <v>1.5</v>
      </c>
      <c r="X129" s="430">
        <v>51.520714895714285</v>
      </c>
      <c r="Y129" s="430">
        <v>15.324571202857143</v>
      </c>
    </row>
    <row r="130" spans="15:26">
      <c r="P130" s="429">
        <v>23</v>
      </c>
      <c r="Q130" s="430">
        <v>11.272714207142856</v>
      </c>
      <c r="R130" s="430">
        <v>7.7242857718571427</v>
      </c>
      <c r="S130" s="430">
        <v>41.633143151428598</v>
      </c>
      <c r="T130" s="430">
        <v>40.500142779999997</v>
      </c>
      <c r="U130" s="430">
        <v>10.571857179142857</v>
      </c>
      <c r="V130" s="430">
        <v>10.979225701428572</v>
      </c>
      <c r="W130" s="430">
        <v>1.5</v>
      </c>
      <c r="X130" s="430">
        <v>46.520714351428573</v>
      </c>
      <c r="Y130" s="430">
        <v>13.868142808571431</v>
      </c>
    </row>
    <row r="131" spans="15:26">
      <c r="P131" s="429">
        <v>24</v>
      </c>
      <c r="Q131" s="430">
        <v>10.867999894285715</v>
      </c>
      <c r="R131" s="430">
        <v>8.8337143495714301</v>
      </c>
      <c r="S131" s="430">
        <v>78.434000150000003</v>
      </c>
      <c r="T131" s="430">
        <v>35.785857065714289</v>
      </c>
      <c r="U131" s="430">
        <v>9.2180000031428584</v>
      </c>
      <c r="V131" s="430">
        <v>11.096784181428571</v>
      </c>
      <c r="W131" s="430">
        <v>1.5</v>
      </c>
      <c r="X131" s="430">
        <v>42.473571777142858</v>
      </c>
      <c r="Y131" s="430">
        <v>12.512571334285715</v>
      </c>
    </row>
    <row r="132" spans="15:26">
      <c r="P132" s="429">
        <v>25</v>
      </c>
      <c r="Q132" s="430">
        <v>10.167285918857143</v>
      </c>
      <c r="R132" s="430">
        <v>7.6592858184285708</v>
      </c>
      <c r="S132" s="430">
        <v>77.872000559999989</v>
      </c>
      <c r="T132" s="430">
        <v>33.357000077142857</v>
      </c>
      <c r="U132" s="430">
        <v>8.9321429390000002</v>
      </c>
      <c r="V132" s="430">
        <v>10.461965969999998</v>
      </c>
      <c r="W132" s="430">
        <v>1.5</v>
      </c>
      <c r="X132" s="430">
        <v>43.729285104285715</v>
      </c>
      <c r="Y132" s="430">
        <v>11.450428658571429</v>
      </c>
    </row>
    <row r="133" spans="15:26">
      <c r="O133" s="428">
        <v>26</v>
      </c>
      <c r="P133" s="429">
        <v>26</v>
      </c>
      <c r="Q133" s="430">
        <v>9.3535717554285718</v>
      </c>
      <c r="R133" s="430">
        <v>6.2751428064285708</v>
      </c>
      <c r="S133" s="430">
        <v>76.447856358571428</v>
      </c>
      <c r="T133" s="430">
        <v>29.154571531428569</v>
      </c>
      <c r="U133" s="430">
        <v>8.3007144928571428</v>
      </c>
      <c r="V133" s="430">
        <v>11.259941372857144</v>
      </c>
      <c r="W133" s="430">
        <v>1.5</v>
      </c>
      <c r="X133" s="430">
        <v>44.616428919999997</v>
      </c>
      <c r="Y133" s="430">
        <v>9.6660000944285702</v>
      </c>
    </row>
    <row r="134" spans="15:26">
      <c r="P134" s="429">
        <v>27</v>
      </c>
      <c r="Q134" s="430">
        <v>8.86</v>
      </c>
      <c r="R134" s="430">
        <v>7.15</v>
      </c>
      <c r="S134" s="430">
        <v>77.430000000000007</v>
      </c>
      <c r="T134" s="430">
        <v>30.35</v>
      </c>
      <c r="U134" s="430">
        <v>8.59</v>
      </c>
      <c r="V134" s="430">
        <v>10.758154460361988</v>
      </c>
      <c r="W134" s="430">
        <v>1.59</v>
      </c>
      <c r="X134" s="430">
        <v>43.84</v>
      </c>
      <c r="Y134" s="430">
        <v>8.27</v>
      </c>
    </row>
    <row r="135" spans="15:26">
      <c r="P135" s="429">
        <v>28</v>
      </c>
      <c r="Q135" s="430">
        <v>8.9135712215714289</v>
      </c>
      <c r="R135" s="430">
        <v>5.7058570728571425</v>
      </c>
      <c r="S135" s="430">
        <v>76.24514443428572</v>
      </c>
      <c r="T135" s="430">
        <v>27.702285765714286</v>
      </c>
      <c r="U135" s="430">
        <v>7.8261427880000003</v>
      </c>
      <c r="V135" s="430">
        <v>11.139168601428571</v>
      </c>
      <c r="W135" s="430">
        <v>1.6000000240000001</v>
      </c>
      <c r="X135" s="430">
        <v>39.995714458571435</v>
      </c>
      <c r="Y135" s="430">
        <v>7.4899999752857136</v>
      </c>
    </row>
    <row r="136" spans="15:26">
      <c r="P136" s="429">
        <v>29</v>
      </c>
      <c r="Q136" s="430">
        <v>9.1244284766060932</v>
      </c>
      <c r="R136" s="430">
        <v>6.4564285959516052</v>
      </c>
      <c r="S136" s="430">
        <v>66.31271307809007</v>
      </c>
      <c r="T136" s="430">
        <v>29.940428597586454</v>
      </c>
      <c r="U136" s="430">
        <v>7.6488569804600273</v>
      </c>
      <c r="V136" s="430">
        <v>10.810358456202879</v>
      </c>
      <c r="W136" s="430">
        <v>1.6000000238418504</v>
      </c>
      <c r="X136" s="430">
        <v>42.704285757882197</v>
      </c>
      <c r="Y136" s="430">
        <v>6.46428571428571</v>
      </c>
    </row>
    <row r="137" spans="15:26">
      <c r="O137" s="428">
        <v>30</v>
      </c>
      <c r="P137" s="429">
        <v>30</v>
      </c>
      <c r="Q137" s="430">
        <v>8.5528571428571407</v>
      </c>
      <c r="R137" s="430">
        <v>4.6828571428571433</v>
      </c>
      <c r="S137" s="430">
        <v>72.048571428571435</v>
      </c>
      <c r="T137" s="430">
        <v>36.729999999999997</v>
      </c>
      <c r="U137" s="430">
        <v>8.18</v>
      </c>
      <c r="V137" s="430">
        <v>12.61</v>
      </c>
      <c r="W137" s="430">
        <v>1.6285714285714283</v>
      </c>
      <c r="X137" s="430">
        <v>44.611428571428576</v>
      </c>
      <c r="Y137" s="430">
        <v>8.2285714285714295</v>
      </c>
    </row>
    <row r="138" spans="15:26">
      <c r="P138" s="429">
        <v>31</v>
      </c>
      <c r="Q138" s="430">
        <v>8.6655714172857152</v>
      </c>
      <c r="R138" s="430">
        <v>6.0697142064285714</v>
      </c>
      <c r="S138" s="430">
        <v>71.543143134285714</v>
      </c>
      <c r="T138" s="430">
        <v>31.720428468571431</v>
      </c>
      <c r="U138" s="430">
        <v>7.0618571554285712</v>
      </c>
      <c r="V138" s="430">
        <v>12.322975702857141</v>
      </c>
      <c r="W138" s="430">
        <v>1.7000000479999999</v>
      </c>
      <c r="X138" s="430">
        <v>43.444999694285706</v>
      </c>
      <c r="Y138" s="430">
        <v>6.7562857354285706</v>
      </c>
    </row>
    <row r="139" spans="15:26">
      <c r="P139" s="429">
        <v>32</v>
      </c>
      <c r="Q139" s="430">
        <v>8.8231430052857132</v>
      </c>
      <c r="R139" s="430">
        <v>7.5088570807142858</v>
      </c>
      <c r="S139" s="430">
        <v>73.754999434285722</v>
      </c>
      <c r="T139" s="430">
        <v>23.255857194285714</v>
      </c>
      <c r="U139" s="430">
        <v>6.2595714159999991</v>
      </c>
      <c r="V139" s="430">
        <v>12.551451548571427</v>
      </c>
      <c r="W139" s="430">
        <v>1.7214285988571427</v>
      </c>
      <c r="X139" s="430">
        <v>38.432857512857147</v>
      </c>
      <c r="Y139" s="430">
        <v>6.4201429230000002</v>
      </c>
    </row>
    <row r="140" spans="15:26">
      <c r="P140" s="429">
        <v>33</v>
      </c>
      <c r="Q140" s="430">
        <v>7.5077142715714285</v>
      </c>
      <c r="R140" s="430">
        <v>3.2121428764285715</v>
      </c>
      <c r="S140" s="430">
        <v>68.878572191428574</v>
      </c>
      <c r="T140" s="430">
        <v>21.297428674285715</v>
      </c>
      <c r="U140" s="430">
        <v>6.3691428730000004</v>
      </c>
      <c r="V140" s="430">
        <v>12.137084417142857</v>
      </c>
      <c r="W140" s="430">
        <v>1.7482857022857143</v>
      </c>
      <c r="X140" s="430">
        <v>36.690713608571421</v>
      </c>
      <c r="Y140" s="430">
        <v>4.7154285567142855</v>
      </c>
    </row>
    <row r="141" spans="15:26">
      <c r="P141" s="429">
        <v>34</v>
      </c>
      <c r="Q141" s="430">
        <v>7.6147142817142859</v>
      </c>
      <c r="R141" s="430">
        <v>3.3949999810000002</v>
      </c>
      <c r="S141" s="430">
        <v>65.663999831428569</v>
      </c>
      <c r="T141" s="430">
        <v>20.922428674285715</v>
      </c>
      <c r="U141" s="430">
        <v>6.115428584</v>
      </c>
      <c r="V141" s="430">
        <v>12.034524235714285</v>
      </c>
      <c r="W141" s="430">
        <v>1.7482857022857143</v>
      </c>
      <c r="X141" s="430">
        <v>34.872856138571429</v>
      </c>
      <c r="Y141" s="430">
        <v>5.7421428814285713</v>
      </c>
    </row>
    <row r="142" spans="15:26">
      <c r="P142" s="429">
        <v>35</v>
      </c>
      <c r="Q142" s="430">
        <v>8.7815715245714294</v>
      </c>
      <c r="R142" s="430">
        <v>7.1025714534285722</v>
      </c>
      <c r="S142" s="430">
        <v>65.224427905714279</v>
      </c>
      <c r="T142" s="430">
        <v>19.458285740000001</v>
      </c>
      <c r="U142" s="430">
        <v>6.3137143680000003</v>
      </c>
      <c r="V142" s="430">
        <v>12.041607177142856</v>
      </c>
      <c r="W142" s="430">
        <v>1.75</v>
      </c>
      <c r="X142" s="430">
        <v>34.16142872428572</v>
      </c>
      <c r="Y142" s="430">
        <v>6.5945714541428577</v>
      </c>
    </row>
    <row r="143" spans="15:26">
      <c r="O143" s="428">
        <v>36</v>
      </c>
      <c r="P143" s="429">
        <v>36</v>
      </c>
      <c r="Q143" s="430">
        <v>8.2851428302857144</v>
      </c>
      <c r="R143" s="430">
        <v>6.7619999824285708</v>
      </c>
      <c r="S143" s="430">
        <v>60.719142914285719</v>
      </c>
      <c r="T143" s="430">
        <v>25.369000025714286</v>
      </c>
      <c r="U143" s="430">
        <v>5.8737142427142857</v>
      </c>
      <c r="V143" s="430">
        <v>12.055594308571429</v>
      </c>
      <c r="W143" s="430">
        <v>1.6425714154285713</v>
      </c>
      <c r="X143" s="430">
        <v>35.968571799999999</v>
      </c>
      <c r="Y143" s="430">
        <v>4.9847143037142851</v>
      </c>
      <c r="Z143" s="457"/>
    </row>
    <row r="144" spans="15:26">
      <c r="P144" s="429">
        <v>37</v>
      </c>
      <c r="Q144" s="430">
        <v>7.6475714954285712</v>
      </c>
      <c r="R144" s="430">
        <v>6.5272856442857137</v>
      </c>
      <c r="S144" s="430">
        <v>62.679428645714289</v>
      </c>
      <c r="T144" s="430">
        <v>28.136857168571428</v>
      </c>
      <c r="U144" s="430">
        <v>6.1154285838571436</v>
      </c>
      <c r="V144" s="430">
        <v>12.130952835714286</v>
      </c>
      <c r="W144" s="430">
        <v>1.6457142658571429</v>
      </c>
      <c r="X144" s="430">
        <v>34.324999674285714</v>
      </c>
      <c r="Y144" s="430">
        <v>5.502714293285714</v>
      </c>
    </row>
    <row r="145" spans="15:25">
      <c r="P145" s="429">
        <v>38</v>
      </c>
      <c r="Q145" s="430">
        <v>7.6971428571428575</v>
      </c>
      <c r="R145" s="430">
        <v>5.444285714285714</v>
      </c>
      <c r="S145" s="430">
        <v>65.47</v>
      </c>
      <c r="T145" s="430">
        <v>29.351428571428567</v>
      </c>
      <c r="U145" s="430">
        <v>6.8328571428571419</v>
      </c>
      <c r="V145" s="430">
        <v>12.194285714285716</v>
      </c>
      <c r="W145" s="430">
        <v>1.6014285714285712</v>
      </c>
      <c r="X145" s="430">
        <v>33.131428571428572</v>
      </c>
      <c r="Y145" s="430">
        <v>6.8414285714285716</v>
      </c>
    </row>
    <row r="146" spans="15:25">
      <c r="P146" s="429">
        <v>39</v>
      </c>
      <c r="Q146" s="430">
        <v>7.6702859061104887</v>
      </c>
      <c r="R146" s="430">
        <v>5.896142857415323</v>
      </c>
      <c r="S146" s="430">
        <v>72.930715288434641</v>
      </c>
      <c r="T146" s="430">
        <v>26.470285688127774</v>
      </c>
      <c r="U146" s="430">
        <v>9.2337144442966927</v>
      </c>
      <c r="V146" s="430">
        <v>12.167024339948341</v>
      </c>
      <c r="W146" s="430">
        <v>1.4285714115415273</v>
      </c>
      <c r="X146" s="430">
        <v>32.532142911638481</v>
      </c>
      <c r="Y146" s="430">
        <v>5.5879999569484111</v>
      </c>
    </row>
    <row r="147" spans="15:25">
      <c r="O147" s="428">
        <v>40</v>
      </c>
      <c r="P147" s="429">
        <v>40</v>
      </c>
      <c r="Q147" s="430">
        <v>6.5494285314285721</v>
      </c>
      <c r="R147" s="430">
        <v>3.8238571030000004</v>
      </c>
      <c r="S147" s="430">
        <v>70.661287578571418</v>
      </c>
      <c r="T147" s="430">
        <v>28.190571377142856</v>
      </c>
      <c r="U147" s="430">
        <v>9.6928569934285722</v>
      </c>
      <c r="V147" s="430">
        <v>12.594642775714282</v>
      </c>
      <c r="W147" s="430">
        <v>1.3999999759999999</v>
      </c>
      <c r="X147" s="430">
        <v>36.384999957142853</v>
      </c>
      <c r="Y147" s="430">
        <v>8.0550000327142861</v>
      </c>
    </row>
    <row r="148" spans="15:25">
      <c r="P148" s="429">
        <v>41</v>
      </c>
      <c r="Q148" s="430">
        <v>8.096428529999999</v>
      </c>
      <c r="R148" s="430">
        <v>4.0404286040000006</v>
      </c>
      <c r="S148" s="430">
        <v>65.047571455714291</v>
      </c>
      <c r="T148" s="430">
        <v>47.010571615714284</v>
      </c>
      <c r="U148" s="430">
        <v>10.709857054714286</v>
      </c>
      <c r="V148" s="430">
        <v>13.274107117142858</v>
      </c>
      <c r="W148" s="430">
        <v>1.3785714251428571</v>
      </c>
      <c r="X148" s="430">
        <v>40.987143380000006</v>
      </c>
      <c r="Y148" s="430">
        <v>6.9969999451428562</v>
      </c>
    </row>
    <row r="149" spans="15:25">
      <c r="P149" s="429">
        <v>42</v>
      </c>
      <c r="Q149" s="430">
        <v>7.4685714285714289</v>
      </c>
      <c r="R149" s="430">
        <v>4.8257142857142856</v>
      </c>
      <c r="S149" s="430">
        <v>67.597142857142856</v>
      </c>
      <c r="T149" s="430">
        <v>47.291428571428575</v>
      </c>
      <c r="U149" s="430">
        <v>8.5642857142857132</v>
      </c>
      <c r="V149" s="430">
        <v>13.001428571428571</v>
      </c>
      <c r="W149" s="430">
        <v>1.3499999999999999</v>
      </c>
      <c r="X149" s="430">
        <v>37.554285714285712</v>
      </c>
      <c r="Y149" s="430">
        <v>6.2985714285714289</v>
      </c>
    </row>
    <row r="150" spans="15:25">
      <c r="P150" s="429">
        <v>43</v>
      </c>
      <c r="Q150" s="430">
        <v>8.9041427881428579</v>
      </c>
      <c r="R150" s="430">
        <v>7.354714223857143</v>
      </c>
      <c r="S150" s="430">
        <v>80.445570807142857</v>
      </c>
      <c r="T150" s="430">
        <v>71.934570317142857</v>
      </c>
      <c r="U150" s="430">
        <v>12.279142925142859</v>
      </c>
      <c r="V150" s="430">
        <v>13.139822822857143</v>
      </c>
      <c r="W150" s="430">
        <v>1.2642857177142857</v>
      </c>
      <c r="X150" s="430">
        <v>52.87071446142857</v>
      </c>
      <c r="Y150" s="430">
        <v>11.989999907285712</v>
      </c>
    </row>
    <row r="151" spans="15:25">
      <c r="O151" s="428">
        <v>44</v>
      </c>
      <c r="P151" s="429">
        <v>44</v>
      </c>
      <c r="Q151" s="430">
        <v>7.8245713370000001</v>
      </c>
      <c r="R151" s="430">
        <v>6.0929999348571409</v>
      </c>
      <c r="S151" s="430">
        <v>68.079284669999993</v>
      </c>
      <c r="T151" s="430">
        <v>33.011999948571429</v>
      </c>
      <c r="U151" s="430">
        <v>8.685571329857142</v>
      </c>
      <c r="V151" s="430">
        <v>13.275356975714287</v>
      </c>
      <c r="W151" s="430">
        <v>1.1857142621428574</v>
      </c>
      <c r="X151" s="430">
        <v>36.208572388571426</v>
      </c>
      <c r="Y151" s="430">
        <v>7.9394285338571438</v>
      </c>
    </row>
    <row r="152" spans="15:25">
      <c r="P152" s="429">
        <v>45</v>
      </c>
      <c r="Q152" s="430">
        <v>9.4607142031428566</v>
      </c>
      <c r="R152" s="430">
        <v>6.8107141777142859</v>
      </c>
      <c r="S152" s="430">
        <v>71.555715832857132</v>
      </c>
      <c r="T152" s="430">
        <v>77.119000028571435</v>
      </c>
      <c r="U152" s="430">
        <v>11.169571467285715</v>
      </c>
      <c r="V152" s="430">
        <v>14</v>
      </c>
      <c r="W152" s="430">
        <v>1.1200000049999999</v>
      </c>
      <c r="X152" s="430">
        <v>61.867856707142856</v>
      </c>
      <c r="Y152" s="430">
        <v>10.621285710571428</v>
      </c>
    </row>
    <row r="153" spans="15:25">
      <c r="P153" s="429">
        <v>46</v>
      </c>
      <c r="Q153" s="430">
        <v>9.3077141910000005</v>
      </c>
      <c r="R153" s="430">
        <v>7.0327142307142854</v>
      </c>
      <c r="S153" s="430">
        <v>91.077428547142858</v>
      </c>
      <c r="T153" s="430">
        <v>102.37485722571429</v>
      </c>
      <c r="U153" s="430">
        <v>13.601000102857142</v>
      </c>
      <c r="V153" s="430">
        <v>14.050535747142858</v>
      </c>
      <c r="W153" s="430">
        <v>1.1085714441428569</v>
      </c>
      <c r="X153" s="430">
        <v>108.26642826857143</v>
      </c>
      <c r="Y153" s="430">
        <v>19.484428541428574</v>
      </c>
    </row>
    <row r="154" spans="15:25">
      <c r="P154" s="429">
        <v>47</v>
      </c>
      <c r="Q154" s="430">
        <v>9.4625713492857138</v>
      </c>
      <c r="R154" s="430">
        <v>5.5844285494285719</v>
      </c>
      <c r="S154" s="430">
        <v>81.972856794285704</v>
      </c>
      <c r="T154" s="430">
        <v>82.511857174285723</v>
      </c>
      <c r="U154" s="430">
        <v>10.628571509714286</v>
      </c>
      <c r="V154" s="430">
        <v>13.985775811428573</v>
      </c>
      <c r="W154" s="430">
        <v>1.1000000240000001</v>
      </c>
      <c r="X154" s="430">
        <v>123.16000039999999</v>
      </c>
      <c r="Y154" s="430">
        <v>19.475428171428575</v>
      </c>
    </row>
    <row r="155" spans="15:25">
      <c r="O155" s="428">
        <v>48</v>
      </c>
      <c r="P155" s="429">
        <v>48</v>
      </c>
      <c r="Q155" s="430">
        <v>10.788142817999999</v>
      </c>
      <c r="R155" s="430">
        <v>7.5644286014285722</v>
      </c>
      <c r="S155" s="430">
        <v>84.626999989999987</v>
      </c>
      <c r="T155" s="430">
        <v>67.75</v>
      </c>
      <c r="U155" s="430">
        <v>8.4404285975714277</v>
      </c>
      <c r="V155" s="430">
        <v>13.781128474285714</v>
      </c>
      <c r="W155" s="430">
        <v>1.1000000240000001</v>
      </c>
      <c r="X155" s="430">
        <v>94.382143292857137</v>
      </c>
      <c r="Y155" s="430">
        <v>16.918428555714282</v>
      </c>
    </row>
    <row r="156" spans="15:25">
      <c r="P156" s="429">
        <v>49</v>
      </c>
      <c r="Q156" s="430">
        <v>12.195857184142856</v>
      </c>
      <c r="R156" s="430">
        <v>8.7971429828571424</v>
      </c>
      <c r="S156" s="430">
        <v>127.52371543</v>
      </c>
      <c r="T156" s="430">
        <v>92.821572431428564</v>
      </c>
      <c r="U156" s="430">
        <v>12.563142707428572</v>
      </c>
      <c r="V156" s="430">
        <v>13.148691448571428</v>
      </c>
      <c r="W156" s="430">
        <v>1.1000000000000001</v>
      </c>
      <c r="X156" s="430">
        <v>134.38285718142859</v>
      </c>
      <c r="Y156" s="430">
        <v>23.580285755714289</v>
      </c>
    </row>
    <row r="157" spans="15:25">
      <c r="P157" s="429">
        <v>50</v>
      </c>
      <c r="Q157" s="430">
        <v>12.195857184142856</v>
      </c>
      <c r="R157" s="430">
        <v>8.7971429828571424</v>
      </c>
      <c r="S157" s="430">
        <v>183.5428575857143</v>
      </c>
      <c r="T157" s="430">
        <v>117.73200008285714</v>
      </c>
      <c r="U157" s="430">
        <v>21.506999832857144</v>
      </c>
      <c r="V157" s="430">
        <v>12.61392865857143</v>
      </c>
      <c r="W157" s="430">
        <v>1.1014285939999999</v>
      </c>
      <c r="X157" s="430">
        <v>210.99928282857144</v>
      </c>
      <c r="Y157" s="430">
        <v>41.892142702857143</v>
      </c>
    </row>
    <row r="158" spans="15:25">
      <c r="P158" s="429">
        <v>51</v>
      </c>
      <c r="Q158" s="430">
        <v>18.622142792857144</v>
      </c>
      <c r="R158" s="430">
        <v>18.057571141428571</v>
      </c>
      <c r="S158" s="430">
        <v>292.95071844285718</v>
      </c>
      <c r="T158" s="430">
        <v>180.44057028571427</v>
      </c>
      <c r="U158" s="430">
        <v>47.032857078571432</v>
      </c>
      <c r="V158" s="430">
        <v>12.600475584285714</v>
      </c>
      <c r="W158" s="430">
        <v>1.1000000240000001</v>
      </c>
      <c r="X158" s="430">
        <v>166.85428727142857</v>
      </c>
      <c r="Y158" s="430">
        <v>39.827428544285716</v>
      </c>
    </row>
    <row r="159" spans="15:25">
      <c r="P159" s="429">
        <v>52</v>
      </c>
      <c r="Q159" s="430">
        <v>29.98</v>
      </c>
      <c r="R159" s="430">
        <v>19.592142921428572</v>
      </c>
      <c r="S159" s="430">
        <v>381.11599999999993</v>
      </c>
      <c r="T159" s="430">
        <v>222.82728794285717</v>
      </c>
      <c r="U159" s="430">
        <v>45.963714052857135</v>
      </c>
      <c r="V159" s="430">
        <v>12.617798667142859</v>
      </c>
      <c r="W159" s="430">
        <v>1.4000000274285713</v>
      </c>
      <c r="X159" s="430">
        <v>293.28928701428578</v>
      </c>
      <c r="Y159" s="430">
        <v>62.57285690285714</v>
      </c>
    </row>
    <row r="160" spans="15:25">
      <c r="O160" s="428">
        <v>53</v>
      </c>
      <c r="P160" s="429">
        <v>53</v>
      </c>
      <c r="Q160" s="430">
        <v>16.182714325714286</v>
      </c>
      <c r="R160" s="430">
        <v>8.7855713015714283</v>
      </c>
      <c r="S160" s="430">
        <v>271.83385794285715</v>
      </c>
      <c r="T160" s="430">
        <v>172.15485925714285</v>
      </c>
      <c r="U160" s="430">
        <v>29.933428355714284</v>
      </c>
      <c r="V160" s="430">
        <v>12.85226127</v>
      </c>
      <c r="W160" s="430">
        <v>1.4571428811428571</v>
      </c>
      <c r="X160" s="430">
        <v>278.16286141428571</v>
      </c>
      <c r="Y160" s="430">
        <v>97.806430279999987</v>
      </c>
    </row>
    <row r="161" spans="13:32">
      <c r="N161" s="428">
        <v>2020</v>
      </c>
      <c r="P161" s="429">
        <v>1</v>
      </c>
      <c r="Q161" s="430">
        <v>12.763571330479184</v>
      </c>
      <c r="R161" s="430">
        <v>7.4842857292720009</v>
      </c>
      <c r="S161" s="430">
        <v>176.20814078194715</v>
      </c>
      <c r="T161" s="430">
        <v>130.2321406773155</v>
      </c>
      <c r="U161" s="430">
        <v>24.27742849077493</v>
      </c>
      <c r="V161" s="430">
        <v>14.514315741402715</v>
      </c>
      <c r="W161" s="430">
        <v>2.278571367263786</v>
      </c>
      <c r="X161" s="430">
        <v>468.15499877929659</v>
      </c>
      <c r="Y161" s="430">
        <v>152.80385916573601</v>
      </c>
    </row>
    <row r="162" spans="13:32">
      <c r="P162" s="429">
        <v>2</v>
      </c>
      <c r="Q162" s="430">
        <v>13.386285781428571</v>
      </c>
      <c r="R162" s="430">
        <v>6.9174285272857139</v>
      </c>
      <c r="S162" s="430">
        <v>159.75199889999999</v>
      </c>
      <c r="T162" s="430">
        <v>106.97614288285715</v>
      </c>
      <c r="U162" s="430">
        <v>30.680286678571431</v>
      </c>
      <c r="V162" s="430">
        <v>13.21958133142857</v>
      </c>
      <c r="W162" s="430">
        <v>1.8857142757142857</v>
      </c>
      <c r="X162" s="430">
        <v>213.59428187142859</v>
      </c>
      <c r="Y162" s="430">
        <v>97.949856347142855</v>
      </c>
    </row>
    <row r="163" spans="13:32">
      <c r="P163" s="429">
        <v>3</v>
      </c>
      <c r="Q163" s="430">
        <v>15.196428435714285</v>
      </c>
      <c r="R163" s="430">
        <v>11.330428599714283</v>
      </c>
      <c r="S163" s="430">
        <v>243.87700107142857</v>
      </c>
      <c r="T163" s="430">
        <v>137.04186028571428</v>
      </c>
      <c r="U163" s="430">
        <v>40.240000044285715</v>
      </c>
      <c r="V163" s="430">
        <v>16.855534282857143</v>
      </c>
      <c r="W163" s="430">
        <v>6.3075712748571418</v>
      </c>
      <c r="X163" s="430">
        <v>247.26214164285713</v>
      </c>
      <c r="Y163" s="430">
        <v>78.131857190000005</v>
      </c>
    </row>
    <row r="164" spans="13:32">
      <c r="O164" s="428">
        <v>4</v>
      </c>
      <c r="P164" s="429">
        <v>4</v>
      </c>
      <c r="Q164" s="430">
        <v>16.57199968714286</v>
      </c>
      <c r="R164" s="430">
        <v>12.821999958571428</v>
      </c>
      <c r="S164" s="430">
        <v>236.61043005714285</v>
      </c>
      <c r="T164" s="430">
        <v>121.29742760000001</v>
      </c>
      <c r="U164" s="430">
        <v>26.470714297142855</v>
      </c>
      <c r="V164" s="430">
        <v>22.011848449999999</v>
      </c>
      <c r="W164" s="430">
        <v>4.3669999327142861</v>
      </c>
      <c r="X164" s="430">
        <v>212.78856985714287</v>
      </c>
      <c r="Y164" s="430">
        <v>52.875</v>
      </c>
    </row>
    <row r="165" spans="13:32">
      <c r="P165" s="429">
        <v>5</v>
      </c>
      <c r="Q165" s="430">
        <v>25.675428661428576</v>
      </c>
      <c r="R165" s="430">
        <v>18.254856927142857</v>
      </c>
      <c r="S165" s="430">
        <v>392.82542635714287</v>
      </c>
      <c r="T165" s="430">
        <v>216.11300005714287</v>
      </c>
      <c r="U165" s="430">
        <v>48.707714625714289</v>
      </c>
      <c r="V165" s="430">
        <v>14.496191432857142</v>
      </c>
      <c r="W165" s="430">
        <v>2.6891428574285712</v>
      </c>
      <c r="X165" s="430">
        <v>410.15428595714286</v>
      </c>
      <c r="Y165" s="430">
        <v>99.128998899999985</v>
      </c>
    </row>
    <row r="166" spans="13:32">
      <c r="P166" s="429">
        <v>6</v>
      </c>
      <c r="Q166" s="430">
        <v>22.638571330479174</v>
      </c>
      <c r="R166" s="430">
        <v>17.332571574619813</v>
      </c>
      <c r="S166" s="430">
        <v>448.59157017299066</v>
      </c>
      <c r="T166" s="430">
        <v>221.35714285714261</v>
      </c>
      <c r="U166" s="430">
        <v>51.925000326974022</v>
      </c>
      <c r="V166" s="430">
        <v>17.659045491899729</v>
      </c>
      <c r="W166" s="430">
        <v>9.7964284079415354</v>
      </c>
      <c r="X166" s="430">
        <v>622.45499965122758</v>
      </c>
      <c r="Y166" s="430">
        <v>151.47385733468144</v>
      </c>
    </row>
    <row r="167" spans="13:32">
      <c r="P167" s="429">
        <v>7</v>
      </c>
      <c r="Q167" s="430">
        <v>24.818285805714286</v>
      </c>
      <c r="R167" s="430">
        <v>19.436000279999998</v>
      </c>
      <c r="S167" s="430">
        <v>374.25799560000002</v>
      </c>
      <c r="T167" s="430">
        <v>142.54771639999998</v>
      </c>
      <c r="U167" s="430">
        <v>37.997142247142854</v>
      </c>
      <c r="V167" s="430">
        <v>23.642735891428568</v>
      </c>
      <c r="W167" s="430">
        <v>10.810714449000001</v>
      </c>
      <c r="X167" s="430">
        <v>434.32357352857144</v>
      </c>
      <c r="Y167" s="430">
        <v>148.12728554285715</v>
      </c>
    </row>
    <row r="168" spans="13:32">
      <c r="O168" s="428">
        <v>8</v>
      </c>
      <c r="P168" s="429">
        <v>8</v>
      </c>
      <c r="Q168" s="430">
        <v>16.877285957336387</v>
      </c>
      <c r="R168" s="430">
        <v>13.084142684936484</v>
      </c>
      <c r="S168" s="430">
        <v>289.19357081821948</v>
      </c>
      <c r="T168" s="430">
        <v>162.01200212751087</v>
      </c>
      <c r="U168" s="430">
        <v>30.780285699026873</v>
      </c>
      <c r="V168" s="430">
        <v>23.681545802525072</v>
      </c>
      <c r="W168" s="430">
        <v>21.290571621486073</v>
      </c>
      <c r="X168" s="430">
        <v>403.40571376255542</v>
      </c>
      <c r="Y168" s="430">
        <v>143.28899928501644</v>
      </c>
    </row>
    <row r="169" spans="13:32">
      <c r="P169" s="429">
        <v>9</v>
      </c>
      <c r="Q169" s="430">
        <v>20.463000162857146</v>
      </c>
      <c r="R169" s="430">
        <v>16.131428717142857</v>
      </c>
      <c r="S169" s="430">
        <v>302.38613892857137</v>
      </c>
      <c r="T169" s="430">
        <v>174.72028894285717</v>
      </c>
      <c r="U169" s="430">
        <v>36.13400023285714</v>
      </c>
      <c r="V169" s="430">
        <v>23.625475747142854</v>
      </c>
      <c r="W169" s="430">
        <v>11.064000130142858</v>
      </c>
      <c r="X169" s="430">
        <v>388.35356794285718</v>
      </c>
      <c r="Y169" s="430">
        <v>84.357999531428575</v>
      </c>
    </row>
    <row r="170" spans="13:32">
      <c r="P170" s="429">
        <v>10</v>
      </c>
      <c r="Q170" s="430">
        <v>20.001714159999999</v>
      </c>
      <c r="R170" s="430">
        <v>16.133428572857145</v>
      </c>
      <c r="S170" s="430">
        <v>219.49971445714283</v>
      </c>
      <c r="T170" s="430">
        <v>118.91071428571429</v>
      </c>
      <c r="U170" s="430">
        <v>22.61842863857143</v>
      </c>
      <c r="V170" s="430">
        <v>23.72583552857143</v>
      </c>
      <c r="W170" s="430">
        <v>5.0324285712857142</v>
      </c>
      <c r="X170" s="430">
        <v>317.96785625714284</v>
      </c>
      <c r="Y170" s="430">
        <v>76.472572329999977</v>
      </c>
    </row>
    <row r="171" spans="13:32" s="738" customFormat="1">
      <c r="M171" s="428"/>
      <c r="N171" s="428"/>
      <c r="O171" s="428"/>
      <c r="P171" s="429">
        <v>11</v>
      </c>
      <c r="Q171" s="430">
        <v>20.464285714285715</v>
      </c>
      <c r="R171" s="430">
        <v>16.275285719999999</v>
      </c>
      <c r="S171" s="430">
        <v>210.39014761428572</v>
      </c>
      <c r="T171" s="430">
        <v>145.36899785714286</v>
      </c>
      <c r="U171" s="430">
        <v>39.343428748571434</v>
      </c>
      <c r="V171" s="430">
        <v>23.714347295714287</v>
      </c>
      <c r="W171" s="430">
        <v>12.165999821428571</v>
      </c>
      <c r="X171" s="430">
        <v>377.62500435714281</v>
      </c>
      <c r="Y171" s="430">
        <v>110.78628649857141</v>
      </c>
      <c r="Z171" s="418"/>
      <c r="AA171" s="303"/>
      <c r="AB171" s="303"/>
      <c r="AC171" s="303"/>
      <c r="AD171" s="303"/>
      <c r="AE171" s="291"/>
      <c r="AF171" s="291"/>
    </row>
    <row r="172" spans="13:32" s="738" customFormat="1">
      <c r="M172" s="428"/>
      <c r="N172" s="428"/>
      <c r="O172" s="428">
        <v>12</v>
      </c>
      <c r="P172" s="429">
        <v>12</v>
      </c>
      <c r="Q172" s="430">
        <v>23.032714026314846</v>
      </c>
      <c r="R172" s="430">
        <v>20.180714198521169</v>
      </c>
      <c r="S172" s="430">
        <v>335.19785417829189</v>
      </c>
      <c r="T172" s="430">
        <v>171.26185716901472</v>
      </c>
      <c r="U172" s="430">
        <v>46.286999838692772</v>
      </c>
      <c r="V172" s="430">
        <v>23.623331614903002</v>
      </c>
      <c r="W172" s="430">
        <v>11.119714055742502</v>
      </c>
      <c r="X172" s="430">
        <v>380.85929216657314</v>
      </c>
      <c r="Y172" s="430">
        <v>113.32999965122723</v>
      </c>
      <c r="Z172" s="418"/>
      <c r="AA172" s="303"/>
      <c r="AB172" s="303"/>
      <c r="AC172" s="303"/>
      <c r="AD172" s="303"/>
      <c r="AE172" s="291"/>
      <c r="AF172" s="291"/>
    </row>
    <row r="173" spans="13:32" s="738" customFormat="1">
      <c r="M173" s="428"/>
      <c r="N173" s="428"/>
      <c r="O173" s="428"/>
      <c r="P173" s="429">
        <v>13</v>
      </c>
      <c r="Q173" s="430">
        <v>27.558857236589642</v>
      </c>
      <c r="R173" s="430">
        <v>21.319143022809669</v>
      </c>
      <c r="S173" s="430">
        <v>569.31741768973188</v>
      </c>
      <c r="T173" s="430">
        <v>241.59529113769531</v>
      </c>
      <c r="U173" s="430">
        <v>63.414285387311629</v>
      </c>
      <c r="V173" s="430">
        <v>22.128154209681874</v>
      </c>
      <c r="W173" s="430">
        <v>6.0048571995326432</v>
      </c>
      <c r="X173" s="430">
        <v>332.15285818917374</v>
      </c>
      <c r="Y173" s="430">
        <v>97.158571515764294</v>
      </c>
      <c r="Z173" s="418"/>
      <c r="AA173" s="303"/>
      <c r="AB173" s="303"/>
      <c r="AC173" s="303"/>
      <c r="AD173" s="303"/>
      <c r="AE173" s="291"/>
      <c r="AF173" s="291"/>
    </row>
    <row r="174" spans="13:32" s="738" customFormat="1">
      <c r="M174" s="428"/>
      <c r="N174" s="428"/>
      <c r="O174" s="428"/>
      <c r="P174" s="429">
        <v>14</v>
      </c>
      <c r="Q174" s="430">
        <v>18.795857294285714</v>
      </c>
      <c r="R174" s="430">
        <v>18.168000220000003</v>
      </c>
      <c r="S174" s="430">
        <v>298.48543221428571</v>
      </c>
      <c r="T174" s="430">
        <v>156.28586031428571</v>
      </c>
      <c r="U174" s="430">
        <v>40.567142485714285</v>
      </c>
      <c r="V174" s="430">
        <v>21.36</v>
      </c>
      <c r="W174" s="430">
        <v>4.6619999238571435</v>
      </c>
      <c r="X174" s="430">
        <v>272.16142927142863</v>
      </c>
      <c r="Y174" s="430">
        <v>87.023999895714283</v>
      </c>
      <c r="Z174" s="418"/>
      <c r="AA174" s="303"/>
      <c r="AB174" s="303"/>
      <c r="AC174" s="303"/>
      <c r="AD174" s="303"/>
      <c r="AE174" s="291"/>
      <c r="AF174" s="291"/>
    </row>
    <row r="175" spans="13:32">
      <c r="P175" s="429">
        <v>15</v>
      </c>
      <c r="Q175" s="860">
        <v>16.380999974285714</v>
      </c>
      <c r="R175" s="860">
        <v>14.786285537142858</v>
      </c>
      <c r="S175" s="860">
        <v>196.30642698571427</v>
      </c>
      <c r="T175" s="860">
        <v>126.20242854857143</v>
      </c>
      <c r="U175" s="860">
        <v>27.609000341428576</v>
      </c>
      <c r="V175" s="860">
        <v>23.601429802857144</v>
      </c>
      <c r="W175" s="860">
        <v>2.5870000464285714</v>
      </c>
      <c r="X175" s="860">
        <v>174.17928642857143</v>
      </c>
      <c r="Y175" s="860">
        <v>56.692000798571428</v>
      </c>
    </row>
    <row r="176" spans="13:32">
      <c r="O176" s="428">
        <v>16</v>
      </c>
      <c r="P176" s="429">
        <v>16</v>
      </c>
      <c r="Q176" s="430">
        <v>15.142857142857142</v>
      </c>
      <c r="R176" s="430">
        <v>11.113285608857142</v>
      </c>
      <c r="S176" s="430">
        <v>144.25785718571427</v>
      </c>
      <c r="T176" s="430">
        <v>112.32742854857143</v>
      </c>
      <c r="U176" s="430">
        <v>23.319143022857144</v>
      </c>
      <c r="V176" s="430">
        <v>16.145714351428573</v>
      </c>
      <c r="W176" s="430">
        <v>1.9568571534285717</v>
      </c>
      <c r="X176" s="430">
        <v>124.01500048571428</v>
      </c>
      <c r="Y176" s="430">
        <v>41.578285762857142</v>
      </c>
    </row>
    <row r="177" spans="13:32" s="738" customFormat="1">
      <c r="M177" s="428"/>
      <c r="N177" s="428"/>
      <c r="O177" s="428"/>
      <c r="P177" s="429">
        <v>17</v>
      </c>
      <c r="Q177" s="430">
        <v>14.535142626081141</v>
      </c>
      <c r="R177" s="430">
        <v>7.95871441704886</v>
      </c>
      <c r="S177" s="430">
        <v>118.61742946079741</v>
      </c>
      <c r="T177" s="430">
        <v>86.636999947684131</v>
      </c>
      <c r="U177" s="430">
        <v>19.662570953369116</v>
      </c>
      <c r="V177" s="430">
        <v>14.007261548723459</v>
      </c>
      <c r="W177" s="430">
        <v>2.0897142546517471</v>
      </c>
      <c r="X177" s="430">
        <v>109.72071402413471</v>
      </c>
      <c r="Y177" s="430">
        <v>32.277857099260544</v>
      </c>
      <c r="Z177" s="418"/>
      <c r="AA177" s="303"/>
      <c r="AB177" s="303"/>
      <c r="AC177" s="303"/>
      <c r="AD177" s="303"/>
      <c r="AE177" s="291"/>
      <c r="AF177" s="291"/>
    </row>
    <row r="178" spans="13:32" s="738" customFormat="1">
      <c r="M178" s="428"/>
      <c r="N178" s="428"/>
      <c r="O178" s="428"/>
      <c r="P178" s="429">
        <v>18</v>
      </c>
      <c r="Q178" s="430">
        <v>15.919285638571427</v>
      </c>
      <c r="R178" s="430">
        <v>12.133857388142859</v>
      </c>
      <c r="S178" s="430">
        <v>119.46943012857146</v>
      </c>
      <c r="T178" s="430">
        <v>95.79771531714286</v>
      </c>
      <c r="U178" s="430">
        <v>21.329571314285715</v>
      </c>
      <c r="V178" s="430">
        <v>12.484048571428572</v>
      </c>
      <c r="W178" s="430">
        <v>2.074857081857143</v>
      </c>
      <c r="X178" s="430">
        <v>121.69785745714287</v>
      </c>
      <c r="Y178" s="430">
        <v>27.218570980000003</v>
      </c>
      <c r="Z178" s="418"/>
      <c r="AA178" s="303"/>
      <c r="AB178" s="303"/>
      <c r="AC178" s="303"/>
      <c r="AD178" s="303"/>
      <c r="AE178" s="291"/>
      <c r="AF178" s="291"/>
    </row>
    <row r="179" spans="13:32" s="738" customFormat="1">
      <c r="M179" s="428"/>
      <c r="N179" s="428"/>
      <c r="O179" s="428"/>
      <c r="P179" s="429">
        <v>19</v>
      </c>
      <c r="Q179" s="430">
        <v>16.148714472857144</v>
      </c>
      <c r="R179" s="430">
        <v>14.776714189999998</v>
      </c>
      <c r="S179" s="430">
        <v>179.62085941428572</v>
      </c>
      <c r="T179" s="430">
        <v>63.654857091428575</v>
      </c>
      <c r="U179" s="430">
        <v>18.961428234285709</v>
      </c>
      <c r="V179" s="430">
        <v>11.436902861999998</v>
      </c>
      <c r="W179" s="430">
        <v>1.6491428614285712</v>
      </c>
      <c r="X179" s="430">
        <v>98.23285565285714</v>
      </c>
      <c r="Y179" s="430">
        <v>23.996714454285712</v>
      </c>
      <c r="Z179" s="418"/>
      <c r="AA179" s="303"/>
      <c r="AB179" s="303"/>
      <c r="AC179" s="303"/>
      <c r="AD179" s="303"/>
      <c r="AE179" s="291"/>
      <c r="AF179" s="291"/>
    </row>
    <row r="180" spans="13:32" s="738" customFormat="1">
      <c r="M180" s="428"/>
      <c r="N180" s="428"/>
      <c r="O180" s="428">
        <v>20</v>
      </c>
      <c r="P180" s="429">
        <v>20</v>
      </c>
      <c r="Q180" s="430">
        <v>13.91285719</v>
      </c>
      <c r="R180" s="430">
        <v>10.484285559</v>
      </c>
      <c r="S180" s="430">
        <v>132.41042655714287</v>
      </c>
      <c r="T180" s="430">
        <v>63.017857142857146</v>
      </c>
      <c r="U180" s="430">
        <v>17.724285941428572</v>
      </c>
      <c r="V180" s="430">
        <v>12.01881</v>
      </c>
      <c r="W180" s="430">
        <v>1.6491428614285712</v>
      </c>
      <c r="X180" s="430">
        <v>74.486427307142861</v>
      </c>
      <c r="Y180" s="430">
        <v>27.218570980000003</v>
      </c>
      <c r="Z180" s="418"/>
      <c r="AA180" s="303"/>
      <c r="AB180" s="303"/>
      <c r="AC180" s="303"/>
      <c r="AD180" s="303"/>
      <c r="AE180" s="291"/>
      <c r="AF180" s="291"/>
    </row>
    <row r="181" spans="13:32" s="738" customFormat="1">
      <c r="M181" s="428"/>
      <c r="N181" s="428"/>
      <c r="O181" s="428"/>
      <c r="P181" s="429">
        <v>21</v>
      </c>
      <c r="Q181" s="430">
        <v>12.832571710859</v>
      </c>
      <c r="R181" s="430">
        <v>8.7072857448032899</v>
      </c>
      <c r="S181" s="430">
        <v>118.96285901750787</v>
      </c>
      <c r="T181" s="430">
        <v>55.553428649902308</v>
      </c>
      <c r="U181" s="430">
        <v>14.547714369637587</v>
      </c>
      <c r="V181" s="430">
        <v>11.963334356035457</v>
      </c>
      <c r="W181" s="430">
        <v>1.6175714560917398</v>
      </c>
      <c r="X181" s="430">
        <v>66.354285648890865</v>
      </c>
      <c r="Y181" s="430">
        <v>17.639571326119512</v>
      </c>
      <c r="Z181" s="418"/>
      <c r="AA181" s="303"/>
      <c r="AB181" s="303"/>
      <c r="AC181" s="303"/>
      <c r="AD181" s="303"/>
      <c r="AE181" s="291"/>
      <c r="AF181" s="291"/>
    </row>
    <row r="182" spans="13:32" s="738" customFormat="1">
      <c r="M182" s="428"/>
      <c r="N182" s="428"/>
      <c r="O182" s="428"/>
      <c r="P182" s="429">
        <v>22</v>
      </c>
      <c r="Q182" s="430">
        <v>11.589857237142857</v>
      </c>
      <c r="R182" s="430">
        <v>7.6087141037142851</v>
      </c>
      <c r="S182" s="430">
        <v>92.527713229999989</v>
      </c>
      <c r="T182" s="430">
        <v>48.85114288285714</v>
      </c>
      <c r="U182" s="430">
        <v>12.851142882857143</v>
      </c>
      <c r="V182" s="430">
        <v>11.972144264285713</v>
      </c>
      <c r="W182" s="430">
        <v>1.7258571555714286</v>
      </c>
      <c r="X182" s="430">
        <v>60.742857795714293</v>
      </c>
      <c r="Y182" s="430">
        <v>13.389714241428573</v>
      </c>
      <c r="Z182" s="418"/>
      <c r="AA182" s="303"/>
      <c r="AB182" s="303"/>
      <c r="AC182" s="303"/>
      <c r="AD182" s="303"/>
      <c r="AE182" s="291"/>
      <c r="AF182" s="291"/>
    </row>
    <row r="183" spans="13:32" s="738" customFormat="1">
      <c r="M183" s="428"/>
      <c r="N183" s="428"/>
      <c r="O183" s="428"/>
      <c r="P183" s="429">
        <v>23</v>
      </c>
      <c r="Q183" s="430">
        <v>10.866000038571428</v>
      </c>
      <c r="R183" s="430">
        <v>6.6898570742857144</v>
      </c>
      <c r="S183" s="430">
        <v>86.262142725714284</v>
      </c>
      <c r="T183" s="430">
        <v>49.02971431142857</v>
      </c>
      <c r="U183" s="430">
        <v>13.300571305714286</v>
      </c>
      <c r="V183" s="430">
        <v>12.060297148571431</v>
      </c>
      <c r="W183" s="430">
        <v>2.2755714314285713</v>
      </c>
      <c r="X183" s="430">
        <v>60.932143074285719</v>
      </c>
      <c r="Y183" s="430">
        <v>13.06000001</v>
      </c>
      <c r="Z183" s="418"/>
      <c r="AA183" s="303"/>
      <c r="AB183" s="303"/>
      <c r="AC183" s="303"/>
      <c r="AD183" s="303"/>
      <c r="AE183" s="291"/>
      <c r="AF183" s="291"/>
    </row>
    <row r="184" spans="13:32" s="738" customFormat="1">
      <c r="M184" s="428"/>
      <c r="N184" s="428"/>
      <c r="O184" s="428"/>
      <c r="P184" s="429">
        <v>24</v>
      </c>
      <c r="Q184" s="430">
        <v>10.893428530011814</v>
      </c>
      <c r="R184" s="430">
        <v>6.3937142235892095</v>
      </c>
      <c r="S184" s="430">
        <v>80.154999869210343</v>
      </c>
      <c r="T184" s="430">
        <v>39.363000052315797</v>
      </c>
      <c r="U184" s="430">
        <v>11.205857140677287</v>
      </c>
      <c r="V184" s="430">
        <v>12.025059972490542</v>
      </c>
      <c r="W184" s="430">
        <v>2.2755714314324473</v>
      </c>
      <c r="X184" s="430">
        <v>56.771429334367994</v>
      </c>
      <c r="Y184" s="430">
        <v>10.094714164733857</v>
      </c>
      <c r="Z184" s="418"/>
      <c r="AA184" s="303"/>
      <c r="AB184" s="303"/>
      <c r="AC184" s="303"/>
      <c r="AD184" s="303"/>
      <c r="AE184" s="291"/>
      <c r="AF184" s="291"/>
    </row>
    <row r="185" spans="13:32" s="738" customFormat="1">
      <c r="M185" s="428"/>
      <c r="N185" s="428"/>
      <c r="O185" s="428"/>
      <c r="P185" s="429">
        <v>25</v>
      </c>
      <c r="Q185" s="430">
        <v>9.7685713087142858</v>
      </c>
      <c r="R185" s="430">
        <v>5.4858571460000007</v>
      </c>
      <c r="S185" s="430">
        <v>71.438000270000003</v>
      </c>
      <c r="T185" s="430">
        <v>31.88514287142857</v>
      </c>
      <c r="U185" s="430">
        <v>9.1724285395714276</v>
      </c>
      <c r="V185" s="430">
        <v>11.867550168571428</v>
      </c>
      <c r="W185" s="430">
        <v>1.7577142885714285</v>
      </c>
      <c r="X185" s="430">
        <v>51.780714305714291</v>
      </c>
      <c r="Y185" s="430">
        <v>9.1595716474285691</v>
      </c>
      <c r="Z185" s="418"/>
      <c r="AA185" s="303"/>
      <c r="AB185" s="303"/>
      <c r="AC185" s="303"/>
      <c r="AD185" s="303"/>
      <c r="AE185" s="291"/>
      <c r="AF185" s="291"/>
    </row>
    <row r="186" spans="13:32" s="738" customFormat="1">
      <c r="M186" s="428"/>
      <c r="N186" s="428"/>
      <c r="O186" s="428">
        <v>26</v>
      </c>
      <c r="P186" s="429">
        <v>26</v>
      </c>
      <c r="Q186" s="430">
        <v>9.3011428291428579</v>
      </c>
      <c r="R186" s="430">
        <v>5.6422856875714285</v>
      </c>
      <c r="S186" s="430">
        <v>70.798141479999998</v>
      </c>
      <c r="T186" s="430">
        <v>29.80342864857143</v>
      </c>
      <c r="U186" s="430">
        <v>8.6642858641428564</v>
      </c>
      <c r="V186" s="430">
        <v>11.961507115714285</v>
      </c>
      <c r="W186" s="430">
        <v>1.7387143204285713</v>
      </c>
      <c r="X186" s="430">
        <v>47.265713828571435</v>
      </c>
      <c r="Y186" s="430">
        <v>8.8348572594285706</v>
      </c>
      <c r="Z186" s="418"/>
      <c r="AA186" s="303"/>
      <c r="AB186" s="303"/>
      <c r="AC186" s="303"/>
      <c r="AD186" s="303"/>
      <c r="AE186" s="291"/>
      <c r="AF186" s="291"/>
    </row>
    <row r="187" spans="13:32">
      <c r="P187" s="429"/>
      <c r="Q187" s="430"/>
      <c r="R187" s="430"/>
      <c r="S187" s="430"/>
      <c r="T187" s="430"/>
      <c r="U187" s="430"/>
      <c r="V187" s="430"/>
      <c r="W187" s="430"/>
      <c r="X187" s="430"/>
      <c r="Y187" s="430"/>
    </row>
    <row r="188" spans="13:32">
      <c r="P188" s="429"/>
      <c r="Q188" s="430"/>
      <c r="R188" s="430"/>
      <c r="S188" s="430"/>
      <c r="T188" s="430"/>
      <c r="U188" s="430"/>
      <c r="V188" s="430"/>
      <c r="W188" s="430"/>
      <c r="X188" s="430"/>
      <c r="Y188" s="430"/>
    </row>
    <row r="189" spans="13:32">
      <c r="P189" s="429"/>
      <c r="Q189" s="430"/>
      <c r="R189" s="430"/>
      <c r="S189" s="430"/>
      <c r="T189" s="430"/>
      <c r="U189" s="430"/>
      <c r="V189" s="430"/>
      <c r="W189" s="430"/>
      <c r="X189" s="430"/>
      <c r="Y189" s="430"/>
    </row>
    <row r="190" spans="13:32">
      <c r="P190" s="429"/>
      <c r="Q190" s="430"/>
      <c r="R190" s="430"/>
      <c r="S190" s="430"/>
      <c r="T190" s="430"/>
      <c r="U190" s="430"/>
      <c r="V190" s="430"/>
      <c r="W190" s="430"/>
      <c r="X190" s="430"/>
      <c r="Y190" s="430"/>
    </row>
    <row r="191" spans="13:32">
      <c r="P191" s="429"/>
      <c r="Q191" s="430"/>
      <c r="R191" s="430"/>
      <c r="S191" s="430"/>
      <c r="T191" s="430"/>
      <c r="U191" s="430"/>
      <c r="V191" s="430"/>
      <c r="W191" s="430"/>
      <c r="X191" s="430"/>
      <c r="Y191" s="430"/>
    </row>
    <row r="192" spans="13:32">
      <c r="Q192" s="777" t="s">
        <v>266</v>
      </c>
      <c r="R192" s="777" t="s">
        <v>267</v>
      </c>
      <c r="S192" s="777" t="s">
        <v>268</v>
      </c>
      <c r="T192" s="777" t="s">
        <v>269</v>
      </c>
      <c r="U192" s="777" t="s">
        <v>270</v>
      </c>
      <c r="V192" s="777" t="s">
        <v>271</v>
      </c>
      <c r="W192" s="777" t="s">
        <v>272</v>
      </c>
      <c r="X192" s="777" t="s">
        <v>273</v>
      </c>
      <c r="Y192" s="777" t="s">
        <v>274</v>
      </c>
    </row>
    <row r="195" spans="16:25">
      <c r="P195" s="429"/>
      <c r="Q195" s="430"/>
      <c r="R195" s="430"/>
      <c r="S195" s="430"/>
      <c r="T195" s="430"/>
      <c r="U195" s="430"/>
      <c r="V195" s="430"/>
      <c r="W195" s="430"/>
      <c r="X195" s="430"/>
      <c r="Y195" s="430"/>
    </row>
    <row r="196" spans="16:25">
      <c r="P196" s="429"/>
      <c r="Q196" s="430"/>
      <c r="R196" s="430"/>
      <c r="S196" s="430"/>
      <c r="T196" s="430"/>
      <c r="U196" s="430"/>
      <c r="V196" s="430"/>
      <c r="W196" s="430"/>
      <c r="X196" s="430"/>
      <c r="Y196" s="430"/>
    </row>
    <row r="197" spans="16:25">
      <c r="P197" s="429"/>
      <c r="Q197" s="430"/>
      <c r="R197" s="430"/>
      <c r="S197" s="430"/>
      <c r="T197" s="430"/>
      <c r="U197" s="430"/>
      <c r="V197" s="430"/>
      <c r="W197" s="430"/>
      <c r="X197" s="430"/>
      <c r="Y197" s="430"/>
    </row>
    <row r="198" spans="16:25">
      <c r="P198" s="429"/>
      <c r="Q198" s="430"/>
      <c r="R198" s="430"/>
      <c r="S198" s="430"/>
      <c r="T198" s="430"/>
      <c r="U198" s="430"/>
      <c r="V198" s="430"/>
      <c r="W198" s="430"/>
      <c r="X198" s="430"/>
      <c r="Y198" s="430"/>
    </row>
    <row r="199" spans="16:25">
      <c r="P199" s="429"/>
      <c r="Q199" s="430"/>
      <c r="R199" s="430"/>
      <c r="S199" s="740"/>
      <c r="T199" s="430"/>
      <c r="U199" s="430"/>
      <c r="V199" s="430"/>
      <c r="W199" s="430"/>
      <c r="X199" s="430"/>
      <c r="Y199" s="430"/>
    </row>
    <row r="200" spans="16:25">
      <c r="P200" s="429"/>
      <c r="Q200" s="430"/>
      <c r="R200" s="430"/>
      <c r="S200" s="740"/>
      <c r="T200" s="430"/>
      <c r="U200" s="430"/>
      <c r="V200" s="430"/>
      <c r="W200" s="430"/>
      <c r="X200" s="430"/>
      <c r="Y200" s="430"/>
    </row>
    <row r="201" spans="16:25">
      <c r="P201" s="429"/>
      <c r="Q201" s="430"/>
      <c r="R201" s="430"/>
      <c r="S201" s="740"/>
      <c r="T201" s="430"/>
      <c r="U201" s="430"/>
      <c r="V201" s="430"/>
      <c r="W201" s="430"/>
      <c r="X201" s="430"/>
      <c r="Y201" s="430"/>
    </row>
    <row r="202" spans="16:25">
      <c r="P202" s="429"/>
      <c r="Q202" s="430"/>
      <c r="R202" s="430"/>
      <c r="S202" s="740"/>
      <c r="T202" s="430"/>
      <c r="U202" s="430"/>
      <c r="V202" s="430"/>
      <c r="W202" s="430"/>
      <c r="X202" s="430"/>
      <c r="Y202" s="430"/>
    </row>
    <row r="203" spans="16:25">
      <c r="P203" s="429"/>
      <c r="Q203" s="430"/>
      <c r="R203" s="430"/>
      <c r="S203" s="740"/>
      <c r="T203" s="430"/>
      <c r="U203" s="430"/>
      <c r="V203" s="430"/>
      <c r="W203" s="430"/>
      <c r="X203" s="430"/>
      <c r="Y203" s="430"/>
    </row>
    <row r="204" spans="16:25">
      <c r="P204" s="429"/>
      <c r="Q204" s="430"/>
      <c r="R204" s="430"/>
      <c r="S204" s="430"/>
      <c r="T204" s="430"/>
      <c r="U204" s="430"/>
      <c r="V204" s="430"/>
      <c r="W204" s="430"/>
      <c r="X204" s="430"/>
      <c r="Y204" s="430"/>
    </row>
    <row r="205" spans="16:25">
      <c r="P205" s="429"/>
      <c r="Q205" s="430"/>
      <c r="R205" s="430"/>
      <c r="S205" s="430"/>
      <c r="T205" s="430"/>
      <c r="U205" s="430"/>
      <c r="V205" s="430"/>
      <c r="W205" s="430"/>
      <c r="X205" s="430"/>
      <c r="Y205" s="430"/>
    </row>
    <row r="206" spans="16:25">
      <c r="P206" s="429"/>
      <c r="Q206" s="430"/>
      <c r="R206" s="430"/>
      <c r="S206" s="430"/>
      <c r="T206" s="430"/>
      <c r="U206" s="430"/>
      <c r="V206" s="430"/>
      <c r="W206" s="430"/>
      <c r="X206" s="430"/>
      <c r="Y206" s="430"/>
    </row>
    <row r="207" spans="16:25">
      <c r="P207" s="429"/>
      <c r="Q207" s="430"/>
      <c r="R207" s="430"/>
      <c r="S207" s="430"/>
      <c r="T207" s="430"/>
      <c r="U207" s="430"/>
      <c r="V207" s="430"/>
      <c r="W207" s="430"/>
      <c r="X207" s="430"/>
      <c r="Y207" s="430"/>
    </row>
    <row r="208" spans="16:25">
      <c r="P208" s="429"/>
      <c r="Q208" s="430"/>
      <c r="R208" s="430"/>
      <c r="S208" s="430"/>
      <c r="T208" s="430"/>
      <c r="U208" s="430"/>
      <c r="V208" s="430"/>
      <c r="W208" s="430"/>
      <c r="X208" s="430"/>
      <c r="Y208" s="430"/>
    </row>
    <row r="209" spans="16:25">
      <c r="P209" s="429"/>
      <c r="Q209" s="430"/>
      <c r="R209" s="430"/>
      <c r="S209" s="430"/>
      <c r="T209" s="430"/>
      <c r="U209" s="430"/>
      <c r="V209" s="430"/>
      <c r="W209" s="430"/>
      <c r="X209" s="430"/>
      <c r="Y209" s="430"/>
    </row>
    <row r="210" spans="16:25">
      <c r="P210" s="429"/>
      <c r="Q210" s="430"/>
      <c r="R210" s="430"/>
      <c r="S210" s="430"/>
      <c r="T210" s="430"/>
      <c r="U210" s="430"/>
      <c r="V210" s="430"/>
      <c r="W210" s="430"/>
      <c r="X210" s="430"/>
      <c r="Y210" s="430"/>
    </row>
    <row r="211" spans="16:25">
      <c r="P211" s="429"/>
      <c r="Q211" s="430"/>
      <c r="R211" s="430"/>
      <c r="S211" s="430"/>
      <c r="T211" s="430"/>
      <c r="U211" s="430"/>
      <c r="V211" s="430"/>
      <c r="W211" s="430"/>
      <c r="X211" s="430"/>
      <c r="Y211" s="430"/>
    </row>
    <row r="212" spans="16:25">
      <c r="P212" s="429"/>
      <c r="Q212" s="430"/>
      <c r="R212" s="430"/>
      <c r="S212" s="430"/>
      <c r="T212" s="430"/>
      <c r="U212" s="430"/>
      <c r="V212" s="430"/>
      <c r="W212" s="430"/>
      <c r="X212" s="430"/>
      <c r="Y212" s="430"/>
    </row>
    <row r="213" spans="16:25">
      <c r="P213" s="429"/>
      <c r="Q213" s="430"/>
      <c r="R213" s="430"/>
      <c r="S213" s="430"/>
      <c r="T213" s="430"/>
      <c r="U213" s="430"/>
      <c r="V213" s="430"/>
      <c r="W213" s="430"/>
      <c r="X213" s="430"/>
      <c r="Y213" s="430"/>
    </row>
    <row r="214" spans="16:25">
      <c r="P214" s="429"/>
      <c r="Q214" s="430"/>
      <c r="R214" s="430"/>
      <c r="S214" s="430"/>
      <c r="T214" s="430"/>
      <c r="U214" s="430"/>
      <c r="V214" s="430"/>
      <c r="W214" s="430"/>
      <c r="X214" s="430"/>
      <c r="Y214" s="430"/>
    </row>
    <row r="215" spans="16:25">
      <c r="P215" s="429"/>
      <c r="Q215" s="430"/>
      <c r="R215" s="430"/>
      <c r="S215" s="430"/>
      <c r="T215" s="430"/>
      <c r="U215" s="430"/>
      <c r="V215" s="430"/>
      <c r="W215" s="430"/>
      <c r="X215" s="430"/>
      <c r="Y215" s="430"/>
    </row>
    <row r="216" spans="16:25">
      <c r="P216" s="429"/>
      <c r="Q216" s="430"/>
      <c r="R216" s="430"/>
      <c r="S216" s="430"/>
      <c r="T216" s="430"/>
      <c r="U216" s="430"/>
      <c r="V216" s="430"/>
      <c r="W216" s="430"/>
      <c r="X216" s="430"/>
      <c r="Y216" s="430"/>
    </row>
    <row r="217" spans="16:25">
      <c r="P217" s="429"/>
      <c r="Q217" s="430"/>
      <c r="R217" s="430"/>
      <c r="S217" s="430"/>
      <c r="T217" s="430"/>
      <c r="U217" s="430"/>
      <c r="V217" s="430"/>
      <c r="W217" s="430"/>
      <c r="X217" s="430"/>
      <c r="Y217" s="430"/>
    </row>
    <row r="218" spans="16:25">
      <c r="P218" s="429"/>
      <c r="Q218" s="430"/>
      <c r="R218" s="430"/>
      <c r="S218" s="430"/>
      <c r="T218" s="430"/>
      <c r="U218" s="430"/>
      <c r="V218" s="430"/>
      <c r="W218" s="430"/>
      <c r="X218" s="430"/>
      <c r="Y218" s="430"/>
    </row>
    <row r="219" spans="16:25">
      <c r="P219" s="429"/>
      <c r="Q219" s="430"/>
      <c r="R219" s="430"/>
      <c r="S219" s="430"/>
      <c r="T219" s="430"/>
      <c r="U219" s="430"/>
      <c r="V219" s="430"/>
      <c r="W219" s="430"/>
      <c r="X219" s="430"/>
      <c r="Y219" s="430"/>
    </row>
    <row r="220" spans="16:25">
      <c r="P220" s="429"/>
      <c r="Q220" s="430"/>
      <c r="R220" s="430"/>
      <c r="S220" s="430"/>
      <c r="T220" s="430"/>
      <c r="U220" s="430"/>
      <c r="V220" s="430"/>
      <c r="W220" s="430"/>
      <c r="X220" s="430"/>
      <c r="Y220" s="430"/>
    </row>
    <row r="221" spans="16:25">
      <c r="P221" s="429"/>
      <c r="Q221" s="430"/>
      <c r="R221" s="430"/>
      <c r="S221" s="430"/>
      <c r="T221" s="430"/>
      <c r="U221" s="430"/>
      <c r="V221" s="430"/>
      <c r="W221" s="430"/>
      <c r="X221" s="430"/>
      <c r="Y221" s="430"/>
    </row>
    <row r="222" spans="16:25">
      <c r="P222" s="429"/>
      <c r="Q222" s="430"/>
      <c r="R222" s="430"/>
      <c r="S222" s="430"/>
      <c r="T222" s="430"/>
      <c r="U222" s="430"/>
      <c r="V222" s="430"/>
      <c r="W222" s="430"/>
      <c r="X222" s="430"/>
      <c r="Y222" s="430"/>
    </row>
    <row r="223" spans="16:25">
      <c r="P223" s="429"/>
      <c r="Q223" s="430"/>
      <c r="R223" s="430"/>
      <c r="S223" s="430"/>
      <c r="T223" s="430"/>
      <c r="U223" s="430"/>
      <c r="V223" s="430"/>
      <c r="W223" s="430"/>
      <c r="X223" s="430"/>
      <c r="Y223" s="430"/>
    </row>
    <row r="224" spans="16:25">
      <c r="P224" s="429"/>
      <c r="Q224" s="430"/>
      <c r="R224" s="430"/>
      <c r="S224" s="430"/>
      <c r="T224" s="430"/>
      <c r="U224" s="430"/>
      <c r="V224" s="430"/>
      <c r="W224" s="430"/>
      <c r="X224" s="430"/>
      <c r="Y224" s="430"/>
    </row>
    <row r="225" spans="16:16">
      <c r="P225" s="429"/>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N65" sqref="N65"/>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5" customWidth="1"/>
    <col min="12" max="12" width="9.33203125" style="635"/>
    <col min="13" max="13" width="20.5" style="677" customWidth="1"/>
    <col min="14" max="21" width="9.33203125" style="778"/>
  </cols>
  <sheetData>
    <row r="1" spans="1:17" ht="11.25" customHeight="1"/>
    <row r="2" spans="1:17" ht="11.25" customHeight="1">
      <c r="A2" s="934" t="s">
        <v>456</v>
      </c>
      <c r="B2" s="934"/>
      <c r="C2" s="934"/>
      <c r="D2" s="934"/>
      <c r="E2" s="934"/>
      <c r="F2" s="934"/>
      <c r="G2" s="934"/>
      <c r="H2" s="934"/>
      <c r="I2" s="934"/>
      <c r="J2" s="934"/>
      <c r="K2" s="934"/>
    </row>
    <row r="3" spans="1:17" ht="11.25" customHeight="1">
      <c r="A3" s="18"/>
      <c r="B3" s="18"/>
      <c r="C3" s="18"/>
      <c r="D3" s="18"/>
      <c r="E3" s="18"/>
      <c r="F3" s="18"/>
      <c r="G3" s="18"/>
      <c r="H3" s="18"/>
      <c r="I3" s="18"/>
      <c r="J3" s="660"/>
      <c r="K3" s="660"/>
      <c r="L3" s="334"/>
    </row>
    <row r="4" spans="1:17" ht="11.25" customHeight="1">
      <c r="A4" s="918" t="s">
        <v>387</v>
      </c>
      <c r="B4" s="918"/>
      <c r="C4" s="918"/>
      <c r="D4" s="918"/>
      <c r="E4" s="918"/>
      <c r="F4" s="918"/>
      <c r="G4" s="918"/>
      <c r="H4" s="918"/>
      <c r="I4" s="183"/>
      <c r="J4" s="661"/>
      <c r="L4" s="334"/>
    </row>
    <row r="5" spans="1:17" ht="7.5" customHeight="1">
      <c r="A5" s="184"/>
      <c r="B5" s="184"/>
      <c r="C5" s="184"/>
      <c r="D5" s="184"/>
      <c r="E5" s="184"/>
      <c r="F5" s="184"/>
      <c r="G5" s="184"/>
      <c r="H5" s="184"/>
      <c r="I5" s="184"/>
      <c r="J5" s="662"/>
      <c r="L5" s="663"/>
    </row>
    <row r="6" spans="1:17" ht="11.25" customHeight="1">
      <c r="A6" s="184"/>
      <c r="B6" s="188" t="s">
        <v>388</v>
      </c>
      <c r="C6" s="184"/>
      <c r="D6" s="184"/>
      <c r="E6" s="184"/>
      <c r="F6" s="184"/>
      <c r="G6" s="184"/>
      <c r="H6" s="184"/>
      <c r="I6" s="184"/>
      <c r="J6" s="662"/>
      <c r="L6" s="664"/>
    </row>
    <row r="7" spans="1:17" ht="7.5" customHeight="1">
      <c r="A7" s="184"/>
      <c r="B7" s="185"/>
      <c r="C7" s="184"/>
      <c r="D7" s="184"/>
      <c r="E7" s="184"/>
      <c r="F7" s="184"/>
      <c r="G7" s="184"/>
      <c r="H7" s="184"/>
      <c r="I7" s="184"/>
      <c r="J7" s="662"/>
      <c r="L7" s="665"/>
    </row>
    <row r="8" spans="1:17" ht="21" customHeight="1">
      <c r="A8" s="184"/>
      <c r="B8" s="495" t="s">
        <v>166</v>
      </c>
      <c r="C8" s="496" t="s">
        <v>167</v>
      </c>
      <c r="D8" s="496" t="s">
        <v>168</v>
      </c>
      <c r="E8" s="496" t="s">
        <v>170</v>
      </c>
      <c r="F8" s="496" t="s">
        <v>169</v>
      </c>
      <c r="G8" s="497" t="s">
        <v>171</v>
      </c>
      <c r="H8" s="180"/>
      <c r="I8" s="180"/>
      <c r="J8" s="666"/>
      <c r="L8" s="667"/>
      <c r="M8" s="678" t="s">
        <v>167</v>
      </c>
      <c r="N8" s="779" t="str">
        <f>M8&amp;"
 ("&amp;ROUND(HLOOKUP(M8,$C$8:$G$9,2,0),2)&amp;" USD/MWh)"</f>
        <v>PIURA OESTE 220
 (9,14 USD/MWh)</v>
      </c>
      <c r="O8" s="291"/>
      <c r="P8" s="291"/>
      <c r="Q8" s="291"/>
    </row>
    <row r="9" spans="1:17" ht="18" customHeight="1">
      <c r="A9" s="184"/>
      <c r="B9" s="498" t="s">
        <v>172</v>
      </c>
      <c r="C9" s="275">
        <v>9.143627084706127</v>
      </c>
      <c r="D9" s="275">
        <v>9.0793446678198197</v>
      </c>
      <c r="E9" s="275">
        <v>8.9464810807524575</v>
      </c>
      <c r="F9" s="275">
        <v>8.8921967631162229</v>
      </c>
      <c r="G9" s="275">
        <v>8.9800059673977923</v>
      </c>
      <c r="H9" s="180"/>
      <c r="I9" s="180"/>
      <c r="J9" s="666"/>
      <c r="K9" s="666"/>
      <c r="L9" s="667"/>
      <c r="M9" s="678" t="s">
        <v>168</v>
      </c>
      <c r="N9" s="779" t="str">
        <f>M9&amp;"
("&amp;ROUND(HLOOKUP(M9,$C$8:$G$9,2,0),2)&amp;" USD/MWh)"</f>
        <v>CHICLAYO 220
(9,08 USD/MWh)</v>
      </c>
      <c r="O9" s="291"/>
      <c r="P9" s="291"/>
      <c r="Q9" s="291"/>
    </row>
    <row r="10" spans="1:17" ht="14.25" customHeight="1">
      <c r="A10" s="184"/>
      <c r="B10" s="958" t="str">
        <f>"Cuadro N°11: Valor de los costos marginales medios registrados en las principales barras del área norte durante el mes de "&amp;'1. Resumen'!Q4</f>
        <v>Cuadro N°11: Valor de los costos marginales medios registrados en las principales barras del área norte durante el mes de junio</v>
      </c>
      <c r="C10" s="958"/>
      <c r="D10" s="958"/>
      <c r="E10" s="958"/>
      <c r="F10" s="958"/>
      <c r="G10" s="958"/>
      <c r="H10" s="958"/>
      <c r="I10" s="958"/>
      <c r="J10" s="666"/>
      <c r="K10" s="666"/>
      <c r="L10" s="667"/>
      <c r="M10" s="678" t="s">
        <v>170</v>
      </c>
      <c r="N10" s="779" t="str">
        <f>M10&amp;"
("&amp;ROUND(HLOOKUP(M10,$C$8:$G$9,2,0),2)&amp;" USD/MWh)"</f>
        <v>TRUJILLO 220
(8,95 USD/MWh)</v>
      </c>
      <c r="O10" s="291"/>
      <c r="P10" s="291"/>
      <c r="Q10" s="291"/>
    </row>
    <row r="11" spans="1:17" ht="11.25" customHeight="1">
      <c r="A11" s="184"/>
      <c r="B11" s="191"/>
      <c r="C11" s="180"/>
      <c r="D11" s="180"/>
      <c r="E11" s="180"/>
      <c r="F11" s="180"/>
      <c r="G11" s="180"/>
      <c r="H11" s="180"/>
      <c r="I11" s="180"/>
      <c r="J11" s="666"/>
      <c r="K11" s="666"/>
      <c r="L11" s="667"/>
      <c r="M11" s="678" t="s">
        <v>169</v>
      </c>
      <c r="N11" s="779" t="str">
        <f>M11&amp;"
("&amp;ROUND(HLOOKUP(M11,$C$8:$G$9,2,0),2)&amp;" USD/MWh)"</f>
        <v>CHIMBOTE1 138
(8,89 USD/MWh)</v>
      </c>
      <c r="O11" s="291"/>
      <c r="P11" s="291"/>
      <c r="Q11" s="291"/>
    </row>
    <row r="12" spans="1:17" ht="11.25" customHeight="1">
      <c r="A12" s="184"/>
      <c r="B12" s="180"/>
      <c r="C12" s="180"/>
      <c r="D12" s="180"/>
      <c r="E12" s="180"/>
      <c r="F12" s="180"/>
      <c r="G12" s="180"/>
      <c r="H12" s="180"/>
      <c r="I12" s="180"/>
      <c r="J12" s="666"/>
      <c r="K12" s="666"/>
      <c r="L12" s="668"/>
      <c r="M12" s="678" t="s">
        <v>171</v>
      </c>
      <c r="N12" s="779" t="str">
        <f>M12&amp;"
("&amp;ROUND(HLOOKUP(M12,$C$8:$G$9,2,0),2)&amp;" USD/MWh)"</f>
        <v>CAJAMARCA 220
(8,98 USD/MWh)</v>
      </c>
      <c r="O12" s="291"/>
      <c r="P12" s="291"/>
      <c r="Q12" s="291"/>
    </row>
    <row r="13" spans="1:17" ht="11.25" customHeight="1">
      <c r="A13" s="184"/>
      <c r="B13" s="180"/>
      <c r="C13" s="180"/>
      <c r="D13" s="180"/>
      <c r="E13" s="180"/>
      <c r="F13" s="180"/>
      <c r="G13" s="180"/>
      <c r="H13" s="180"/>
      <c r="I13" s="180"/>
      <c r="J13" s="666"/>
      <c r="K13" s="666"/>
      <c r="L13" s="667"/>
      <c r="M13" s="678"/>
      <c r="N13" s="779"/>
      <c r="O13" s="678"/>
      <c r="P13" s="291"/>
      <c r="Q13" s="291"/>
    </row>
    <row r="14" spans="1:17" ht="11.25" customHeight="1">
      <c r="A14" s="184"/>
      <c r="B14" s="180"/>
      <c r="C14" s="180"/>
      <c r="D14" s="180"/>
      <c r="E14" s="180"/>
      <c r="F14" s="180"/>
      <c r="G14" s="180"/>
      <c r="H14" s="180"/>
      <c r="I14" s="180"/>
      <c r="J14" s="666"/>
      <c r="K14" s="666"/>
      <c r="L14" s="667"/>
      <c r="M14" s="678" t="s">
        <v>447</v>
      </c>
      <c r="N14" s="779" t="str">
        <f>M14&amp;"
("&amp;ROUND(HLOOKUP(M14,$C$26:$I$27,2,0),2)&amp;" USD/MWh)"</f>
        <v>CHAVARRIA 220
(8,52 USD/MWh)</v>
      </c>
      <c r="O14" s="291"/>
      <c r="P14" s="291"/>
      <c r="Q14" s="291"/>
    </row>
    <row r="15" spans="1:17" ht="11.25" customHeight="1">
      <c r="A15" s="184"/>
      <c r="B15" s="180"/>
      <c r="C15" s="180"/>
      <c r="D15" s="180"/>
      <c r="E15" s="180"/>
      <c r="F15" s="180"/>
      <c r="G15" s="180"/>
      <c r="H15" s="180"/>
      <c r="I15" s="180"/>
      <c r="J15" s="666"/>
      <c r="K15" s="666"/>
      <c r="L15" s="667"/>
      <c r="M15" s="678" t="s">
        <v>175</v>
      </c>
      <c r="N15" s="779" t="str">
        <f t="shared" ref="N15:N20" si="0">M15&amp;"
("&amp;ROUND(HLOOKUP(M15,$C$26:$I$27,2,0),2)&amp;" USD/MWh)"</f>
        <v>INDEPENDENCIA 220
(8,41 USD/MWh)</v>
      </c>
      <c r="O15" s="291"/>
      <c r="P15" s="291"/>
      <c r="Q15" s="291"/>
    </row>
    <row r="16" spans="1:17" ht="11.25" customHeight="1">
      <c r="A16" s="184"/>
      <c r="B16" s="180"/>
      <c r="C16" s="180"/>
      <c r="D16" s="180"/>
      <c r="E16" s="180"/>
      <c r="F16" s="180"/>
      <c r="G16" s="180"/>
      <c r="H16" s="180"/>
      <c r="I16" s="180"/>
      <c r="J16" s="666"/>
      <c r="K16" s="666"/>
      <c r="L16" s="667"/>
      <c r="M16" s="678" t="s">
        <v>176</v>
      </c>
      <c r="N16" s="779" t="str">
        <f t="shared" si="0"/>
        <v>CARABAYLLO 220
(8,53 USD/MWh)</v>
      </c>
      <c r="O16" s="291"/>
      <c r="P16" s="291"/>
      <c r="Q16" s="291"/>
    </row>
    <row r="17" spans="1:17" ht="11.25" customHeight="1">
      <c r="A17" s="184"/>
      <c r="B17" s="180"/>
      <c r="C17" s="180"/>
      <c r="D17" s="180"/>
      <c r="E17" s="180"/>
      <c r="F17" s="180"/>
      <c r="G17" s="180"/>
      <c r="H17" s="180"/>
      <c r="I17" s="180"/>
      <c r="J17" s="666"/>
      <c r="K17" s="666"/>
      <c r="L17" s="667"/>
      <c r="M17" s="678" t="s">
        <v>173</v>
      </c>
      <c r="N17" s="779" t="str">
        <f t="shared" si="0"/>
        <v>SANTA ROSA 220
(8,51 USD/MWh)</v>
      </c>
      <c r="O17" s="291"/>
      <c r="P17" s="291"/>
      <c r="Q17" s="291"/>
    </row>
    <row r="18" spans="1:17" ht="11.25" customHeight="1">
      <c r="A18" s="184"/>
      <c r="B18" s="180"/>
      <c r="C18" s="180"/>
      <c r="D18" s="180"/>
      <c r="E18" s="180"/>
      <c r="F18" s="180"/>
      <c r="G18" s="180"/>
      <c r="H18" s="180"/>
      <c r="I18" s="180"/>
      <c r="J18" s="666"/>
      <c r="K18" s="666"/>
      <c r="L18" s="667"/>
      <c r="M18" s="678" t="s">
        <v>174</v>
      </c>
      <c r="N18" s="779" t="str">
        <f t="shared" si="0"/>
        <v>SAN JUAN 220
(8,47 USD/MWh)</v>
      </c>
      <c r="O18" s="291"/>
      <c r="P18" s="291"/>
      <c r="Q18" s="291"/>
    </row>
    <row r="19" spans="1:17" ht="11.25" customHeight="1">
      <c r="A19" s="184"/>
      <c r="B19" s="180"/>
      <c r="C19" s="180"/>
      <c r="D19" s="180"/>
      <c r="E19" s="180"/>
      <c r="F19" s="180"/>
      <c r="G19" s="180"/>
      <c r="H19" s="180"/>
      <c r="I19" s="180"/>
      <c r="J19" s="666"/>
      <c r="K19" s="666"/>
      <c r="L19" s="669"/>
      <c r="M19" s="678" t="s">
        <v>177</v>
      </c>
      <c r="N19" s="779" t="str">
        <f t="shared" si="0"/>
        <v>POMACOCHA 220
(8,32 USD/MWh)</v>
      </c>
      <c r="O19" s="291"/>
      <c r="P19" s="291"/>
      <c r="Q19" s="291"/>
    </row>
    <row r="20" spans="1:17" ht="11.25" customHeight="1">
      <c r="A20" s="184"/>
      <c r="B20" s="190"/>
      <c r="C20" s="190"/>
      <c r="D20" s="190"/>
      <c r="E20" s="190"/>
      <c r="F20" s="190"/>
      <c r="G20" s="180"/>
      <c r="H20" s="180"/>
      <c r="I20" s="180"/>
      <c r="J20" s="666"/>
      <c r="K20" s="666"/>
      <c r="L20" s="667"/>
      <c r="M20" s="678" t="s">
        <v>178</v>
      </c>
      <c r="N20" s="779" t="str">
        <f t="shared" si="0"/>
        <v>OROYA NUEVA 50
(8,26 USD/MWh)</v>
      </c>
      <c r="O20" s="291"/>
      <c r="P20" s="291"/>
      <c r="Q20" s="291"/>
    </row>
    <row r="21" spans="1:17" ht="11.25" customHeight="1">
      <c r="A21" s="184"/>
      <c r="B21" s="959" t="str">
        <f>"Gráfico N°20: Costos marginales medios registrados en las principales barras del área norte durante el mes de "&amp;'1. Resumen'!Q4</f>
        <v>Gráfico N°20: Costos marginales medios registrados en las principales barras del área norte durante el mes de junio</v>
      </c>
      <c r="C21" s="959"/>
      <c r="D21" s="959"/>
      <c r="E21" s="959"/>
      <c r="F21" s="959"/>
      <c r="G21" s="959"/>
      <c r="H21" s="959"/>
      <c r="I21" s="959"/>
      <c r="J21" s="666"/>
      <c r="K21" s="666"/>
      <c r="L21" s="667"/>
      <c r="M21" s="678"/>
      <c r="N21" s="779"/>
      <c r="O21" s="291"/>
      <c r="P21" s="291"/>
      <c r="Q21" s="291"/>
    </row>
    <row r="22" spans="1:17" ht="7.5" customHeight="1">
      <c r="A22" s="184"/>
      <c r="B22" s="186"/>
      <c r="C22" s="186"/>
      <c r="D22" s="186"/>
      <c r="E22" s="186"/>
      <c r="F22" s="186"/>
      <c r="G22" s="184"/>
      <c r="H22" s="184"/>
      <c r="I22" s="184"/>
      <c r="J22" s="662"/>
      <c r="K22" s="662"/>
      <c r="L22" s="664"/>
      <c r="M22" s="678"/>
      <c r="N22" s="779"/>
      <c r="O22" s="291"/>
      <c r="P22" s="291"/>
      <c r="Q22" s="291"/>
    </row>
    <row r="23" spans="1:17" ht="11.25" customHeight="1">
      <c r="A23" s="184"/>
      <c r="B23" s="186"/>
      <c r="C23" s="186"/>
      <c r="D23" s="186"/>
      <c r="E23" s="186"/>
      <c r="F23" s="186"/>
      <c r="G23" s="184"/>
      <c r="H23" s="184"/>
      <c r="I23" s="184"/>
      <c r="J23" s="662"/>
      <c r="K23" s="662"/>
      <c r="L23" s="670"/>
      <c r="M23" s="678" t="s">
        <v>179</v>
      </c>
      <c r="N23" s="779" t="str">
        <f t="shared" ref="N23:N29" si="1">M23&amp;"
("&amp;ROUND(HLOOKUP(M23,$C$45:$I$46,2,0),2)&amp;" USD/MWh)"</f>
        <v>TINTAYA NUEVA 220
(9,14 USD/MWh)</v>
      </c>
      <c r="O23" s="291"/>
      <c r="P23" s="291"/>
      <c r="Q23" s="291"/>
    </row>
    <row r="24" spans="1:17" ht="11.25" customHeight="1">
      <c r="A24" s="184"/>
      <c r="B24" s="189" t="s">
        <v>389</v>
      </c>
      <c r="C24" s="186"/>
      <c r="D24" s="186"/>
      <c r="E24" s="186"/>
      <c r="F24" s="186"/>
      <c r="G24" s="184"/>
      <c r="H24" s="184"/>
      <c r="I24" s="184"/>
      <c r="J24" s="662"/>
      <c r="K24" s="662"/>
      <c r="L24" s="664"/>
      <c r="M24" s="678" t="s">
        <v>180</v>
      </c>
      <c r="N24" s="779" t="str">
        <f t="shared" si="1"/>
        <v>PUNO 138
(8,88 USD/MWh)</v>
      </c>
      <c r="O24" s="291"/>
      <c r="P24" s="291"/>
      <c r="Q24" s="291"/>
    </row>
    <row r="25" spans="1:17" ht="6.75" customHeight="1">
      <c r="A25" s="184"/>
      <c r="B25" s="186"/>
      <c r="C25" s="186"/>
      <c r="D25" s="186"/>
      <c r="E25" s="186"/>
      <c r="F25" s="186"/>
      <c r="G25" s="184"/>
      <c r="H25" s="184"/>
      <c r="I25" s="184"/>
      <c r="J25" s="662"/>
      <c r="K25" s="662"/>
      <c r="L25" s="664"/>
      <c r="M25" s="678" t="s">
        <v>181</v>
      </c>
      <c r="N25" s="779" t="str">
        <f t="shared" si="1"/>
        <v>SOCABAYA 220
(8,82 USD/MWh)</v>
      </c>
      <c r="O25" s="291"/>
      <c r="P25" s="291"/>
      <c r="Q25" s="291"/>
    </row>
    <row r="26" spans="1:17" ht="25.5" customHeight="1">
      <c r="A26" s="184"/>
      <c r="B26" s="499" t="s">
        <v>166</v>
      </c>
      <c r="C26" s="496" t="s">
        <v>447</v>
      </c>
      <c r="D26" s="496" t="s">
        <v>173</v>
      </c>
      <c r="E26" s="496" t="s">
        <v>176</v>
      </c>
      <c r="F26" s="496" t="s">
        <v>174</v>
      </c>
      <c r="G26" s="496" t="s">
        <v>175</v>
      </c>
      <c r="H26" s="496" t="s">
        <v>177</v>
      </c>
      <c r="I26" s="497" t="s">
        <v>178</v>
      </c>
      <c r="J26" s="671"/>
      <c r="K26" s="666"/>
      <c r="L26" s="667"/>
      <c r="M26" s="678" t="s">
        <v>182</v>
      </c>
      <c r="N26" s="779" t="str">
        <f t="shared" si="1"/>
        <v>MOQUEGUA 138
(8,82 USD/MWh)</v>
      </c>
      <c r="O26" s="291"/>
      <c r="P26" s="291"/>
      <c r="Q26" s="291"/>
    </row>
    <row r="27" spans="1:17" ht="18" customHeight="1">
      <c r="A27" s="184"/>
      <c r="B27" s="500" t="s">
        <v>172</v>
      </c>
      <c r="C27" s="275">
        <v>8.5186121750368589</v>
      </c>
      <c r="D27" s="275">
        <v>8.5105508607502784</v>
      </c>
      <c r="E27" s="275">
        <v>8.5322343062615573</v>
      </c>
      <c r="F27" s="275">
        <v>8.4742161198970809</v>
      </c>
      <c r="G27" s="275">
        <v>8.4141316889061475</v>
      </c>
      <c r="H27" s="275">
        <v>8.3233197362640663</v>
      </c>
      <c r="I27" s="275">
        <v>8.2633095584659095</v>
      </c>
      <c r="J27" s="672"/>
      <c r="K27" s="666"/>
      <c r="L27" s="667"/>
      <c r="M27" s="678" t="s">
        <v>183</v>
      </c>
      <c r="N27" s="779" t="str">
        <f t="shared" si="1"/>
        <v>DOLORESPATA 138
(8,5 USD/MWh)</v>
      </c>
      <c r="O27" s="291"/>
      <c r="P27" s="291"/>
      <c r="Q27" s="291"/>
    </row>
    <row r="28" spans="1:17" ht="19.5" customHeight="1">
      <c r="A28" s="184"/>
      <c r="B28" s="960" t="str">
        <f>"Cuadro N°12: Valor de los costos marginales medios registrados en las principales barras del área centro durante el mes de "&amp;'1. Resumen'!Q4</f>
        <v>Cuadro N°12: Valor de los costos marginales medios registrados en las principales barras del área centro durante el mes de junio</v>
      </c>
      <c r="C28" s="960"/>
      <c r="D28" s="960"/>
      <c r="E28" s="960"/>
      <c r="F28" s="960"/>
      <c r="G28" s="960"/>
      <c r="H28" s="960"/>
      <c r="I28" s="960"/>
      <c r="J28" s="666"/>
      <c r="K28" s="666"/>
      <c r="L28" s="667"/>
      <c r="M28" s="678" t="s">
        <v>184</v>
      </c>
      <c r="N28" s="779" t="str">
        <f t="shared" si="1"/>
        <v>COTARUSE 220
(8,47 USD/MWh)</v>
      </c>
      <c r="O28" s="291"/>
      <c r="P28" s="291"/>
      <c r="Q28" s="291"/>
    </row>
    <row r="29" spans="1:17" ht="11.25" customHeight="1">
      <c r="A29" s="184"/>
      <c r="B29" s="190"/>
      <c r="C29" s="190"/>
      <c r="D29" s="190"/>
      <c r="E29" s="190"/>
      <c r="F29" s="190"/>
      <c r="G29" s="190"/>
      <c r="H29" s="190"/>
      <c r="I29" s="190"/>
      <c r="J29" s="673"/>
      <c r="K29" s="673"/>
      <c r="L29" s="667"/>
      <c r="M29" s="678" t="s">
        <v>185</v>
      </c>
      <c r="N29" s="779" t="str">
        <f t="shared" si="1"/>
        <v>SAN GABAN 138
(8,2 USD/MWh)</v>
      </c>
      <c r="O29" s="291"/>
      <c r="P29" s="291"/>
      <c r="Q29" s="291"/>
    </row>
    <row r="30" spans="1:17" ht="11.25" customHeight="1">
      <c r="A30" s="184"/>
      <c r="B30" s="190"/>
      <c r="C30" s="190"/>
      <c r="D30" s="190"/>
      <c r="E30" s="190"/>
      <c r="F30" s="190"/>
      <c r="G30" s="190"/>
      <c r="H30" s="190"/>
      <c r="I30" s="190"/>
      <c r="J30" s="673"/>
      <c r="K30" s="673"/>
      <c r="L30" s="667"/>
      <c r="M30" s="678"/>
      <c r="N30" s="780"/>
      <c r="O30" s="291"/>
      <c r="P30" s="291"/>
      <c r="Q30" s="291"/>
    </row>
    <row r="31" spans="1:17" ht="11.25" customHeight="1">
      <c r="A31" s="184"/>
      <c r="B31" s="190"/>
      <c r="C31" s="190"/>
      <c r="D31" s="190"/>
      <c r="E31" s="190"/>
      <c r="F31" s="190"/>
      <c r="G31" s="190"/>
      <c r="H31" s="190"/>
      <c r="I31" s="190"/>
      <c r="J31" s="673"/>
      <c r="K31" s="673"/>
      <c r="L31" s="667"/>
      <c r="M31" s="678"/>
      <c r="N31" s="780"/>
      <c r="O31" s="291"/>
      <c r="P31" s="291"/>
      <c r="Q31" s="291"/>
    </row>
    <row r="32" spans="1:17" ht="11.25" customHeight="1">
      <c r="A32" s="184"/>
      <c r="B32" s="190"/>
      <c r="C32" s="190"/>
      <c r="D32" s="190"/>
      <c r="E32" s="190"/>
      <c r="F32" s="190"/>
      <c r="G32" s="190"/>
      <c r="H32" s="190"/>
      <c r="I32" s="190"/>
      <c r="J32" s="673"/>
      <c r="K32" s="673"/>
      <c r="L32" s="667"/>
      <c r="M32" s="678"/>
      <c r="N32" s="291"/>
      <c r="O32" s="291"/>
      <c r="P32" s="291"/>
      <c r="Q32" s="291"/>
    </row>
    <row r="33" spans="1:17" ht="11.25" customHeight="1">
      <c r="A33" s="184"/>
      <c r="B33" s="190"/>
      <c r="C33" s="190"/>
      <c r="D33" s="190"/>
      <c r="E33" s="190"/>
      <c r="F33" s="190"/>
      <c r="G33" s="190"/>
      <c r="H33" s="190"/>
      <c r="I33" s="190"/>
      <c r="J33" s="673"/>
      <c r="K33" s="673"/>
      <c r="L33" s="667"/>
      <c r="N33" s="291"/>
      <c r="O33" s="291"/>
      <c r="P33" s="291"/>
      <c r="Q33" s="291"/>
    </row>
    <row r="34" spans="1:17" ht="11.25" customHeight="1">
      <c r="A34" s="184"/>
      <c r="B34" s="190"/>
      <c r="C34" s="190"/>
      <c r="D34" s="190"/>
      <c r="E34" s="190"/>
      <c r="F34" s="190"/>
      <c r="G34" s="190"/>
      <c r="H34" s="190"/>
      <c r="I34" s="190"/>
      <c r="J34" s="673"/>
      <c r="K34" s="673"/>
      <c r="L34" s="667"/>
      <c r="N34" s="291"/>
      <c r="O34" s="291"/>
      <c r="P34" s="291"/>
      <c r="Q34" s="291"/>
    </row>
    <row r="35" spans="1:17" ht="11.25" customHeight="1">
      <c r="A35" s="184"/>
      <c r="B35" s="190"/>
      <c r="C35" s="190"/>
      <c r="D35" s="190"/>
      <c r="E35" s="190"/>
      <c r="F35" s="190"/>
      <c r="G35" s="190"/>
      <c r="H35" s="190"/>
      <c r="I35" s="190"/>
      <c r="J35" s="673"/>
      <c r="K35" s="673"/>
      <c r="L35" s="674"/>
      <c r="N35" s="291"/>
      <c r="O35" s="291"/>
      <c r="P35" s="291"/>
      <c r="Q35" s="291"/>
    </row>
    <row r="36" spans="1:17" ht="11.25" customHeight="1">
      <c r="A36" s="184"/>
      <c r="B36" s="190"/>
      <c r="C36" s="190"/>
      <c r="D36" s="190"/>
      <c r="E36" s="190"/>
      <c r="F36" s="190"/>
      <c r="G36" s="190"/>
      <c r="H36" s="190"/>
      <c r="I36" s="190"/>
      <c r="J36" s="673"/>
      <c r="K36" s="673"/>
      <c r="L36" s="667"/>
      <c r="N36" s="291"/>
      <c r="O36" s="291"/>
      <c r="P36" s="291"/>
      <c r="Q36" s="291"/>
    </row>
    <row r="37" spans="1:17" ht="11.25" customHeight="1">
      <c r="A37" s="184"/>
      <c r="B37" s="190"/>
      <c r="C37" s="190"/>
      <c r="D37" s="190"/>
      <c r="E37" s="190"/>
      <c r="F37" s="190"/>
      <c r="G37" s="190"/>
      <c r="H37" s="190"/>
      <c r="I37" s="190"/>
      <c r="J37" s="673"/>
      <c r="K37" s="673"/>
      <c r="L37" s="667"/>
      <c r="N37" s="291"/>
      <c r="O37" s="291"/>
      <c r="P37" s="291"/>
      <c r="Q37" s="291"/>
    </row>
    <row r="38" spans="1:17" ht="11.25" customHeight="1">
      <c r="A38" s="184"/>
      <c r="B38" s="190"/>
      <c r="C38" s="190"/>
      <c r="D38" s="190"/>
      <c r="E38" s="190"/>
      <c r="F38" s="190"/>
      <c r="G38" s="190"/>
      <c r="H38" s="190"/>
      <c r="I38" s="190"/>
      <c r="J38" s="673"/>
      <c r="K38" s="673"/>
      <c r="L38" s="667"/>
      <c r="N38" s="291"/>
      <c r="O38" s="291"/>
      <c r="P38" s="291"/>
      <c r="Q38" s="291"/>
    </row>
    <row r="39" spans="1:17" ht="11.25" customHeight="1">
      <c r="A39" s="184"/>
      <c r="B39" s="190"/>
      <c r="C39" s="190"/>
      <c r="D39" s="190"/>
      <c r="E39" s="190"/>
      <c r="F39" s="190"/>
      <c r="G39" s="190"/>
      <c r="H39" s="190"/>
      <c r="I39" s="190"/>
      <c r="J39" s="673"/>
      <c r="K39" s="673"/>
      <c r="L39" s="667"/>
      <c r="N39" s="291"/>
      <c r="O39" s="291"/>
      <c r="P39" s="291"/>
      <c r="Q39" s="291"/>
    </row>
    <row r="40" spans="1:17" ht="13.5" customHeight="1">
      <c r="A40" s="184"/>
      <c r="B40" s="958" t="str">
        <f>"Gráfico N°21: Costos marginales medios registrados en las principales barras del área centro durante el mes de "&amp;'1. Resumen'!Q4</f>
        <v>Gráfico N°21: Costos marginales medios registrados en las principales barras del área centro durante el mes de junio</v>
      </c>
      <c r="C40" s="958"/>
      <c r="D40" s="958"/>
      <c r="E40" s="958"/>
      <c r="F40" s="958"/>
      <c r="G40" s="958"/>
      <c r="H40" s="958"/>
      <c r="I40" s="958"/>
      <c r="J40" s="673"/>
      <c r="K40" s="673"/>
      <c r="L40" s="667"/>
      <c r="N40" s="291"/>
      <c r="O40" s="291"/>
      <c r="P40" s="291"/>
      <c r="Q40" s="291"/>
    </row>
    <row r="41" spans="1:17" ht="6.75" customHeight="1">
      <c r="A41" s="184"/>
      <c r="B41" s="190"/>
      <c r="C41" s="190"/>
      <c r="D41" s="190"/>
      <c r="E41" s="190"/>
      <c r="F41" s="190"/>
      <c r="G41" s="190"/>
      <c r="H41" s="190"/>
      <c r="I41" s="190"/>
      <c r="J41" s="673"/>
      <c r="K41" s="673"/>
      <c r="L41" s="667"/>
      <c r="N41" s="291"/>
      <c r="O41" s="291"/>
      <c r="P41" s="291"/>
      <c r="Q41" s="291"/>
    </row>
    <row r="42" spans="1:17" ht="8.25" customHeight="1">
      <c r="A42" s="184"/>
      <c r="B42" s="186"/>
      <c r="C42" s="186"/>
      <c r="D42" s="186"/>
      <c r="E42" s="186"/>
      <c r="F42" s="186"/>
      <c r="G42" s="186"/>
      <c r="H42" s="186"/>
      <c r="I42" s="186"/>
      <c r="J42" s="675"/>
      <c r="K42" s="675"/>
      <c r="L42" s="11"/>
      <c r="N42" s="291"/>
      <c r="O42" s="291"/>
      <c r="P42" s="291"/>
      <c r="Q42" s="291"/>
    </row>
    <row r="43" spans="1:17" ht="11.25" customHeight="1">
      <c r="A43" s="184"/>
      <c r="B43" s="189" t="s">
        <v>390</v>
      </c>
      <c r="C43" s="186"/>
      <c r="D43" s="186"/>
      <c r="E43" s="186"/>
      <c r="F43" s="186"/>
      <c r="G43" s="186"/>
      <c r="H43" s="186"/>
      <c r="I43" s="186"/>
      <c r="J43" s="675"/>
      <c r="K43" s="675"/>
      <c r="L43" s="11"/>
      <c r="N43" s="291"/>
      <c r="O43" s="291"/>
      <c r="P43" s="291"/>
      <c r="Q43" s="291"/>
    </row>
    <row r="44" spans="1:17" ht="6.75" customHeight="1">
      <c r="A44" s="184"/>
      <c r="B44" s="186"/>
      <c r="C44" s="186"/>
      <c r="D44" s="186"/>
      <c r="E44" s="186"/>
      <c r="F44" s="186"/>
      <c r="G44" s="186"/>
      <c r="H44" s="186"/>
      <c r="I44" s="186"/>
      <c r="J44" s="675"/>
      <c r="K44" s="675"/>
      <c r="L44" s="11"/>
      <c r="N44" s="291"/>
      <c r="O44" s="291"/>
      <c r="P44" s="291"/>
      <c r="Q44" s="291"/>
    </row>
    <row r="45" spans="1:17" ht="27" customHeight="1">
      <c r="A45" s="184"/>
      <c r="B45" s="499" t="s">
        <v>166</v>
      </c>
      <c r="C45" s="496" t="s">
        <v>179</v>
      </c>
      <c r="D45" s="496" t="s">
        <v>181</v>
      </c>
      <c r="E45" s="496" t="s">
        <v>182</v>
      </c>
      <c r="F45" s="496" t="s">
        <v>180</v>
      </c>
      <c r="G45" s="496" t="s">
        <v>183</v>
      </c>
      <c r="H45" s="496" t="s">
        <v>184</v>
      </c>
      <c r="I45" s="497" t="s">
        <v>185</v>
      </c>
      <c r="J45" s="671"/>
      <c r="K45" s="673"/>
      <c r="N45" s="291"/>
      <c r="O45" s="291"/>
      <c r="P45" s="291"/>
      <c r="Q45" s="291"/>
    </row>
    <row r="46" spans="1:17" ht="18.75" customHeight="1">
      <c r="A46" s="184"/>
      <c r="B46" s="500" t="s">
        <v>172</v>
      </c>
      <c r="C46" s="275">
        <v>9.1376186568452162</v>
      </c>
      <c r="D46" s="275">
        <v>8.8243870236358255</v>
      </c>
      <c r="E46" s="275">
        <v>8.823292154601635</v>
      </c>
      <c r="F46" s="275">
        <v>8.883837565698661</v>
      </c>
      <c r="G46" s="275">
        <v>8.4993915468401937</v>
      </c>
      <c r="H46" s="275">
        <v>8.4742297771737292</v>
      </c>
      <c r="I46" s="275">
        <v>8.1953658267046183</v>
      </c>
      <c r="J46" s="672"/>
      <c r="K46" s="673"/>
      <c r="N46" s="291"/>
      <c r="O46" s="291"/>
      <c r="P46" s="291"/>
      <c r="Q46" s="291"/>
    </row>
    <row r="47" spans="1:17" ht="18" customHeight="1">
      <c r="A47" s="184"/>
      <c r="B47" s="960" t="str">
        <f>"Cuadro N°13: Valor de los costos marginales medios registrados en las principales barras del área sur durante el mes de "&amp;'1. Resumen'!Q4</f>
        <v>Cuadro N°13: Valor de los costos marginales medios registrados en las principales barras del área sur durante el mes de junio</v>
      </c>
      <c r="C47" s="960"/>
      <c r="D47" s="960"/>
      <c r="E47" s="960"/>
      <c r="F47" s="960"/>
      <c r="G47" s="960"/>
      <c r="H47" s="960"/>
      <c r="I47" s="960"/>
      <c r="J47" s="672"/>
      <c r="K47" s="673"/>
    </row>
    <row r="48" spans="1:17" ht="12.75">
      <c r="A48" s="184"/>
      <c r="B48" s="190"/>
      <c r="C48" s="190"/>
      <c r="D48" s="190"/>
      <c r="E48" s="190"/>
      <c r="F48" s="190"/>
      <c r="G48" s="180"/>
      <c r="H48" s="180"/>
      <c r="I48" s="180"/>
      <c r="J48" s="666"/>
      <c r="K48" s="673"/>
    </row>
    <row r="49" spans="1:11" ht="12.75">
      <c r="A49" s="184"/>
      <c r="B49" s="180"/>
      <c r="C49" s="180"/>
      <c r="D49" s="180"/>
      <c r="E49" s="180"/>
      <c r="F49" s="180"/>
      <c r="G49" s="180"/>
      <c r="H49" s="180"/>
      <c r="I49" s="180"/>
      <c r="J49" s="666"/>
      <c r="K49" s="673"/>
    </row>
    <row r="50" spans="1:11" ht="12.75">
      <c r="A50" s="184"/>
      <c r="B50" s="111"/>
      <c r="C50" s="111"/>
      <c r="D50" s="111"/>
      <c r="E50" s="111"/>
      <c r="F50" s="111"/>
      <c r="G50" s="111"/>
      <c r="H50" s="111"/>
      <c r="I50" s="111"/>
      <c r="J50" s="676"/>
      <c r="K50" s="673"/>
    </row>
    <row r="51" spans="1:11" ht="12.75">
      <c r="A51" s="184"/>
      <c r="B51" s="111"/>
      <c r="C51" s="111"/>
      <c r="D51" s="111"/>
      <c r="E51" s="111"/>
      <c r="F51" s="111"/>
      <c r="G51" s="111"/>
      <c r="H51" s="111"/>
      <c r="I51" s="111"/>
      <c r="J51" s="676"/>
      <c r="K51" s="673"/>
    </row>
    <row r="52" spans="1:11" ht="12.75">
      <c r="A52" s="184"/>
      <c r="B52" s="111"/>
      <c r="C52" s="111"/>
      <c r="D52" s="111"/>
      <c r="E52" s="111"/>
      <c r="F52" s="111"/>
      <c r="G52" s="111"/>
      <c r="H52" s="111"/>
      <c r="I52" s="111"/>
      <c r="J52" s="676"/>
      <c r="K52" s="673"/>
    </row>
    <row r="53" spans="1:11" ht="12.75">
      <c r="A53" s="184"/>
      <c r="B53" s="111"/>
      <c r="C53" s="111"/>
      <c r="D53" s="111"/>
      <c r="E53" s="111"/>
      <c r="F53" s="111"/>
      <c r="G53" s="111"/>
      <c r="H53" s="111"/>
      <c r="I53" s="111"/>
      <c r="J53" s="676"/>
      <c r="K53" s="673"/>
    </row>
    <row r="54" spans="1:11" ht="12.75">
      <c r="A54" s="184"/>
      <c r="B54" s="111"/>
      <c r="C54" s="111"/>
      <c r="D54" s="111"/>
      <c r="E54" s="111"/>
      <c r="F54" s="111"/>
      <c r="G54" s="111"/>
      <c r="H54" s="111"/>
      <c r="I54" s="111"/>
      <c r="J54" s="676"/>
      <c r="K54" s="673"/>
    </row>
    <row r="55" spans="1:11" ht="12.75">
      <c r="A55" s="184"/>
      <c r="B55" s="111"/>
      <c r="C55" s="111"/>
      <c r="D55" s="111"/>
      <c r="E55" s="111"/>
      <c r="F55" s="111"/>
      <c r="G55" s="111"/>
      <c r="H55" s="111"/>
      <c r="I55" s="111"/>
      <c r="J55" s="676"/>
      <c r="K55" s="673"/>
    </row>
    <row r="56" spans="1:11" ht="12.75">
      <c r="A56" s="184"/>
      <c r="B56" s="180"/>
      <c r="C56" s="180"/>
      <c r="D56" s="180"/>
      <c r="E56" s="180"/>
      <c r="F56" s="180"/>
      <c r="G56" s="180"/>
      <c r="H56" s="180"/>
      <c r="I56" s="180"/>
      <c r="J56" s="666"/>
      <c r="K56" s="673"/>
    </row>
    <row r="57" spans="1:11" ht="12.75">
      <c r="A57" s="184"/>
      <c r="B57" s="180"/>
      <c r="C57" s="180"/>
      <c r="D57" s="180"/>
      <c r="E57" s="180"/>
      <c r="F57" s="180"/>
      <c r="G57" s="180"/>
      <c r="H57" s="180"/>
      <c r="I57" s="180"/>
      <c r="J57" s="666"/>
      <c r="K57" s="673"/>
    </row>
    <row r="58" spans="1:11" ht="12.75">
      <c r="A58" s="184"/>
      <c r="B58" s="958" t="str">
        <f>"Gráfico N°22: Costos marginales medios registrados en las principales barras del área sur durante el mes de "&amp;'1. Resumen'!Q4</f>
        <v>Gráfico N°22: Costos marginales medios registrados en las principales barras del área sur durante el mes de junio</v>
      </c>
      <c r="C58" s="958"/>
      <c r="D58" s="958"/>
      <c r="E58" s="958"/>
      <c r="F58" s="958"/>
      <c r="G58" s="958"/>
      <c r="H58" s="958"/>
      <c r="I58" s="958"/>
      <c r="J58" s="666"/>
      <c r="K58" s="673"/>
    </row>
    <row r="59" spans="1:11" ht="12.75">
      <c r="A59" s="74"/>
      <c r="B59" s="136"/>
      <c r="C59" s="136"/>
      <c r="D59" s="136"/>
      <c r="E59" s="136"/>
      <c r="F59" s="136"/>
      <c r="G59" s="136"/>
      <c r="H59" s="180"/>
      <c r="I59" s="180"/>
      <c r="J59" s="666"/>
      <c r="K59" s="673"/>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N65" sqref="N65"/>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18" t="s">
        <v>392</v>
      </c>
      <c r="B2" s="918"/>
      <c r="C2" s="918"/>
      <c r="D2" s="918"/>
      <c r="E2" s="918"/>
      <c r="F2" s="918"/>
      <c r="G2" s="918"/>
      <c r="H2" s="918"/>
      <c r="I2" s="918"/>
      <c r="J2" s="918"/>
      <c r="K2" s="918"/>
      <c r="L2" s="918"/>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0"/>
  <sheetViews>
    <sheetView showGridLines="0" view="pageBreakPreview" zoomScaleNormal="100" zoomScaleSheetLayoutView="100" zoomScalePageLayoutView="115" workbookViewId="0">
      <selection activeCell="N65" sqref="N65"/>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61" t="s">
        <v>391</v>
      </c>
      <c r="B2" s="961"/>
      <c r="C2" s="961"/>
      <c r="D2" s="961"/>
      <c r="E2" s="961"/>
      <c r="F2" s="961"/>
      <c r="G2" s="961"/>
      <c r="H2" s="961"/>
      <c r="I2" s="203"/>
      <c r="J2" s="203"/>
      <c r="K2" s="203"/>
    </row>
    <row r="3" spans="1:12" ht="3" customHeight="1">
      <c r="A3" s="77"/>
      <c r="B3" s="77"/>
      <c r="C3" s="77"/>
      <c r="D3" s="77"/>
      <c r="E3" s="77"/>
      <c r="F3" s="77"/>
      <c r="G3" s="77"/>
      <c r="H3" s="77"/>
      <c r="I3" s="204"/>
      <c r="J3" s="204"/>
      <c r="K3" s="204"/>
      <c r="L3" s="36"/>
    </row>
    <row r="4" spans="1:12" ht="15" customHeight="1">
      <c r="A4" s="952" t="s">
        <v>444</v>
      </c>
      <c r="B4" s="952"/>
      <c r="C4" s="952"/>
      <c r="D4" s="952"/>
      <c r="E4" s="952"/>
      <c r="F4" s="952"/>
      <c r="G4" s="952"/>
      <c r="H4" s="952"/>
      <c r="I4" s="195"/>
      <c r="J4" s="195"/>
      <c r="K4" s="195"/>
      <c r="L4" s="36"/>
    </row>
    <row r="5" spans="1:12" ht="11.25" customHeight="1">
      <c r="A5" s="77"/>
      <c r="B5" s="164"/>
      <c r="C5" s="78"/>
      <c r="D5" s="79"/>
      <c r="E5" s="79"/>
      <c r="F5" s="80"/>
      <c r="G5" s="76"/>
      <c r="H5" s="76"/>
      <c r="I5" s="196"/>
      <c r="J5" s="196"/>
      <c r="K5" s="196"/>
      <c r="L5" s="205"/>
    </row>
    <row r="6" spans="1:12" ht="30.75" customHeight="1">
      <c r="A6" s="523" t="s">
        <v>186</v>
      </c>
      <c r="B6" s="521" t="s">
        <v>187</v>
      </c>
      <c r="C6" s="521" t="s">
        <v>188</v>
      </c>
      <c r="D6" s="520" t="str">
        <f>UPPER('1. Resumen'!Q4)&amp;"
 "&amp;'1. Resumen'!Q5</f>
        <v>JUNIO
 2020</v>
      </c>
      <c r="E6" s="520" t="str">
        <f>UPPER('1. Resumen'!Q4)&amp;"
 "&amp;'1. Resumen'!Q5-1</f>
        <v>JUNIO
 2019</v>
      </c>
      <c r="F6" s="520" t="str">
        <f>UPPER('1. Resumen'!Q4)&amp;"
 "&amp;'1. Resumen'!Q5-2</f>
        <v>JUNIO
 2018</v>
      </c>
      <c r="G6" s="521" t="s">
        <v>482</v>
      </c>
      <c r="H6" s="522" t="s">
        <v>435</v>
      </c>
      <c r="I6" s="196"/>
      <c r="J6" s="196"/>
      <c r="K6" s="196"/>
      <c r="L6" s="166"/>
    </row>
    <row r="7" spans="1:12" ht="14.25" customHeight="1">
      <c r="A7" s="962" t="s">
        <v>189</v>
      </c>
      <c r="B7" s="843" t="s">
        <v>674</v>
      </c>
      <c r="C7" s="844" t="s">
        <v>675</v>
      </c>
      <c r="D7" s="845"/>
      <c r="E7" s="845"/>
      <c r="F7" s="845">
        <v>4.033333333333335</v>
      </c>
      <c r="G7" s="846"/>
      <c r="H7" s="846">
        <f>+E7/F7-1</f>
        <v>-1</v>
      </c>
      <c r="I7" s="196"/>
      <c r="J7" s="196"/>
      <c r="K7" s="196"/>
      <c r="L7" s="58"/>
    </row>
    <row r="8" spans="1:12" ht="14.25" customHeight="1">
      <c r="A8" s="963"/>
      <c r="B8" s="843" t="s">
        <v>555</v>
      </c>
      <c r="C8" s="844" t="s">
        <v>556</v>
      </c>
      <c r="D8" s="845"/>
      <c r="E8" s="845"/>
      <c r="F8" s="845">
        <v>4.7833333333333323</v>
      </c>
      <c r="G8" s="846"/>
      <c r="H8" s="846">
        <f>+E8/F8-1</f>
        <v>-1</v>
      </c>
      <c r="I8" s="196"/>
      <c r="J8" s="196"/>
      <c r="K8" s="196"/>
      <c r="L8" s="58"/>
    </row>
    <row r="9" spans="1:12" ht="14.25" customHeight="1">
      <c r="A9" s="963"/>
      <c r="B9" s="843" t="s">
        <v>676</v>
      </c>
      <c r="C9" s="844" t="s">
        <v>677</v>
      </c>
      <c r="D9" s="845"/>
      <c r="E9" s="845"/>
      <c r="F9" s="845">
        <v>3.5333333333333341</v>
      </c>
      <c r="G9" s="846"/>
      <c r="H9" s="846">
        <f t="shared" ref="H9" si="0">+E9/F9-1</f>
        <v>-1</v>
      </c>
      <c r="I9" s="196"/>
      <c r="J9" s="196"/>
      <c r="K9" s="196"/>
      <c r="L9" s="58"/>
    </row>
    <row r="10" spans="1:12" ht="14.25" customHeight="1">
      <c r="A10" s="963"/>
      <c r="B10" s="843" t="s">
        <v>678</v>
      </c>
      <c r="C10" s="844" t="s">
        <v>679</v>
      </c>
      <c r="D10" s="845">
        <v>12.883333333333335</v>
      </c>
      <c r="E10" s="845"/>
      <c r="F10" s="845"/>
      <c r="G10" s="846"/>
      <c r="H10" s="846"/>
      <c r="I10" s="196"/>
      <c r="J10" s="196"/>
      <c r="K10" s="196"/>
      <c r="L10" s="58"/>
    </row>
    <row r="11" spans="1:12" ht="14.25" customHeight="1">
      <c r="A11" s="963"/>
      <c r="B11" s="843" t="s">
        <v>483</v>
      </c>
      <c r="C11" s="844" t="s">
        <v>484</v>
      </c>
      <c r="D11" s="845"/>
      <c r="E11" s="845">
        <v>3.5833333333333326</v>
      </c>
      <c r="F11" s="845"/>
      <c r="G11" s="846">
        <f t="shared" ref="G11" si="1">+D11/E11-1</f>
        <v>-1</v>
      </c>
      <c r="H11" s="846"/>
      <c r="I11" s="196"/>
      <c r="J11" s="196"/>
      <c r="K11" s="196"/>
      <c r="L11" s="58"/>
    </row>
    <row r="12" spans="1:12" ht="18.75" customHeight="1">
      <c r="A12" s="513" t="s">
        <v>190</v>
      </c>
      <c r="B12" s="514"/>
      <c r="C12" s="515"/>
      <c r="D12" s="516">
        <f>SUM(D7:D11)</f>
        <v>12.883333333333335</v>
      </c>
      <c r="E12" s="516">
        <f t="shared" ref="E12:G12" si="2">SUM(E7:E11)</f>
        <v>3.5833333333333326</v>
      </c>
      <c r="F12" s="516">
        <f t="shared" si="2"/>
        <v>12.350000000000001</v>
      </c>
      <c r="G12" s="516">
        <f t="shared" si="2"/>
        <v>-1</v>
      </c>
      <c r="H12" s="772">
        <f t="shared" ref="H12" si="3">+E12/F12-1</f>
        <v>-0.70985155195681515</v>
      </c>
      <c r="I12" s="196"/>
      <c r="J12" s="196"/>
      <c r="K12" s="197"/>
      <c r="L12" s="206"/>
    </row>
    <row r="13" spans="1:12" ht="11.25" customHeight="1">
      <c r="A13" s="273" t="str">
        <f>"Cuadro N° 14: Horas de operación de los principales equipos de congestión en "&amp;'1. Resumen'!Q4</f>
        <v>Cuadro N° 14: Horas de operación de los principales equipos de congestión en junio</v>
      </c>
      <c r="B13" s="209"/>
      <c r="C13" s="210"/>
      <c r="D13" s="211"/>
      <c r="E13" s="211"/>
      <c r="F13" s="212"/>
      <c r="G13" s="76"/>
      <c r="H13" s="82"/>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7"/>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6"/>
      <c r="L21" s="58"/>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8.25" customHeight="1">
      <c r="A38" s="77"/>
      <c r="B38" s="77"/>
      <c r="C38" s="77"/>
      <c r="D38" s="77"/>
      <c r="E38" s="77"/>
      <c r="F38" s="77"/>
      <c r="G38" s="77"/>
      <c r="H38" s="77"/>
      <c r="I38" s="196"/>
      <c r="J38" s="196"/>
      <c r="K38" s="199"/>
      <c r="L38" s="59"/>
    </row>
    <row r="39" spans="1:12" ht="24.7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8"/>
    </row>
    <row r="44" spans="1:12" ht="11.25" customHeight="1">
      <c r="A44" s="77"/>
      <c r="B44" s="77"/>
      <c r="C44" s="77"/>
      <c r="D44" s="77"/>
      <c r="E44" s="77"/>
      <c r="F44" s="77"/>
      <c r="G44" s="77"/>
      <c r="H44" s="77"/>
      <c r="I44" s="196"/>
      <c r="J44" s="196"/>
      <c r="K44" s="198"/>
    </row>
    <row r="45" spans="1:12" ht="12.75">
      <c r="A45" s="54"/>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11"/>
      <c r="J50" s="111"/>
      <c r="K50" s="198"/>
    </row>
    <row r="51" spans="1:11" ht="12.75">
      <c r="A51" s="77"/>
      <c r="B51" s="77"/>
      <c r="C51" s="77"/>
      <c r="D51" s="77"/>
      <c r="E51" s="77"/>
      <c r="F51" s="77"/>
      <c r="G51" s="77"/>
      <c r="H51" s="77"/>
      <c r="I51" s="111"/>
      <c r="J51" s="111"/>
      <c r="K51" s="198"/>
    </row>
    <row r="52" spans="1:11" ht="12.75">
      <c r="A52" s="77"/>
      <c r="B52" s="77"/>
      <c r="C52" s="77"/>
      <c r="D52" s="77"/>
      <c r="E52" s="77"/>
      <c r="F52" s="77"/>
      <c r="G52" s="77"/>
      <c r="H52" s="77"/>
      <c r="I52" s="111"/>
      <c r="J52" s="111"/>
      <c r="K52" s="198"/>
    </row>
    <row r="53" spans="1:11" ht="12.75">
      <c r="B53" s="77"/>
      <c r="C53" s="77"/>
      <c r="D53" s="77"/>
      <c r="E53" s="77"/>
      <c r="F53" s="77"/>
      <c r="G53" s="77"/>
      <c r="H53" s="77"/>
      <c r="I53" s="111"/>
      <c r="J53" s="111"/>
      <c r="K53" s="198"/>
    </row>
    <row r="54" spans="1:11" ht="12.75">
      <c r="A54" s="273" t="str">
        <f>"Gráfico N° 23: Comparación de las horas de operación de los principales equipos de congestión en "&amp;'1. Resumen'!Q4&amp;"."</f>
        <v>Gráfico N° 23: Comparación de las horas de operación de los principales equipos de congestión en junio.</v>
      </c>
      <c r="B54" s="77"/>
      <c r="C54" s="77"/>
      <c r="D54" s="77"/>
      <c r="E54" s="77"/>
      <c r="F54" s="77"/>
      <c r="G54" s="77"/>
      <c r="H54" s="77"/>
      <c r="I54" s="111"/>
      <c r="J54" s="111"/>
      <c r="K54" s="198"/>
    </row>
    <row r="55" spans="1:11" ht="12.75">
      <c r="A55" s="77"/>
      <c r="B55" s="77"/>
      <c r="C55" s="77"/>
      <c r="D55" s="77"/>
      <c r="E55" s="77"/>
      <c r="F55" s="77"/>
      <c r="G55" s="77"/>
      <c r="H55" s="77"/>
      <c r="I55" s="197"/>
      <c r="J55" s="197"/>
      <c r="K55" s="198"/>
    </row>
    <row r="56" spans="1:11" ht="12.75">
      <c r="A56" s="196"/>
      <c r="B56" s="197"/>
      <c r="C56" s="197"/>
      <c r="D56" s="197"/>
      <c r="E56" s="197"/>
      <c r="F56" s="197"/>
      <c r="G56" s="197"/>
      <c r="H56" s="197"/>
      <c r="I56" s="197"/>
      <c r="J56" s="197"/>
      <c r="K56" s="198"/>
    </row>
    <row r="57" spans="1:11" ht="12.75">
      <c r="A57" s="196"/>
      <c r="B57" s="208"/>
      <c r="C57" s="198"/>
      <c r="D57" s="198"/>
      <c r="E57" s="198"/>
      <c r="F57" s="198"/>
      <c r="G57" s="197"/>
      <c r="H57" s="197"/>
      <c r="I57" s="197"/>
      <c r="J57" s="197"/>
      <c r="K57" s="198"/>
    </row>
    <row r="58" spans="1:11" ht="12.75">
      <c r="A58" s="1"/>
      <c r="B58" s="31"/>
      <c r="C58" s="31"/>
      <c r="D58" s="31"/>
      <c r="E58" s="31"/>
      <c r="F58" s="31"/>
      <c r="G58" s="31"/>
      <c r="H58" s="197"/>
      <c r="I58" s="197"/>
      <c r="J58" s="197"/>
      <c r="K58" s="198"/>
    </row>
    <row r="59" spans="1:11" ht="12.75">
      <c r="A59" s="1"/>
      <c r="B59" s="31"/>
      <c r="C59" s="31"/>
      <c r="D59" s="31"/>
      <c r="E59" s="31"/>
      <c r="F59" s="31"/>
      <c r="G59" s="31"/>
      <c r="H59" s="197"/>
      <c r="I59" s="197"/>
      <c r="J59" s="197"/>
      <c r="K59" s="197"/>
    </row>
    <row r="60" spans="1:11" ht="12.75">
      <c r="A60" s="1"/>
      <c r="B60" s="31"/>
      <c r="C60" s="31"/>
      <c r="D60" s="31"/>
      <c r="E60" s="31"/>
      <c r="F60" s="31"/>
      <c r="G60" s="31"/>
      <c r="H60" s="197"/>
      <c r="I60" s="197"/>
      <c r="J60" s="197"/>
      <c r="K60" s="197"/>
    </row>
  </sheetData>
  <mergeCells count="3">
    <mergeCell ref="A4:H4"/>
    <mergeCell ref="A2:H2"/>
    <mergeCell ref="A7:A1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1"/>
  <sheetViews>
    <sheetView showGridLines="0" view="pageBreakPreview" zoomScaleNormal="160" zoomScaleSheetLayoutView="100" zoomScalePageLayoutView="130" workbookViewId="0">
      <selection activeCell="N65" sqref="N65"/>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66" t="s">
        <v>419</v>
      </c>
      <c r="B2" s="966"/>
      <c r="C2" s="966"/>
      <c r="D2" s="966"/>
      <c r="E2" s="966"/>
      <c r="F2" s="966"/>
      <c r="G2" s="966"/>
      <c r="H2" s="966"/>
      <c r="I2" s="966"/>
      <c r="J2" s="966"/>
      <c r="K2" s="163"/>
    </row>
    <row r="3" spans="1:12" ht="6.75" customHeight="1">
      <c r="A3" s="17"/>
      <c r="B3" s="159"/>
      <c r="C3" s="213"/>
      <c r="D3" s="18"/>
      <c r="E3" s="18"/>
      <c r="F3" s="192"/>
      <c r="G3" s="66"/>
      <c r="H3" s="66"/>
      <c r="I3" s="71"/>
      <c r="J3" s="163"/>
      <c r="K3" s="163"/>
      <c r="L3" s="36"/>
    </row>
    <row r="4" spans="1:12" ht="15" customHeight="1">
      <c r="A4" s="967" t="s">
        <v>443</v>
      </c>
      <c r="B4" s="967"/>
      <c r="C4" s="967"/>
      <c r="D4" s="967"/>
      <c r="E4" s="967"/>
      <c r="F4" s="967"/>
      <c r="G4" s="967"/>
      <c r="H4" s="967"/>
      <c r="I4" s="967"/>
      <c r="J4" s="967"/>
      <c r="K4" s="163"/>
      <c r="L4" s="36"/>
    </row>
    <row r="5" spans="1:12" ht="38.25" customHeight="1">
      <c r="A5" s="964" t="s">
        <v>191</v>
      </c>
      <c r="B5" s="524" t="s">
        <v>192</v>
      </c>
      <c r="C5" s="525" t="s">
        <v>193</v>
      </c>
      <c r="D5" s="525" t="s">
        <v>194</v>
      </c>
      <c r="E5" s="525" t="s">
        <v>195</v>
      </c>
      <c r="F5" s="525" t="s">
        <v>196</v>
      </c>
      <c r="G5" s="525" t="s">
        <v>197</v>
      </c>
      <c r="H5" s="525" t="s">
        <v>198</v>
      </c>
      <c r="I5" s="526" t="s">
        <v>199</v>
      </c>
      <c r="J5" s="527" t="s">
        <v>200</v>
      </c>
      <c r="K5" s="131"/>
    </row>
    <row r="6" spans="1:12" ht="11.25" customHeight="1">
      <c r="A6" s="965"/>
      <c r="B6" s="706" t="s">
        <v>201</v>
      </c>
      <c r="C6" s="526" t="s">
        <v>202</v>
      </c>
      <c r="D6" s="526" t="s">
        <v>203</v>
      </c>
      <c r="E6" s="526" t="s">
        <v>204</v>
      </c>
      <c r="F6" s="526" t="s">
        <v>205</v>
      </c>
      <c r="G6" s="526" t="s">
        <v>206</v>
      </c>
      <c r="H6" s="526" t="s">
        <v>207</v>
      </c>
      <c r="I6" s="707"/>
      <c r="J6" s="708" t="s">
        <v>208</v>
      </c>
      <c r="K6" s="19"/>
    </row>
    <row r="7" spans="1:12" s="738" customFormat="1" ht="1.5" customHeight="1">
      <c r="A7" s="868"/>
      <c r="B7" s="869"/>
      <c r="C7" s="870"/>
      <c r="D7" s="870"/>
      <c r="E7" s="870"/>
      <c r="F7" s="870"/>
      <c r="G7" s="870"/>
      <c r="H7" s="870"/>
      <c r="I7" s="870"/>
      <c r="J7" s="870"/>
      <c r="K7" s="19"/>
    </row>
    <row r="8" spans="1:12" ht="20.25" customHeight="1">
      <c r="A8" s="716" t="s">
        <v>631</v>
      </c>
      <c r="B8" s="717">
        <v>4</v>
      </c>
      <c r="C8" s="717">
        <v>5</v>
      </c>
      <c r="D8" s="717">
        <v>1</v>
      </c>
      <c r="E8" s="717">
        <v>1</v>
      </c>
      <c r="F8" s="717">
        <v>3</v>
      </c>
      <c r="G8" s="717"/>
      <c r="H8" s="717"/>
      <c r="I8" s="718">
        <f>+SUM(B8:H8)</f>
        <v>14</v>
      </c>
      <c r="J8" s="719">
        <v>49.529999999999994</v>
      </c>
      <c r="K8" s="22"/>
    </row>
    <row r="9" spans="1:12" s="738" customFormat="1" ht="20.25" customHeight="1">
      <c r="A9" s="871" t="s">
        <v>632</v>
      </c>
      <c r="B9" s="872"/>
      <c r="C9" s="872"/>
      <c r="D9" s="872">
        <v>1</v>
      </c>
      <c r="E9" s="872"/>
      <c r="F9" s="872">
        <v>2</v>
      </c>
      <c r="G9" s="872"/>
      <c r="H9" s="872"/>
      <c r="I9" s="718">
        <f t="shared" ref="I9:I12" si="0">+SUM(B9:H9)</f>
        <v>3</v>
      </c>
      <c r="J9" s="873">
        <v>4.17</v>
      </c>
      <c r="K9" s="22"/>
    </row>
    <row r="10" spans="1:12" s="738" customFormat="1" ht="18.75" customHeight="1">
      <c r="A10" s="871" t="s">
        <v>633</v>
      </c>
      <c r="B10" s="872"/>
      <c r="C10" s="872"/>
      <c r="D10" s="872"/>
      <c r="E10" s="872"/>
      <c r="F10" s="872"/>
      <c r="G10" s="872">
        <v>1</v>
      </c>
      <c r="H10" s="872"/>
      <c r="I10" s="718">
        <f t="shared" si="0"/>
        <v>1</v>
      </c>
      <c r="J10" s="873">
        <v>0.12</v>
      </c>
      <c r="K10" s="22"/>
    </row>
    <row r="11" spans="1:12" s="738" customFormat="1" ht="24.75" customHeight="1">
      <c r="A11" s="871" t="s">
        <v>634</v>
      </c>
      <c r="B11" s="872"/>
      <c r="C11" s="872">
        <v>1</v>
      </c>
      <c r="D11" s="872"/>
      <c r="E11" s="872"/>
      <c r="F11" s="872">
        <v>1</v>
      </c>
      <c r="G11" s="872"/>
      <c r="H11" s="872"/>
      <c r="I11" s="718">
        <f t="shared" si="0"/>
        <v>2</v>
      </c>
      <c r="J11" s="873">
        <v>1.0899999999999999</v>
      </c>
      <c r="K11" s="22"/>
    </row>
    <row r="12" spans="1:12" s="738" customFormat="1" ht="18.75" customHeight="1">
      <c r="A12" s="871" t="s">
        <v>635</v>
      </c>
      <c r="B12" s="872"/>
      <c r="C12" s="872">
        <v>1</v>
      </c>
      <c r="D12" s="872"/>
      <c r="E12" s="872"/>
      <c r="F12" s="872"/>
      <c r="G12" s="872"/>
      <c r="H12" s="872"/>
      <c r="I12" s="718">
        <f t="shared" si="0"/>
        <v>1</v>
      </c>
      <c r="J12" s="873">
        <v>0.53</v>
      </c>
      <c r="K12" s="22"/>
    </row>
    <row r="13" spans="1:12" ht="14.25" customHeight="1">
      <c r="A13" s="714" t="s">
        <v>199</v>
      </c>
      <c r="B13" s="709">
        <f>+SUM(B8:B12)</f>
        <v>4</v>
      </c>
      <c r="C13" s="709">
        <f t="shared" ref="C13:H13" si="1">+SUM(C8:C12)</f>
        <v>7</v>
      </c>
      <c r="D13" s="709">
        <f t="shared" si="1"/>
        <v>2</v>
      </c>
      <c r="E13" s="709">
        <f t="shared" si="1"/>
        <v>1</v>
      </c>
      <c r="F13" s="709">
        <f t="shared" si="1"/>
        <v>6</v>
      </c>
      <c r="G13" s="709">
        <f t="shared" si="1"/>
        <v>1</v>
      </c>
      <c r="H13" s="709">
        <f t="shared" si="1"/>
        <v>0</v>
      </c>
      <c r="I13" s="709">
        <f>SUM(I8:I12)</f>
        <v>21</v>
      </c>
      <c r="J13" s="710">
        <f>SUM(J8:J12)</f>
        <v>55.44</v>
      </c>
      <c r="K13" s="22"/>
    </row>
    <row r="14" spans="1:12" ht="11.25" customHeight="1">
      <c r="A14" s="96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junio 2020</v>
      </c>
      <c r="B14" s="968"/>
      <c r="C14" s="968"/>
      <c r="D14" s="968"/>
      <c r="E14" s="968"/>
      <c r="F14" s="968"/>
      <c r="G14" s="968"/>
      <c r="H14" s="968"/>
      <c r="I14" s="968"/>
      <c r="J14" s="968"/>
      <c r="K14" s="22"/>
    </row>
    <row r="15" spans="1:12" ht="11.25" customHeight="1">
      <c r="K15" s="22"/>
    </row>
    <row r="16" spans="1:12" ht="11.25" customHeight="1">
      <c r="A16" s="17"/>
      <c r="B16" s="216"/>
      <c r="C16" s="215"/>
      <c r="D16" s="215"/>
      <c r="E16" s="215"/>
      <c r="F16" s="215"/>
      <c r="G16" s="178"/>
      <c r="H16" s="178"/>
      <c r="I16" s="138"/>
      <c r="J16" s="25"/>
      <c r="K16" s="25"/>
      <c r="L16" s="22"/>
    </row>
    <row r="17" spans="1:12" ht="11.25" customHeight="1">
      <c r="A17" s="972" t="str">
        <f>"FALLAS  POR TIPO DE CAUSA  -  "&amp;UPPER('1. Resumen'!Q4)&amp;" "&amp;'1. Resumen'!Q5</f>
        <v>FALLAS  POR TIPO DE CAUSA  -  JUNIO 2020</v>
      </c>
      <c r="B17" s="972"/>
      <c r="C17" s="972"/>
      <c r="D17" s="972"/>
      <c r="E17" s="972" t="str">
        <f>"FALLAS  POR TIPO DE EQUIPO  -  "&amp;UPPER('1. Resumen'!Q4)&amp;" "&amp;'1. Resumen'!Q5</f>
        <v>FALLAS  POR TIPO DE EQUIPO  -  JUNIO 2020</v>
      </c>
      <c r="F17" s="972"/>
      <c r="G17" s="972"/>
      <c r="H17" s="972"/>
      <c r="I17" s="972"/>
      <c r="J17" s="972"/>
      <c r="K17" s="25"/>
      <c r="L17" s="22"/>
    </row>
    <row r="18" spans="1:12" ht="11.25" customHeight="1">
      <c r="A18" s="17"/>
      <c r="E18" s="215"/>
      <c r="F18" s="215"/>
      <c r="G18" s="178"/>
      <c r="H18" s="178"/>
      <c r="I18" s="138"/>
      <c r="J18" s="111"/>
      <c r="K18" s="111"/>
      <c r="L18" s="22"/>
    </row>
    <row r="19" spans="1:12" ht="11.25" customHeight="1">
      <c r="A19" s="17"/>
      <c r="B19" s="216"/>
      <c r="C19" s="215"/>
      <c r="D19" s="215"/>
      <c r="E19" s="215"/>
      <c r="F19" s="215"/>
      <c r="G19" s="178"/>
      <c r="H19" s="178"/>
      <c r="I19" s="138"/>
      <c r="J19" s="111"/>
      <c r="K19" s="111"/>
      <c r="L19" s="30"/>
    </row>
    <row r="20" spans="1:12" ht="11.25" customHeight="1">
      <c r="A20" s="17"/>
      <c r="B20" s="216"/>
      <c r="C20" s="215"/>
      <c r="D20" s="215"/>
      <c r="E20" s="215"/>
      <c r="F20" s="215"/>
      <c r="G20" s="178"/>
      <c r="H20" s="178"/>
      <c r="I20" s="138"/>
      <c r="J20" s="111"/>
      <c r="K20" s="111"/>
      <c r="L20" s="22"/>
    </row>
    <row r="21" spans="1:12" ht="11.25" customHeight="1">
      <c r="A21" s="17"/>
      <c r="B21" s="216"/>
      <c r="C21" s="215"/>
      <c r="D21" s="215"/>
      <c r="E21" s="215"/>
      <c r="F21" s="215"/>
      <c r="G21" s="178"/>
      <c r="H21" s="178"/>
      <c r="I21" s="138"/>
      <c r="J21" s="111"/>
      <c r="K21" s="111"/>
      <c r="L21" s="22"/>
    </row>
    <row r="22" spans="1:12" ht="11.25" customHeight="1">
      <c r="A22" s="17"/>
      <c r="B22" s="216"/>
      <c r="C22" s="215"/>
      <c r="D22" s="215"/>
      <c r="E22" s="215"/>
      <c r="F22" s="215"/>
      <c r="G22" s="178"/>
      <c r="H22" s="178"/>
      <c r="I22" s="138"/>
      <c r="J22" s="111"/>
      <c r="K22" s="111"/>
      <c r="L22" s="22"/>
    </row>
    <row r="23" spans="1:12" ht="11.25" customHeight="1">
      <c r="A23" s="17"/>
      <c r="B23" s="216"/>
      <c r="C23" s="215"/>
      <c r="D23" s="215"/>
      <c r="E23" s="215"/>
      <c r="F23" s="215"/>
      <c r="G23" s="178"/>
      <c r="H23" s="178"/>
      <c r="I23" s="138"/>
      <c r="J23" s="111"/>
      <c r="K23" s="111"/>
      <c r="L23" s="30"/>
    </row>
    <row r="24" spans="1:12" ht="11.25" customHeight="1">
      <c r="A24" s="17"/>
      <c r="B24" s="216"/>
      <c r="C24" s="215"/>
      <c r="D24" s="215"/>
      <c r="E24" s="215"/>
      <c r="F24" s="215"/>
      <c r="G24" s="178"/>
      <c r="H24" s="178"/>
      <c r="I24" s="138"/>
      <c r="J24" s="111"/>
      <c r="K24" s="111"/>
      <c r="L24" s="22"/>
    </row>
    <row r="25" spans="1:12" ht="11.25" customHeight="1">
      <c r="A25" s="17"/>
      <c r="B25" s="216"/>
      <c r="C25" s="215"/>
      <c r="D25" s="215"/>
      <c r="E25" s="215"/>
      <c r="F25" s="215"/>
      <c r="G25" s="178"/>
      <c r="H25" s="178"/>
      <c r="I25" s="138"/>
      <c r="J25" s="111"/>
      <c r="K25" s="111"/>
      <c r="L25" s="22"/>
    </row>
    <row r="26" spans="1:12" ht="11.25" customHeight="1">
      <c r="A26" s="17"/>
      <c r="B26" s="216"/>
      <c r="C26" s="215"/>
      <c r="D26" s="215"/>
      <c r="E26" s="215"/>
      <c r="F26" s="215"/>
      <c r="G26" s="178"/>
      <c r="H26" s="178"/>
      <c r="I26" s="138"/>
      <c r="J26" s="111"/>
      <c r="K26" s="111"/>
      <c r="L26" s="22"/>
    </row>
    <row r="27" spans="1:12" ht="11.25" customHeight="1">
      <c r="A27" s="17"/>
      <c r="B27" s="216"/>
      <c r="C27" s="215"/>
      <c r="D27" s="215"/>
      <c r="E27" s="215"/>
      <c r="F27" s="215"/>
      <c r="G27" s="178"/>
      <c r="H27" s="178"/>
      <c r="I27" s="138"/>
      <c r="J27" s="111"/>
      <c r="K27" s="111"/>
      <c r="L27" s="22"/>
    </row>
    <row r="28" spans="1:12" ht="11.25" customHeight="1">
      <c r="A28" s="17"/>
      <c r="B28" s="216"/>
      <c r="C28" s="215"/>
      <c r="D28" s="215"/>
      <c r="E28" s="215"/>
      <c r="F28" s="215"/>
      <c r="G28" s="178"/>
      <c r="H28" s="178"/>
      <c r="I28" s="138"/>
      <c r="J28" s="111"/>
      <c r="K28" s="111"/>
      <c r="L28" s="22"/>
    </row>
    <row r="29" spans="1:12" ht="11.25" customHeight="1">
      <c r="A29" s="17"/>
      <c r="B29" s="216"/>
      <c r="C29" s="215"/>
      <c r="D29" s="215"/>
      <c r="E29" s="215"/>
      <c r="F29" s="215"/>
      <c r="G29" s="178"/>
      <c r="H29" s="178"/>
      <c r="I29" s="138"/>
      <c r="J29" s="111"/>
      <c r="K29" s="111"/>
      <c r="L29" s="22"/>
    </row>
    <row r="30" spans="1:12" ht="11.25" customHeight="1">
      <c r="A30" s="17"/>
      <c r="B30" s="216"/>
      <c r="C30" s="215"/>
      <c r="D30" s="215"/>
      <c r="E30" s="215"/>
      <c r="F30" s="215"/>
      <c r="G30" s="178"/>
      <c r="H30" s="178"/>
      <c r="I30" s="138"/>
      <c r="J30" s="111"/>
      <c r="K30" s="111"/>
      <c r="L30" s="22"/>
    </row>
    <row r="31" spans="1:12" ht="11.25" customHeight="1">
      <c r="A31" s="17"/>
      <c r="B31" s="216"/>
      <c r="C31" s="215"/>
      <c r="D31" s="215"/>
      <c r="E31" s="215"/>
      <c r="F31" s="215"/>
      <c r="G31" s="178"/>
      <c r="H31" s="178"/>
      <c r="I31" s="138"/>
      <c r="J31" s="111"/>
      <c r="K31" s="111"/>
      <c r="L31" s="22"/>
    </row>
    <row r="32" spans="1:12" ht="11.25" customHeight="1">
      <c r="A32" s="17"/>
      <c r="B32" s="216"/>
      <c r="C32" s="215"/>
      <c r="D32" s="215"/>
      <c r="E32" s="215"/>
      <c r="F32" s="215"/>
      <c r="G32" s="178"/>
      <c r="H32" s="178"/>
      <c r="I32" s="138"/>
      <c r="J32" s="111"/>
      <c r="K32" s="111"/>
      <c r="L32" s="22"/>
    </row>
    <row r="33" spans="1:12" ht="11.25" customHeight="1">
      <c r="A33" s="17"/>
      <c r="B33" s="216"/>
      <c r="C33" s="215"/>
      <c r="D33" s="215"/>
      <c r="E33" s="215"/>
      <c r="F33" s="215"/>
      <c r="G33" s="178"/>
      <c r="H33" s="178"/>
      <c r="I33" s="138"/>
      <c r="J33" s="111"/>
      <c r="K33" s="111"/>
      <c r="L33" s="22"/>
    </row>
    <row r="34" spans="1:12" ht="11.25" customHeight="1">
      <c r="A34" s="17"/>
      <c r="B34" s="216"/>
      <c r="C34" s="215"/>
      <c r="D34" s="215"/>
      <c r="E34" s="215"/>
      <c r="F34" s="215"/>
      <c r="G34" s="178"/>
      <c r="H34" s="178"/>
      <c r="I34" s="138"/>
      <c r="J34" s="111"/>
      <c r="K34" s="111"/>
      <c r="L34" s="22"/>
    </row>
    <row r="35" spans="1:12" ht="23.25" customHeight="1">
      <c r="A35" s="971" t="s">
        <v>407</v>
      </c>
      <c r="B35" s="971"/>
      <c r="C35" s="971"/>
      <c r="D35" s="276"/>
      <c r="E35" s="974" t="s">
        <v>408</v>
      </c>
      <c r="F35" s="974"/>
      <c r="G35" s="974"/>
      <c r="H35" s="974"/>
      <c r="I35" s="974"/>
      <c r="J35" s="974"/>
      <c r="K35" s="25"/>
      <c r="L35" s="22"/>
    </row>
    <row r="36" spans="1:12" ht="11.25" customHeight="1">
      <c r="A36" s="17"/>
      <c r="B36" s="132"/>
      <c r="C36" s="132"/>
      <c r="D36" s="132"/>
      <c r="E36" s="132"/>
      <c r="F36" s="132"/>
      <c r="G36" s="25"/>
      <c r="H36" s="25"/>
      <c r="I36" s="25"/>
      <c r="J36" s="25"/>
      <c r="K36" s="25"/>
      <c r="L36" s="22"/>
    </row>
    <row r="37" spans="1:12" ht="6.75" customHeight="1">
      <c r="A37" s="17"/>
      <c r="B37" s="132"/>
      <c r="C37" s="132"/>
      <c r="D37" s="132"/>
      <c r="E37" s="132"/>
      <c r="F37" s="132"/>
      <c r="G37" s="25"/>
      <c r="H37" s="25"/>
      <c r="I37" s="25"/>
      <c r="J37" s="25"/>
      <c r="K37" s="25"/>
      <c r="L37" s="217"/>
    </row>
    <row r="38" spans="1:12" ht="11.25" customHeight="1">
      <c r="A38" s="973" t="str">
        <f>"ENERGÍA INTERRUMPIDA APROXIMADA POR TIPO DE EQUIPO (MWh)  -  "&amp;UPPER('1. Resumen'!Q4)&amp;" "&amp;'1. Resumen'!Q5</f>
        <v>ENERGÍA INTERRUMPIDA APROXIMADA POR TIPO DE EQUIPO (MWh)  -  JUNIO 2020</v>
      </c>
      <c r="B38" s="973"/>
      <c r="C38" s="973"/>
      <c r="D38" s="973"/>
      <c r="E38" s="973"/>
      <c r="F38" s="973"/>
      <c r="G38" s="973"/>
      <c r="H38" s="973"/>
      <c r="I38" s="973"/>
      <c r="J38" s="973"/>
      <c r="K38" s="25"/>
      <c r="L38" s="217"/>
    </row>
    <row r="39" spans="1:12" ht="11.25" customHeight="1">
      <c r="A39" s="17"/>
      <c r="B39" s="132"/>
      <c r="C39" s="132"/>
      <c r="D39" s="132"/>
      <c r="E39" s="132"/>
      <c r="F39" s="132"/>
      <c r="G39" s="25"/>
      <c r="H39" s="25"/>
      <c r="I39" s="25"/>
      <c r="J39" s="25"/>
      <c r="K39" s="25"/>
      <c r="L39" s="217"/>
    </row>
    <row r="40" spans="1:12" ht="11.25" customHeight="1">
      <c r="A40" s="17"/>
      <c r="B40" s="132"/>
      <c r="C40" s="25"/>
      <c r="D40" s="25"/>
      <c r="E40" s="25"/>
      <c r="F40" s="25"/>
      <c r="G40" s="25"/>
      <c r="H40" s="25"/>
      <c r="I40" s="25"/>
      <c r="J40" s="25"/>
      <c r="K40" s="25"/>
      <c r="L40" s="217"/>
    </row>
    <row r="41" spans="1:12" ht="11.25" customHeight="1">
      <c r="A41" s="17"/>
      <c r="B41" s="132"/>
      <c r="C41" s="25"/>
      <c r="D41" s="25"/>
      <c r="E41" s="25"/>
      <c r="F41" s="25"/>
      <c r="G41" s="25"/>
      <c r="H41" s="25"/>
    </row>
    <row r="42" spans="1:12" ht="12.75">
      <c r="A42" s="17"/>
      <c r="B42" s="132"/>
      <c r="J42" s="25"/>
      <c r="K42" s="25"/>
      <c r="L42" s="217"/>
    </row>
    <row r="43" spans="1:12" ht="12.75">
      <c r="A43" s="17"/>
      <c r="B43" s="132"/>
      <c r="C43" s="132"/>
      <c r="D43" s="132"/>
      <c r="E43" s="132"/>
      <c r="F43" s="132"/>
      <c r="G43" s="25"/>
      <c r="H43" s="25"/>
      <c r="I43" s="25"/>
      <c r="J43" s="25"/>
      <c r="K43" s="25"/>
      <c r="L43" s="217"/>
    </row>
    <row r="44" spans="1:12" ht="3" customHeight="1">
      <c r="A44" s="17"/>
      <c r="B44" s="132"/>
      <c r="C44" s="132"/>
      <c r="D44" s="132"/>
      <c r="E44" s="132"/>
      <c r="F44" s="132"/>
      <c r="G44" s="25"/>
      <c r="H44" s="25"/>
      <c r="I44" s="25"/>
      <c r="J44" s="25"/>
      <c r="K44" s="25"/>
      <c r="L44" s="217"/>
    </row>
    <row r="45" spans="1:12" ht="12.75">
      <c r="A45" s="17"/>
      <c r="B45" s="132"/>
      <c r="C45" s="132"/>
      <c r="D45" s="132"/>
      <c r="E45" s="132"/>
      <c r="F45" s="132"/>
      <c r="G45" s="25"/>
      <c r="H45" s="25"/>
      <c r="I45" s="25"/>
      <c r="J45" s="25"/>
      <c r="K45" s="25"/>
      <c r="L45" s="217"/>
    </row>
    <row r="46" spans="1:12" ht="12.75">
      <c r="A46" s="17"/>
      <c r="B46" s="132"/>
      <c r="C46" s="132"/>
      <c r="D46" s="132"/>
      <c r="E46" s="132"/>
      <c r="F46" s="132"/>
      <c r="G46" s="25"/>
      <c r="H46" s="25"/>
      <c r="I46" s="25"/>
      <c r="J46" s="25"/>
      <c r="K46" s="25"/>
      <c r="L46" s="217"/>
    </row>
    <row r="47" spans="1:12" ht="12.75">
      <c r="A47" s="17"/>
      <c r="B47" s="132"/>
      <c r="C47" s="132"/>
      <c r="D47" s="132"/>
      <c r="E47" s="132"/>
      <c r="F47" s="132"/>
      <c r="G47" s="25"/>
      <c r="H47" s="25"/>
      <c r="I47" s="25"/>
      <c r="J47" s="25"/>
      <c r="K47" s="25"/>
      <c r="L47" s="217"/>
    </row>
    <row r="48" spans="1:12" ht="12.75">
      <c r="A48" s="163"/>
      <c r="B48" s="25"/>
      <c r="C48" s="25"/>
      <c r="D48" s="25"/>
      <c r="E48" s="25"/>
      <c r="F48" s="25"/>
      <c r="G48" s="25"/>
      <c r="H48" s="25"/>
      <c r="I48" s="25"/>
      <c r="J48" s="25"/>
      <c r="K48" s="25"/>
      <c r="L48" s="217"/>
    </row>
    <row r="49" spans="1:12" ht="12.75">
      <c r="A49" s="163"/>
      <c r="B49" s="25"/>
      <c r="C49" s="25"/>
      <c r="D49" s="25"/>
      <c r="E49" s="25"/>
      <c r="F49" s="25"/>
      <c r="G49" s="25"/>
      <c r="H49" s="25"/>
      <c r="I49" s="25"/>
      <c r="J49" s="25"/>
      <c r="K49" s="25"/>
      <c r="L49" s="217"/>
    </row>
    <row r="50" spans="1:12" ht="12.75">
      <c r="A50" s="163"/>
      <c r="B50" s="25"/>
      <c r="C50" s="25"/>
      <c r="D50" s="25"/>
      <c r="E50" s="25"/>
      <c r="F50" s="25"/>
      <c r="G50" s="25"/>
      <c r="H50" s="25"/>
      <c r="I50" s="25"/>
      <c r="J50" s="25"/>
      <c r="K50" s="25"/>
      <c r="L50" s="217"/>
    </row>
    <row r="51" spans="1:12" ht="12.75">
      <c r="A51" s="163"/>
      <c r="B51" s="25"/>
      <c r="C51" s="25"/>
      <c r="D51" s="25"/>
      <c r="E51" s="25"/>
      <c r="F51" s="25"/>
      <c r="G51" s="25"/>
      <c r="H51" s="25"/>
      <c r="I51" s="25"/>
      <c r="J51" s="25"/>
      <c r="K51" s="25"/>
      <c r="L51" s="217"/>
    </row>
    <row r="52" spans="1:12" ht="12.75">
      <c r="A52" s="163"/>
      <c r="B52" s="25"/>
      <c r="C52" s="25"/>
      <c r="D52" s="25"/>
      <c r="E52" s="25"/>
      <c r="F52" s="25"/>
      <c r="G52" s="25"/>
      <c r="H52" s="25"/>
      <c r="I52" s="25"/>
      <c r="J52" s="25"/>
      <c r="K52" s="25"/>
      <c r="L52" s="217"/>
    </row>
    <row r="53" spans="1:12" ht="9" customHeight="1">
      <c r="A53" s="163"/>
      <c r="B53" s="25"/>
      <c r="C53" s="25"/>
      <c r="D53" s="25"/>
      <c r="E53" s="25"/>
      <c r="F53" s="25"/>
      <c r="G53" s="25"/>
      <c r="H53" s="25"/>
      <c r="I53" s="25"/>
      <c r="J53" s="25"/>
      <c r="K53" s="25"/>
      <c r="L53" s="217"/>
    </row>
    <row r="54" spans="1:12">
      <c r="A54" s="276" t="str">
        <f>"Gráfico N°26: Comparación de la energía interrumpida aproximada por tipo de equipo en "&amp;'1. Resumen'!Q4&amp;" "&amp;'1. Resumen'!Q5</f>
        <v>Gráfico N°26: Comparación de la energía interrumpida aproximada por tipo de equipo en junio 2020</v>
      </c>
      <c r="B54" s="25"/>
      <c r="C54" s="25"/>
      <c r="D54" s="25"/>
      <c r="E54" s="25"/>
      <c r="F54" s="25"/>
      <c r="G54" s="25"/>
      <c r="H54" s="25"/>
      <c r="I54" s="25"/>
      <c r="J54" s="25"/>
      <c r="K54" s="25"/>
      <c r="L54" s="217"/>
    </row>
    <row r="55" spans="1:12" ht="5.25" customHeight="1">
      <c r="B55" s="25"/>
      <c r="C55" s="25"/>
      <c r="D55" s="25"/>
      <c r="E55" s="25"/>
      <c r="F55" s="25"/>
      <c r="G55" s="25"/>
      <c r="H55" s="25"/>
      <c r="I55" s="25"/>
      <c r="J55" s="25"/>
      <c r="K55" s="25"/>
      <c r="L55" s="217"/>
    </row>
    <row r="56" spans="1:12" ht="24" customHeight="1">
      <c r="A56" s="969" t="s">
        <v>209</v>
      </c>
      <c r="B56" s="969"/>
      <c r="C56" s="969"/>
      <c r="D56" s="969"/>
      <c r="E56" s="969"/>
      <c r="F56" s="969"/>
      <c r="G56" s="969"/>
      <c r="H56" s="969"/>
      <c r="I56" s="969"/>
      <c r="J56" s="969"/>
      <c r="K56" s="25"/>
      <c r="L56" s="217"/>
    </row>
    <row r="57" spans="1:12" ht="11.25" customHeight="1">
      <c r="A57" s="970" t="s">
        <v>210</v>
      </c>
      <c r="B57" s="970"/>
      <c r="C57" s="970"/>
      <c r="D57" s="970"/>
      <c r="E57" s="970"/>
      <c r="F57" s="970"/>
      <c r="G57" s="970"/>
      <c r="H57" s="970"/>
      <c r="I57" s="970"/>
      <c r="J57" s="970"/>
      <c r="K57" s="25"/>
      <c r="L57" s="217"/>
    </row>
    <row r="58" spans="1:12" ht="12.75">
      <c r="A58" s="163"/>
      <c r="B58" s="25"/>
      <c r="C58" s="25"/>
      <c r="D58" s="25"/>
      <c r="E58" s="25"/>
      <c r="F58" s="25"/>
      <c r="G58" s="25"/>
      <c r="H58" s="25"/>
      <c r="I58" s="25"/>
      <c r="J58" s="25"/>
      <c r="K58" s="25"/>
      <c r="L58" s="217"/>
    </row>
    <row r="59" spans="1:12" ht="12.75">
      <c r="A59" s="163"/>
      <c r="B59" s="25"/>
      <c r="C59" s="25"/>
      <c r="D59" s="25"/>
      <c r="E59" s="25"/>
      <c r="F59" s="25"/>
      <c r="G59" s="25"/>
      <c r="H59" s="25"/>
      <c r="I59" s="25"/>
      <c r="J59" s="25"/>
      <c r="K59" s="25"/>
      <c r="L59" s="217"/>
    </row>
    <row r="60" spans="1:12" ht="12.75">
      <c r="A60" s="163"/>
      <c r="B60" s="25"/>
      <c r="C60" s="25"/>
      <c r="D60" s="25"/>
      <c r="E60" s="25"/>
      <c r="F60" s="25"/>
      <c r="G60" s="25"/>
      <c r="H60" s="25"/>
      <c r="I60" s="25"/>
      <c r="J60" s="25"/>
      <c r="K60" s="25"/>
      <c r="L60" s="217"/>
    </row>
    <row r="61" spans="1:12" ht="12.75">
      <c r="A61" s="163"/>
      <c r="B61" s="25"/>
      <c r="C61" s="25"/>
      <c r="D61" s="25"/>
      <c r="E61" s="25"/>
      <c r="F61" s="25"/>
      <c r="G61" s="25"/>
      <c r="H61" s="25"/>
      <c r="I61" s="25"/>
      <c r="J61" s="25"/>
      <c r="K61" s="25"/>
      <c r="L61" s="217"/>
    </row>
    <row r="62" spans="1:12" ht="12.75">
      <c r="A62" s="163"/>
      <c r="B62" s="25"/>
      <c r="C62" s="25"/>
      <c r="D62" s="25"/>
      <c r="E62" s="25"/>
      <c r="F62" s="25"/>
      <c r="G62" s="25"/>
      <c r="H62" s="25"/>
      <c r="I62" s="25"/>
      <c r="J62" s="25"/>
      <c r="K62" s="25"/>
      <c r="L62" s="217"/>
    </row>
    <row r="63" spans="1:12" ht="12.75">
      <c r="A63" s="163"/>
      <c r="B63" s="25"/>
      <c r="C63" s="25"/>
      <c r="D63" s="25"/>
      <c r="E63" s="25"/>
      <c r="F63" s="25"/>
      <c r="G63" s="25"/>
      <c r="H63" s="25"/>
      <c r="I63" s="25"/>
      <c r="J63" s="25"/>
      <c r="K63" s="25"/>
      <c r="L63" s="217"/>
    </row>
    <row r="64" spans="1:12" ht="12.75">
      <c r="A64" s="163"/>
      <c r="B64" s="25"/>
      <c r="C64" s="25"/>
      <c r="D64" s="25"/>
      <c r="E64" s="25"/>
      <c r="F64" s="25"/>
      <c r="G64" s="25"/>
      <c r="H64" s="25"/>
      <c r="I64" s="25"/>
      <c r="J64" s="25"/>
      <c r="K64" s="25"/>
      <c r="L64" s="217"/>
    </row>
    <row r="65" spans="1:12" ht="12.75">
      <c r="A65" s="163"/>
      <c r="B65" s="25"/>
      <c r="C65" s="25"/>
      <c r="D65" s="25"/>
      <c r="E65" s="25"/>
      <c r="F65" s="25"/>
      <c r="G65" s="25"/>
      <c r="H65" s="25"/>
      <c r="I65" s="25"/>
      <c r="J65" s="25"/>
      <c r="K65" s="25"/>
      <c r="L65" s="217"/>
    </row>
    <row r="66" spans="1:12" ht="12.75">
      <c r="A66" s="163"/>
      <c r="B66" s="25"/>
      <c r="C66" s="25"/>
      <c r="D66" s="25"/>
      <c r="E66" s="25"/>
      <c r="F66" s="25"/>
      <c r="G66" s="25"/>
      <c r="H66" s="25"/>
      <c r="I66" s="25"/>
      <c r="J66" s="25"/>
      <c r="K66" s="25"/>
      <c r="L66" s="217"/>
    </row>
    <row r="67" spans="1:12" ht="12.75">
      <c r="A67" s="163"/>
      <c r="B67" s="25"/>
      <c r="C67" s="25"/>
      <c r="D67" s="25"/>
      <c r="E67" s="25"/>
      <c r="F67" s="25"/>
      <c r="G67" s="25"/>
      <c r="H67" s="25"/>
      <c r="I67" s="25"/>
      <c r="J67" s="25"/>
      <c r="K67" s="25"/>
      <c r="L67" s="217"/>
    </row>
    <row r="68" spans="1:12" ht="12.75">
      <c r="A68" s="163"/>
      <c r="B68" s="25"/>
      <c r="J68" s="25"/>
      <c r="K68" s="25"/>
      <c r="L68" s="217"/>
    </row>
    <row r="69" spans="1:12" ht="12.75">
      <c r="A69" s="163"/>
      <c r="B69" s="25"/>
      <c r="J69" s="25"/>
      <c r="K69" s="25"/>
      <c r="L69" s="217"/>
    </row>
    <row r="70" spans="1:12" ht="12.75">
      <c r="A70" s="163"/>
      <c r="B70" s="25"/>
      <c r="J70" s="25"/>
      <c r="K70" s="25"/>
      <c r="L70" s="217"/>
    </row>
    <row r="71" spans="1:12" ht="12.75">
      <c r="A71" s="163"/>
      <c r="B71" s="25"/>
      <c r="J71" s="25"/>
      <c r="K71" s="25"/>
      <c r="L71" s="217"/>
    </row>
    <row r="72" spans="1:12">
      <c r="B72" s="217"/>
      <c r="C72" s="217"/>
      <c r="D72" s="217"/>
      <c r="E72" s="217"/>
      <c r="F72" s="217"/>
      <c r="G72" s="217"/>
      <c r="H72" s="217"/>
      <c r="I72" s="217"/>
      <c r="J72" s="217"/>
      <c r="K72" s="217"/>
      <c r="L72" s="217"/>
    </row>
    <row r="73" spans="1:12">
      <c r="B73" s="217"/>
      <c r="C73" s="217"/>
      <c r="D73" s="217"/>
      <c r="E73" s="217"/>
      <c r="F73" s="217"/>
      <c r="G73" s="217"/>
      <c r="H73" s="217"/>
      <c r="I73" s="217"/>
      <c r="J73" s="217"/>
      <c r="K73" s="217"/>
      <c r="L73" s="217"/>
    </row>
    <row r="74" spans="1:12">
      <c r="B74" s="217"/>
      <c r="C74" s="217"/>
      <c r="D74" s="217"/>
      <c r="E74" s="217"/>
      <c r="F74" s="217"/>
      <c r="G74" s="217"/>
      <c r="H74" s="217"/>
      <c r="I74" s="217"/>
      <c r="J74" s="217"/>
      <c r="K74" s="217"/>
      <c r="L74" s="217"/>
    </row>
    <row r="75" spans="1:12">
      <c r="B75" s="217"/>
      <c r="C75" s="217"/>
      <c r="D75" s="217"/>
      <c r="E75" s="217"/>
      <c r="F75" s="217"/>
      <c r="G75" s="217"/>
      <c r="H75" s="217"/>
      <c r="I75" s="217"/>
      <c r="J75" s="217"/>
      <c r="K75" s="217"/>
      <c r="L75" s="217"/>
    </row>
    <row r="76" spans="1:12">
      <c r="B76" s="217"/>
      <c r="C76" s="217"/>
      <c r="D76" s="217"/>
      <c r="E76" s="217"/>
      <c r="F76" s="217"/>
      <c r="G76" s="217"/>
      <c r="H76" s="217"/>
      <c r="I76" s="217"/>
      <c r="J76" s="217"/>
      <c r="K76" s="217"/>
      <c r="L76" s="217"/>
    </row>
    <row r="77" spans="1:12">
      <c r="B77" s="217"/>
      <c r="C77" s="217"/>
      <c r="D77" s="217"/>
      <c r="E77" s="217"/>
      <c r="F77" s="217"/>
      <c r="G77" s="217"/>
      <c r="H77" s="217"/>
      <c r="I77" s="217"/>
      <c r="J77" s="217"/>
      <c r="K77" s="217"/>
      <c r="L77" s="217"/>
    </row>
    <row r="78" spans="1:12">
      <c r="B78" s="217"/>
      <c r="C78" s="217"/>
      <c r="D78" s="217"/>
      <c r="E78" s="217"/>
      <c r="F78" s="217"/>
      <c r="G78" s="217"/>
      <c r="H78" s="217"/>
      <c r="I78" s="217"/>
      <c r="J78" s="217"/>
      <c r="K78" s="217"/>
      <c r="L78" s="217"/>
    </row>
    <row r="79" spans="1:12">
      <c r="B79" s="217"/>
      <c r="C79" s="217"/>
      <c r="D79" s="217"/>
      <c r="E79" s="217"/>
      <c r="F79" s="217"/>
      <c r="G79" s="217"/>
      <c r="H79" s="217"/>
      <c r="I79" s="217"/>
      <c r="J79" s="217"/>
      <c r="K79" s="217"/>
      <c r="L79" s="217"/>
    </row>
    <row r="80" spans="1:12">
      <c r="B80" s="217"/>
      <c r="C80" s="217"/>
      <c r="D80" s="217"/>
      <c r="E80" s="217"/>
      <c r="F80" s="217"/>
      <c r="G80" s="217"/>
      <c r="H80" s="217"/>
      <c r="I80" s="217"/>
      <c r="J80" s="217"/>
      <c r="K80" s="217"/>
      <c r="L80" s="217"/>
    </row>
    <row r="81" spans="2:12">
      <c r="B81" s="217"/>
      <c r="C81" s="217"/>
      <c r="D81" s="217"/>
      <c r="E81" s="217"/>
      <c r="F81" s="217"/>
      <c r="G81" s="217"/>
      <c r="H81" s="217"/>
      <c r="I81" s="217"/>
      <c r="J81" s="217"/>
      <c r="K81" s="217"/>
      <c r="L81" s="217"/>
    </row>
    <row r="82" spans="2:12">
      <c r="B82" s="217"/>
      <c r="C82" s="217"/>
      <c r="D82" s="217"/>
      <c r="E82" s="217"/>
      <c r="F82" s="217"/>
      <c r="G82" s="217"/>
      <c r="H82" s="217"/>
      <c r="I82" s="217"/>
      <c r="J82" s="217"/>
      <c r="K82" s="217"/>
      <c r="L82" s="217"/>
    </row>
    <row r="83" spans="2:12">
      <c r="B83" s="217"/>
      <c r="C83" s="217"/>
      <c r="D83" s="217"/>
      <c r="E83" s="217"/>
      <c r="F83" s="217"/>
      <c r="G83" s="217"/>
      <c r="H83" s="217"/>
      <c r="I83" s="217"/>
      <c r="J83" s="217"/>
      <c r="K83" s="217"/>
      <c r="L83" s="217"/>
    </row>
    <row r="84" spans="2:12">
      <c r="B84" s="217"/>
      <c r="C84" s="217"/>
      <c r="D84" s="217"/>
      <c r="E84" s="217"/>
      <c r="F84" s="217"/>
      <c r="G84" s="217"/>
      <c r="H84" s="217"/>
      <c r="I84" s="217"/>
      <c r="J84" s="217"/>
      <c r="K84" s="217"/>
      <c r="L84" s="217"/>
    </row>
    <row r="85" spans="2:12">
      <c r="B85" s="217"/>
      <c r="C85" s="217"/>
      <c r="D85" s="217"/>
      <c r="E85" s="217"/>
      <c r="F85" s="217"/>
      <c r="G85" s="217"/>
      <c r="H85" s="217"/>
      <c r="I85" s="217"/>
      <c r="J85" s="217"/>
      <c r="K85" s="217"/>
      <c r="L85" s="217"/>
    </row>
    <row r="86" spans="2:12">
      <c r="B86" s="217"/>
      <c r="C86" s="217"/>
      <c r="D86" s="217"/>
      <c r="E86" s="217"/>
      <c r="F86" s="217"/>
      <c r="G86" s="217"/>
      <c r="H86" s="217"/>
      <c r="I86" s="217"/>
      <c r="J86" s="217"/>
      <c r="K86" s="217"/>
      <c r="L86" s="217"/>
    </row>
    <row r="87" spans="2:12">
      <c r="B87" s="217"/>
      <c r="C87" s="217"/>
      <c r="D87" s="217"/>
      <c r="E87" s="217"/>
      <c r="F87" s="217"/>
      <c r="G87" s="217"/>
      <c r="H87" s="217"/>
      <c r="I87" s="217"/>
      <c r="J87" s="217"/>
      <c r="K87" s="217"/>
      <c r="L87" s="217"/>
    </row>
    <row r="88" spans="2:12">
      <c r="B88" s="217"/>
      <c r="C88" s="217"/>
      <c r="D88" s="217"/>
      <c r="E88" s="217"/>
      <c r="F88" s="217"/>
      <c r="G88" s="217"/>
      <c r="H88" s="217"/>
      <c r="I88" s="217"/>
      <c r="J88" s="217"/>
      <c r="K88" s="217"/>
      <c r="L88" s="217"/>
    </row>
    <row r="89" spans="2:12">
      <c r="B89" s="217"/>
      <c r="C89" s="217"/>
      <c r="D89" s="217"/>
      <c r="E89" s="217"/>
      <c r="F89" s="217"/>
      <c r="G89" s="217"/>
      <c r="H89" s="217"/>
      <c r="I89" s="217"/>
      <c r="J89" s="217"/>
      <c r="K89" s="217"/>
      <c r="L89" s="217"/>
    </row>
    <row r="90" spans="2:12">
      <c r="B90" s="217"/>
      <c r="C90" s="217"/>
      <c r="D90" s="217"/>
      <c r="E90" s="217"/>
      <c r="F90" s="217"/>
      <c r="G90" s="217"/>
      <c r="H90" s="217"/>
      <c r="I90" s="217"/>
      <c r="J90" s="217"/>
      <c r="K90" s="217"/>
      <c r="L90" s="217"/>
    </row>
    <row r="91" spans="2:12">
      <c r="B91" s="217"/>
      <c r="C91" s="217"/>
      <c r="D91" s="217"/>
      <c r="E91" s="217"/>
      <c r="F91" s="217"/>
      <c r="G91" s="217"/>
      <c r="H91" s="217"/>
      <c r="I91" s="217"/>
      <c r="J91" s="217"/>
      <c r="K91" s="217"/>
      <c r="L91" s="217"/>
    </row>
    <row r="92" spans="2:12">
      <c r="B92" s="217"/>
      <c r="C92" s="217"/>
      <c r="D92" s="217"/>
      <c r="E92" s="217"/>
      <c r="F92" s="217"/>
      <c r="G92" s="217"/>
      <c r="H92" s="217"/>
      <c r="I92" s="217"/>
      <c r="J92" s="217"/>
      <c r="K92" s="217"/>
      <c r="L92" s="217"/>
    </row>
    <row r="93" spans="2:12">
      <c r="B93" s="217"/>
      <c r="C93" s="217"/>
      <c r="D93" s="217"/>
      <c r="E93" s="217"/>
      <c r="F93" s="217"/>
      <c r="G93" s="217"/>
      <c r="H93" s="217"/>
      <c r="I93" s="217"/>
      <c r="J93" s="217"/>
      <c r="K93" s="217"/>
      <c r="L93" s="217"/>
    </row>
    <row r="94" spans="2:12">
      <c r="B94" s="217"/>
      <c r="C94" s="217"/>
      <c r="D94" s="217"/>
      <c r="E94" s="217"/>
      <c r="F94" s="217"/>
      <c r="G94" s="217"/>
      <c r="H94" s="217"/>
      <c r="I94" s="217"/>
      <c r="J94" s="217"/>
      <c r="K94" s="217"/>
      <c r="L94" s="217"/>
    </row>
    <row r="95" spans="2:12">
      <c r="B95" s="217"/>
      <c r="C95" s="217"/>
      <c r="D95" s="217"/>
      <c r="E95" s="217"/>
      <c r="F95" s="217"/>
      <c r="G95" s="217"/>
      <c r="H95" s="217"/>
      <c r="I95" s="217"/>
      <c r="J95" s="217"/>
      <c r="K95" s="217"/>
      <c r="L95" s="217"/>
    </row>
    <row r="96" spans="2:12">
      <c r="B96" s="217"/>
      <c r="C96" s="217"/>
      <c r="D96" s="217"/>
      <c r="E96" s="217"/>
      <c r="F96" s="217"/>
      <c r="G96" s="217"/>
      <c r="H96" s="217"/>
      <c r="I96" s="217"/>
      <c r="J96" s="217"/>
      <c r="K96" s="217"/>
      <c r="L96" s="217"/>
    </row>
    <row r="97" spans="2:12">
      <c r="B97" s="217"/>
      <c r="C97" s="217"/>
      <c r="D97" s="217"/>
      <c r="E97" s="217"/>
      <c r="F97" s="217"/>
      <c r="G97" s="217"/>
      <c r="H97" s="217"/>
      <c r="I97" s="217"/>
      <c r="J97" s="217"/>
      <c r="K97" s="217"/>
      <c r="L97" s="217"/>
    </row>
    <row r="98" spans="2:12">
      <c r="B98" s="217"/>
      <c r="C98" s="217"/>
      <c r="D98" s="217"/>
      <c r="E98" s="217"/>
      <c r="F98" s="217"/>
      <c r="G98" s="217"/>
      <c r="H98" s="217"/>
      <c r="I98" s="217"/>
      <c r="J98" s="217"/>
      <c r="K98" s="217"/>
      <c r="L98" s="217"/>
    </row>
    <row r="99" spans="2:12">
      <c r="B99" s="217"/>
      <c r="C99" s="217"/>
      <c r="D99" s="217"/>
      <c r="E99" s="217"/>
      <c r="F99" s="217"/>
      <c r="G99" s="217"/>
      <c r="H99" s="217"/>
      <c r="I99" s="217"/>
      <c r="J99" s="217"/>
      <c r="K99" s="217"/>
      <c r="L99" s="217"/>
    </row>
    <row r="100" spans="2:12">
      <c r="B100" s="217"/>
      <c r="C100" s="217"/>
      <c r="D100" s="217"/>
      <c r="E100" s="217"/>
      <c r="F100" s="217"/>
      <c r="G100" s="217"/>
      <c r="H100" s="217"/>
      <c r="I100" s="217"/>
      <c r="J100" s="217"/>
      <c r="K100" s="217"/>
      <c r="L100" s="217"/>
    </row>
    <row r="101" spans="2:12">
      <c r="B101" s="217"/>
      <c r="C101" s="217"/>
      <c r="D101" s="217"/>
      <c r="E101" s="217"/>
      <c r="F101" s="217"/>
      <c r="G101" s="217"/>
      <c r="H101" s="217"/>
      <c r="I101" s="217"/>
      <c r="J101" s="217"/>
      <c r="K101" s="217"/>
      <c r="L101" s="217"/>
    </row>
    <row r="102" spans="2:12">
      <c r="B102" s="217"/>
      <c r="C102" s="217"/>
      <c r="D102" s="217"/>
      <c r="E102" s="217"/>
      <c r="F102" s="217"/>
      <c r="G102" s="217"/>
      <c r="H102" s="217"/>
      <c r="I102" s="217"/>
      <c r="J102" s="217"/>
      <c r="K102" s="217"/>
      <c r="L102" s="217"/>
    </row>
    <row r="103" spans="2:12">
      <c r="B103" s="217"/>
      <c r="C103" s="217"/>
      <c r="D103" s="217"/>
      <c r="E103" s="217"/>
      <c r="F103" s="217"/>
      <c r="G103" s="217"/>
      <c r="H103" s="217"/>
      <c r="I103" s="217"/>
      <c r="J103" s="217"/>
      <c r="K103" s="217"/>
      <c r="L103" s="217"/>
    </row>
    <row r="104" spans="2:12">
      <c r="B104" s="217"/>
      <c r="C104" s="217"/>
      <c r="D104" s="217"/>
      <c r="E104" s="217"/>
      <c r="F104" s="217"/>
      <c r="G104" s="217"/>
      <c r="H104" s="217"/>
      <c r="I104" s="217"/>
      <c r="J104" s="217"/>
      <c r="K104" s="217"/>
      <c r="L104" s="217"/>
    </row>
    <row r="105" spans="2:12">
      <c r="B105" s="217"/>
      <c r="C105" s="217"/>
      <c r="D105" s="217"/>
      <c r="E105" s="217"/>
      <c r="F105" s="217"/>
      <c r="G105" s="217"/>
      <c r="H105" s="217"/>
      <c r="I105" s="217"/>
      <c r="J105" s="217"/>
      <c r="K105" s="217"/>
      <c r="L105" s="217"/>
    </row>
    <row r="106" spans="2:12">
      <c r="B106" s="217"/>
      <c r="C106" s="217"/>
      <c r="D106" s="217"/>
      <c r="E106" s="217"/>
      <c r="F106" s="217"/>
      <c r="G106" s="217"/>
      <c r="H106" s="217"/>
      <c r="I106" s="217"/>
      <c r="J106" s="217"/>
      <c r="K106" s="217"/>
      <c r="L106" s="217"/>
    </row>
    <row r="107" spans="2:12">
      <c r="B107" s="217"/>
      <c r="C107" s="217"/>
      <c r="D107" s="217"/>
      <c r="E107" s="217"/>
      <c r="F107" s="217"/>
      <c r="G107" s="217"/>
      <c r="H107" s="217"/>
      <c r="I107" s="217"/>
      <c r="J107" s="217"/>
      <c r="K107" s="217"/>
      <c r="L107" s="217"/>
    </row>
    <row r="108" spans="2:12">
      <c r="B108" s="217"/>
      <c r="C108" s="217"/>
      <c r="D108" s="217"/>
      <c r="E108" s="217"/>
      <c r="F108" s="217"/>
      <c r="G108" s="217"/>
      <c r="H108" s="217"/>
      <c r="I108" s="217"/>
      <c r="J108" s="217"/>
      <c r="K108" s="217"/>
      <c r="L108" s="217"/>
    </row>
    <row r="109" spans="2:12">
      <c r="B109" s="217"/>
      <c r="C109" s="217"/>
      <c r="D109" s="217"/>
      <c r="E109" s="217"/>
      <c r="F109" s="217"/>
      <c r="G109" s="217"/>
      <c r="H109" s="217"/>
      <c r="I109" s="217"/>
      <c r="J109" s="217"/>
      <c r="K109" s="217"/>
      <c r="L109" s="217"/>
    </row>
    <row r="110" spans="2:12">
      <c r="B110" s="217"/>
      <c r="C110" s="217"/>
      <c r="D110" s="217"/>
      <c r="E110" s="217"/>
      <c r="F110" s="217"/>
      <c r="G110" s="217"/>
      <c r="H110" s="217"/>
      <c r="I110" s="217"/>
      <c r="J110" s="217"/>
      <c r="K110" s="217"/>
      <c r="L110" s="217"/>
    </row>
    <row r="111" spans="2:12">
      <c r="B111" s="217"/>
      <c r="C111" s="217"/>
      <c r="D111" s="217"/>
      <c r="E111" s="217"/>
      <c r="F111" s="217"/>
      <c r="G111" s="217"/>
      <c r="H111" s="217"/>
      <c r="I111" s="217"/>
      <c r="J111" s="217"/>
      <c r="K111" s="217"/>
      <c r="L111" s="217"/>
    </row>
    <row r="112" spans="2:12">
      <c r="B112" s="217"/>
      <c r="C112" s="217"/>
      <c r="D112" s="217"/>
      <c r="E112" s="217"/>
      <c r="F112" s="217"/>
      <c r="G112" s="217"/>
      <c r="H112" s="217"/>
      <c r="I112" s="217"/>
      <c r="J112" s="217"/>
      <c r="K112" s="217"/>
      <c r="L112" s="217"/>
    </row>
    <row r="113" spans="2:12">
      <c r="B113" s="217"/>
      <c r="C113" s="217"/>
      <c r="D113" s="217"/>
      <c r="E113" s="217"/>
      <c r="F113" s="217"/>
      <c r="G113" s="217"/>
      <c r="H113" s="217"/>
      <c r="I113" s="217"/>
      <c r="J113" s="217"/>
      <c r="K113" s="217"/>
      <c r="L113" s="217"/>
    </row>
    <row r="114" spans="2:12">
      <c r="B114" s="217"/>
      <c r="C114" s="217"/>
      <c r="D114" s="217"/>
      <c r="E114" s="217"/>
      <c r="F114" s="217"/>
      <c r="G114" s="217"/>
      <c r="H114" s="217"/>
      <c r="I114" s="217"/>
      <c r="J114" s="217"/>
      <c r="K114" s="217"/>
      <c r="L114" s="217"/>
    </row>
    <row r="115" spans="2:12">
      <c r="B115" s="217"/>
      <c r="C115" s="217"/>
      <c r="D115" s="217"/>
      <c r="E115" s="217"/>
      <c r="F115" s="217"/>
      <c r="G115" s="217"/>
      <c r="H115" s="217"/>
      <c r="I115" s="217"/>
      <c r="J115" s="217"/>
      <c r="K115" s="217"/>
      <c r="L115" s="217"/>
    </row>
    <row r="116" spans="2:12">
      <c r="B116" s="217"/>
      <c r="C116" s="217"/>
      <c r="D116" s="217"/>
      <c r="E116" s="217"/>
      <c r="F116" s="217"/>
      <c r="G116" s="217"/>
      <c r="H116" s="217"/>
      <c r="I116" s="217"/>
      <c r="J116" s="217"/>
      <c r="K116" s="217"/>
      <c r="L116" s="217"/>
    </row>
    <row r="117" spans="2:12">
      <c r="B117" s="217"/>
      <c r="C117" s="217"/>
      <c r="D117" s="217"/>
      <c r="E117" s="217"/>
      <c r="F117" s="217"/>
      <c r="G117" s="217"/>
      <c r="H117" s="217"/>
      <c r="I117" s="217"/>
      <c r="J117" s="217"/>
      <c r="K117" s="217"/>
      <c r="L117" s="217"/>
    </row>
    <row r="118" spans="2:12">
      <c r="B118" s="217"/>
      <c r="C118" s="217"/>
      <c r="D118" s="217"/>
      <c r="E118" s="217"/>
      <c r="F118" s="217"/>
      <c r="G118" s="217"/>
      <c r="H118" s="217"/>
      <c r="I118" s="217"/>
      <c r="J118" s="217"/>
      <c r="K118" s="217"/>
      <c r="L118" s="217"/>
    </row>
    <row r="119" spans="2:12">
      <c r="B119" s="217"/>
      <c r="C119" s="217"/>
      <c r="D119" s="217"/>
      <c r="E119" s="217"/>
      <c r="F119" s="217"/>
      <c r="G119" s="217"/>
      <c r="H119" s="217"/>
      <c r="I119" s="217"/>
      <c r="J119" s="217"/>
      <c r="K119" s="217"/>
      <c r="L119" s="217"/>
    </row>
    <row r="120" spans="2:12">
      <c r="B120" s="217"/>
      <c r="C120" s="217"/>
      <c r="D120" s="217"/>
      <c r="E120" s="217"/>
      <c r="F120" s="217"/>
      <c r="G120" s="217"/>
      <c r="H120" s="217"/>
      <c r="I120" s="217"/>
      <c r="J120" s="217"/>
      <c r="K120" s="217"/>
      <c r="L120" s="217"/>
    </row>
    <row r="121" spans="2:12">
      <c r="B121" s="217"/>
      <c r="C121" s="217"/>
      <c r="D121" s="217"/>
      <c r="E121" s="217"/>
      <c r="F121" s="217"/>
      <c r="G121" s="217"/>
      <c r="H121" s="217"/>
      <c r="I121" s="217"/>
      <c r="J121" s="217"/>
      <c r="K121" s="217"/>
      <c r="L121" s="217"/>
    </row>
    <row r="122" spans="2:12">
      <c r="B122" s="217"/>
      <c r="C122" s="217"/>
      <c r="D122" s="217"/>
      <c r="E122" s="217"/>
      <c r="F122" s="217"/>
      <c r="G122" s="217"/>
      <c r="H122" s="217"/>
      <c r="I122" s="217"/>
      <c r="J122" s="217"/>
      <c r="K122" s="217"/>
      <c r="L122" s="217"/>
    </row>
    <row r="123" spans="2:12">
      <c r="B123" s="217"/>
      <c r="C123" s="217"/>
      <c r="D123" s="217"/>
      <c r="E123" s="217"/>
      <c r="F123" s="217"/>
      <c r="G123" s="217"/>
      <c r="H123" s="217"/>
      <c r="I123" s="217"/>
      <c r="J123" s="217"/>
      <c r="K123" s="217"/>
      <c r="L123" s="217"/>
    </row>
    <row r="124" spans="2:12">
      <c r="B124" s="217"/>
      <c r="C124" s="217"/>
      <c r="D124" s="217"/>
      <c r="E124" s="217"/>
      <c r="F124" s="217"/>
      <c r="G124" s="217"/>
      <c r="H124" s="217"/>
      <c r="I124" s="217"/>
      <c r="J124" s="217"/>
      <c r="K124" s="217"/>
      <c r="L124" s="217"/>
    </row>
    <row r="125" spans="2:12">
      <c r="B125" s="217"/>
      <c r="C125" s="217"/>
      <c r="D125" s="217"/>
      <c r="E125" s="217"/>
      <c r="F125" s="217"/>
      <c r="G125" s="217"/>
      <c r="H125" s="217"/>
      <c r="I125" s="217"/>
      <c r="J125" s="217"/>
      <c r="K125" s="217"/>
      <c r="L125" s="217"/>
    </row>
    <row r="126" spans="2:12">
      <c r="B126" s="217"/>
      <c r="C126" s="217"/>
      <c r="D126" s="217"/>
      <c r="E126" s="217"/>
      <c r="F126" s="217"/>
      <c r="G126" s="217"/>
      <c r="H126" s="217"/>
      <c r="I126" s="217"/>
      <c r="J126" s="217"/>
      <c r="K126" s="217"/>
      <c r="L126" s="217"/>
    </row>
    <row r="127" spans="2:12">
      <c r="B127" s="217"/>
      <c r="C127" s="217"/>
      <c r="D127" s="217"/>
      <c r="E127" s="217"/>
      <c r="F127" s="217"/>
      <c r="G127" s="217"/>
      <c r="H127" s="217"/>
      <c r="I127" s="217"/>
      <c r="J127" s="217"/>
      <c r="K127" s="217"/>
      <c r="L127" s="217"/>
    </row>
    <row r="128" spans="2:12">
      <c r="B128" s="217"/>
      <c r="C128" s="217"/>
      <c r="D128" s="217"/>
      <c r="E128" s="217"/>
      <c r="F128" s="217"/>
      <c r="G128" s="217"/>
      <c r="H128" s="217"/>
      <c r="I128" s="217"/>
      <c r="J128" s="217"/>
      <c r="K128" s="217"/>
      <c r="L128" s="217"/>
    </row>
    <row r="129" spans="2:12">
      <c r="B129" s="217"/>
      <c r="C129" s="217"/>
      <c r="D129" s="217"/>
      <c r="E129" s="217"/>
      <c r="F129" s="217"/>
      <c r="G129" s="217"/>
      <c r="H129" s="217"/>
      <c r="I129" s="217"/>
      <c r="J129" s="217"/>
      <c r="K129" s="217"/>
      <c r="L129" s="217"/>
    </row>
    <row r="130" spans="2:12">
      <c r="B130" s="217"/>
      <c r="C130" s="217"/>
      <c r="D130" s="217"/>
      <c r="E130" s="217"/>
      <c r="F130" s="217"/>
      <c r="G130" s="217"/>
      <c r="H130" s="217"/>
      <c r="I130" s="217"/>
      <c r="J130" s="217"/>
      <c r="K130" s="217"/>
      <c r="L130" s="217"/>
    </row>
    <row r="131" spans="2:12">
      <c r="B131" s="217"/>
      <c r="C131" s="217"/>
      <c r="D131" s="217"/>
      <c r="E131" s="217"/>
      <c r="F131" s="217"/>
      <c r="G131" s="217"/>
      <c r="H131" s="217"/>
      <c r="I131" s="217"/>
      <c r="J131" s="217"/>
      <c r="K131" s="217"/>
      <c r="L131" s="217"/>
    </row>
    <row r="132" spans="2:12">
      <c r="B132" s="217"/>
      <c r="C132" s="217"/>
      <c r="D132" s="217"/>
      <c r="E132" s="217"/>
      <c r="F132" s="217"/>
      <c r="G132" s="217"/>
      <c r="H132" s="217"/>
      <c r="I132" s="217"/>
      <c r="J132" s="217"/>
      <c r="K132" s="217"/>
      <c r="L132" s="217"/>
    </row>
    <row r="133" spans="2:12">
      <c r="B133" s="217"/>
      <c r="C133" s="217"/>
      <c r="D133" s="217"/>
      <c r="E133" s="217"/>
      <c r="F133" s="217"/>
      <c r="G133" s="217"/>
      <c r="H133" s="217"/>
      <c r="I133" s="217"/>
      <c r="J133" s="217"/>
      <c r="K133" s="217"/>
      <c r="L133" s="217"/>
    </row>
    <row r="134" spans="2:12">
      <c r="B134" s="217"/>
      <c r="C134" s="217"/>
      <c r="D134" s="217"/>
      <c r="E134" s="217"/>
      <c r="F134" s="217"/>
      <c r="G134" s="217"/>
      <c r="H134" s="217"/>
      <c r="I134" s="217"/>
      <c r="J134" s="217"/>
      <c r="K134" s="217"/>
      <c r="L134" s="217"/>
    </row>
    <row r="135" spans="2:12">
      <c r="B135" s="217"/>
      <c r="C135" s="217"/>
      <c r="D135" s="217"/>
      <c r="E135" s="217"/>
      <c r="F135" s="217"/>
      <c r="G135" s="217"/>
      <c r="H135" s="217"/>
      <c r="I135" s="217"/>
      <c r="J135" s="217"/>
      <c r="K135" s="217"/>
      <c r="L135" s="217"/>
    </row>
    <row r="136" spans="2:12">
      <c r="B136" s="217"/>
      <c r="C136" s="217"/>
      <c r="D136" s="217"/>
      <c r="E136" s="217"/>
      <c r="F136" s="217"/>
      <c r="G136" s="217"/>
      <c r="H136" s="217"/>
      <c r="I136" s="217"/>
      <c r="J136" s="217"/>
      <c r="K136" s="217"/>
      <c r="L136" s="217"/>
    </row>
    <row r="137" spans="2:12">
      <c r="B137" s="217"/>
      <c r="C137" s="217"/>
      <c r="D137" s="217"/>
      <c r="E137" s="217"/>
      <c r="F137" s="217"/>
      <c r="G137" s="217"/>
      <c r="H137" s="217"/>
      <c r="I137" s="217"/>
      <c r="J137" s="217"/>
      <c r="K137" s="217"/>
      <c r="L137" s="217"/>
    </row>
    <row r="138" spans="2:12">
      <c r="B138" s="217"/>
      <c r="C138" s="217"/>
      <c r="D138" s="217"/>
      <c r="E138" s="217"/>
      <c r="F138" s="217"/>
      <c r="G138" s="217"/>
      <c r="H138" s="217"/>
      <c r="I138" s="217"/>
      <c r="J138" s="217"/>
      <c r="K138" s="217"/>
      <c r="L138" s="217"/>
    </row>
    <row r="139" spans="2:12">
      <c r="B139" s="217"/>
      <c r="C139" s="217"/>
      <c r="D139" s="217"/>
      <c r="E139" s="217"/>
      <c r="F139" s="217"/>
      <c r="G139" s="217"/>
      <c r="H139" s="217"/>
      <c r="I139" s="217"/>
      <c r="J139" s="217"/>
      <c r="K139" s="217"/>
      <c r="L139" s="217"/>
    </row>
    <row r="140" spans="2:12">
      <c r="B140" s="217"/>
      <c r="C140" s="217"/>
      <c r="D140" s="217"/>
      <c r="E140" s="217"/>
      <c r="F140" s="217"/>
      <c r="G140" s="217"/>
      <c r="H140" s="217"/>
      <c r="I140" s="217"/>
      <c r="J140" s="217"/>
      <c r="K140" s="217"/>
      <c r="L140" s="217"/>
    </row>
    <row r="141" spans="2:12">
      <c r="B141" s="217"/>
      <c r="C141" s="217"/>
      <c r="D141" s="217"/>
      <c r="E141" s="217"/>
      <c r="F141" s="217"/>
      <c r="G141" s="217"/>
      <c r="H141" s="217"/>
      <c r="I141" s="217"/>
      <c r="J141" s="217"/>
      <c r="K141" s="217"/>
      <c r="L141" s="217"/>
    </row>
    <row r="142" spans="2:12">
      <c r="B142" s="217"/>
      <c r="C142" s="217"/>
      <c r="D142" s="217"/>
      <c r="E142" s="217"/>
      <c r="F142" s="217"/>
      <c r="G142" s="217"/>
      <c r="H142" s="217"/>
      <c r="I142" s="217"/>
      <c r="J142" s="217"/>
      <c r="K142" s="217"/>
      <c r="L142" s="217"/>
    </row>
    <row r="143" spans="2:12">
      <c r="B143" s="217"/>
      <c r="C143" s="217"/>
      <c r="D143" s="217"/>
      <c r="E143" s="217"/>
      <c r="F143" s="217"/>
      <c r="G143" s="217"/>
      <c r="H143" s="217"/>
      <c r="I143" s="217"/>
      <c r="J143" s="217"/>
      <c r="K143" s="217"/>
      <c r="L143" s="217"/>
    </row>
    <row r="144" spans="2:12">
      <c r="B144" s="217"/>
      <c r="C144" s="217"/>
      <c r="D144" s="217"/>
      <c r="E144" s="217"/>
      <c r="F144" s="217"/>
      <c r="G144" s="217"/>
      <c r="H144" s="217"/>
      <c r="I144" s="217"/>
      <c r="J144" s="217"/>
      <c r="K144" s="217"/>
      <c r="L144" s="217"/>
    </row>
    <row r="145" spans="2:12">
      <c r="B145" s="217"/>
      <c r="C145" s="217"/>
      <c r="D145" s="217"/>
      <c r="E145" s="217"/>
      <c r="F145" s="217"/>
      <c r="G145" s="217"/>
      <c r="H145" s="217"/>
      <c r="I145" s="217"/>
      <c r="J145" s="217"/>
      <c r="K145" s="217"/>
      <c r="L145" s="217"/>
    </row>
    <row r="146" spans="2:12">
      <c r="B146" s="217"/>
      <c r="C146" s="217"/>
      <c r="D146" s="217"/>
      <c r="E146" s="217"/>
      <c r="F146" s="217"/>
      <c r="G146" s="217"/>
      <c r="H146" s="217"/>
      <c r="I146" s="217"/>
      <c r="J146" s="217"/>
      <c r="K146" s="217"/>
      <c r="L146" s="217"/>
    </row>
    <row r="147" spans="2:12">
      <c r="B147" s="217"/>
      <c r="C147" s="217"/>
      <c r="D147" s="217"/>
      <c r="E147" s="217"/>
      <c r="F147" s="217"/>
      <c r="G147" s="217"/>
      <c r="H147" s="217"/>
      <c r="I147" s="217"/>
      <c r="J147" s="217"/>
      <c r="K147" s="217"/>
      <c r="L147" s="217"/>
    </row>
    <row r="148" spans="2:12">
      <c r="B148" s="217"/>
      <c r="C148" s="217"/>
      <c r="D148" s="217"/>
      <c r="E148" s="217"/>
      <c r="F148" s="217"/>
      <c r="G148" s="217"/>
      <c r="H148" s="217"/>
      <c r="I148" s="217"/>
      <c r="J148" s="217"/>
      <c r="K148" s="217"/>
      <c r="L148" s="217"/>
    </row>
    <row r="149" spans="2:12">
      <c r="B149" s="217"/>
      <c r="C149" s="217"/>
      <c r="D149" s="217"/>
      <c r="E149" s="217"/>
      <c r="F149" s="217"/>
      <c r="G149" s="217"/>
      <c r="H149" s="217"/>
      <c r="I149" s="217"/>
      <c r="J149" s="217"/>
      <c r="K149" s="217"/>
      <c r="L149" s="217"/>
    </row>
    <row r="150" spans="2:12">
      <c r="B150" s="217"/>
      <c r="C150" s="217"/>
      <c r="D150" s="217"/>
      <c r="E150" s="217"/>
      <c r="F150" s="217"/>
      <c r="G150" s="217"/>
      <c r="H150" s="217"/>
      <c r="I150" s="217"/>
      <c r="J150" s="217"/>
      <c r="K150" s="217"/>
      <c r="L150" s="217"/>
    </row>
    <row r="151" spans="2:12">
      <c r="B151" s="217"/>
      <c r="C151" s="217"/>
      <c r="D151" s="217"/>
      <c r="E151" s="217"/>
      <c r="F151" s="217"/>
      <c r="G151" s="217"/>
      <c r="H151" s="217"/>
      <c r="I151" s="217"/>
      <c r="J151" s="217"/>
      <c r="K151" s="217"/>
      <c r="L151" s="217"/>
    </row>
    <row r="152" spans="2:12">
      <c r="B152" s="217"/>
      <c r="C152" s="217"/>
      <c r="D152" s="217"/>
      <c r="E152" s="217"/>
      <c r="F152" s="217"/>
      <c r="G152" s="217"/>
      <c r="H152" s="217"/>
      <c r="I152" s="217"/>
      <c r="J152" s="217"/>
      <c r="K152" s="217"/>
      <c r="L152" s="217"/>
    </row>
    <row r="153" spans="2:12">
      <c r="B153" s="217"/>
      <c r="C153" s="217"/>
      <c r="D153" s="217"/>
      <c r="E153" s="217"/>
      <c r="F153" s="217"/>
      <c r="G153" s="217"/>
      <c r="H153" s="217"/>
      <c r="I153" s="217"/>
      <c r="J153" s="217"/>
      <c r="K153" s="217"/>
      <c r="L153" s="217"/>
    </row>
    <row r="154" spans="2:12">
      <c r="B154" s="217"/>
      <c r="C154" s="217"/>
      <c r="D154" s="217"/>
      <c r="E154" s="217"/>
      <c r="F154" s="217"/>
      <c r="G154" s="217"/>
      <c r="H154" s="217"/>
      <c r="I154" s="217"/>
      <c r="J154" s="217"/>
      <c r="K154" s="217"/>
      <c r="L154" s="217"/>
    </row>
    <row r="155" spans="2:12">
      <c r="B155" s="217"/>
      <c r="C155" s="217"/>
      <c r="D155" s="217"/>
      <c r="E155" s="217"/>
      <c r="F155" s="217"/>
      <c r="G155" s="217"/>
      <c r="H155" s="217"/>
      <c r="I155" s="217"/>
      <c r="J155" s="217"/>
      <c r="K155" s="217"/>
      <c r="L155" s="217"/>
    </row>
    <row r="156" spans="2:12">
      <c r="B156" s="217"/>
      <c r="C156" s="217"/>
      <c r="D156" s="217"/>
      <c r="E156" s="217"/>
      <c r="F156" s="217"/>
      <c r="G156" s="217"/>
      <c r="H156" s="217"/>
      <c r="I156" s="217"/>
      <c r="J156" s="217"/>
      <c r="K156" s="217"/>
      <c r="L156" s="217"/>
    </row>
    <row r="157" spans="2:12">
      <c r="B157" s="217"/>
      <c r="C157" s="217"/>
      <c r="D157" s="217"/>
      <c r="E157" s="217"/>
      <c r="F157" s="217"/>
      <c r="G157" s="217"/>
      <c r="H157" s="217"/>
      <c r="I157" s="217"/>
      <c r="J157" s="217"/>
      <c r="K157" s="217"/>
      <c r="L157" s="217"/>
    </row>
    <row r="158" spans="2:12">
      <c r="B158" s="217"/>
      <c r="C158" s="217"/>
      <c r="D158" s="217"/>
      <c r="E158" s="217"/>
      <c r="F158" s="217"/>
      <c r="G158" s="217"/>
      <c r="H158" s="217"/>
      <c r="I158" s="217"/>
      <c r="J158" s="217"/>
      <c r="K158" s="217"/>
      <c r="L158" s="217"/>
    </row>
    <row r="159" spans="2:12">
      <c r="B159" s="217"/>
      <c r="C159" s="217"/>
      <c r="D159" s="217"/>
      <c r="E159" s="217"/>
      <c r="F159" s="217"/>
      <c r="G159" s="217"/>
      <c r="H159" s="217"/>
      <c r="I159" s="217"/>
      <c r="J159" s="217"/>
      <c r="K159" s="217"/>
      <c r="L159" s="217"/>
    </row>
    <row r="160" spans="2:12">
      <c r="B160" s="217"/>
      <c r="C160" s="217"/>
      <c r="D160" s="217"/>
      <c r="E160" s="217"/>
      <c r="F160" s="217"/>
      <c r="G160" s="217"/>
      <c r="H160" s="217"/>
      <c r="I160" s="217"/>
      <c r="J160" s="217"/>
      <c r="K160" s="217"/>
      <c r="L160" s="217"/>
    </row>
    <row r="161" spans="2:12">
      <c r="B161" s="217"/>
      <c r="C161" s="217"/>
      <c r="D161" s="217"/>
      <c r="E161" s="217"/>
      <c r="F161" s="217"/>
      <c r="G161" s="217"/>
      <c r="H161" s="217"/>
      <c r="I161" s="217"/>
      <c r="J161" s="217"/>
      <c r="K161" s="217"/>
      <c r="L161" s="217"/>
    </row>
    <row r="162" spans="2:12">
      <c r="B162" s="217"/>
      <c r="C162" s="217"/>
      <c r="D162" s="217"/>
      <c r="E162" s="217"/>
      <c r="F162" s="217"/>
      <c r="G162" s="217"/>
      <c r="H162" s="217"/>
      <c r="I162" s="217"/>
      <c r="J162" s="217"/>
      <c r="K162" s="217"/>
      <c r="L162" s="217"/>
    </row>
    <row r="163" spans="2:12">
      <c r="B163" s="217"/>
      <c r="C163" s="217"/>
      <c r="D163" s="217"/>
      <c r="E163" s="217"/>
      <c r="F163" s="217"/>
      <c r="G163" s="217"/>
      <c r="H163" s="217"/>
      <c r="I163" s="217"/>
      <c r="J163" s="217"/>
      <c r="K163" s="217"/>
      <c r="L163" s="217"/>
    </row>
    <row r="164" spans="2:12">
      <c r="B164" s="217"/>
      <c r="C164" s="217"/>
      <c r="D164" s="217"/>
      <c r="E164" s="217"/>
      <c r="F164" s="217"/>
      <c r="G164" s="217"/>
      <c r="H164" s="217"/>
      <c r="I164" s="217"/>
      <c r="J164" s="217"/>
      <c r="K164" s="217"/>
      <c r="L164" s="217"/>
    </row>
    <row r="165" spans="2:12">
      <c r="B165" s="217"/>
      <c r="C165" s="217"/>
      <c r="D165" s="217"/>
      <c r="E165" s="217"/>
      <c r="F165" s="217"/>
      <c r="G165" s="217"/>
      <c r="H165" s="217"/>
      <c r="I165" s="217"/>
      <c r="J165" s="217"/>
      <c r="K165" s="217"/>
      <c r="L165" s="217"/>
    </row>
    <row r="166" spans="2:12">
      <c r="B166" s="217"/>
      <c r="C166" s="217"/>
      <c r="D166" s="217"/>
      <c r="E166" s="217"/>
      <c r="F166" s="217"/>
      <c r="G166" s="217"/>
      <c r="H166" s="217"/>
      <c r="I166" s="217"/>
      <c r="J166" s="217"/>
      <c r="K166" s="217"/>
      <c r="L166" s="217"/>
    </row>
    <row r="167" spans="2:12">
      <c r="B167" s="217"/>
      <c r="C167" s="217"/>
      <c r="D167" s="217"/>
      <c r="E167" s="217"/>
      <c r="F167" s="217"/>
      <c r="G167" s="217"/>
      <c r="H167" s="217"/>
      <c r="I167" s="217"/>
      <c r="J167" s="217"/>
      <c r="K167" s="217"/>
      <c r="L167" s="217"/>
    </row>
    <row r="168" spans="2:12">
      <c r="B168" s="217"/>
      <c r="C168" s="217"/>
      <c r="D168" s="217"/>
      <c r="E168" s="217"/>
      <c r="F168" s="217"/>
      <c r="G168" s="217"/>
      <c r="H168" s="217"/>
      <c r="I168" s="217"/>
      <c r="J168" s="217"/>
      <c r="K168" s="217"/>
      <c r="L168" s="217"/>
    </row>
    <row r="169" spans="2:12">
      <c r="B169" s="217"/>
      <c r="C169" s="217"/>
      <c r="D169" s="217"/>
      <c r="E169" s="217"/>
      <c r="F169" s="217"/>
      <c r="G169" s="217"/>
      <c r="H169" s="217"/>
      <c r="I169" s="217"/>
      <c r="J169" s="217"/>
      <c r="K169" s="217"/>
      <c r="L169" s="217"/>
    </row>
    <row r="170" spans="2:12">
      <c r="B170" s="217"/>
      <c r="C170" s="217"/>
      <c r="D170" s="217"/>
      <c r="E170" s="217"/>
      <c r="F170" s="217"/>
      <c r="G170" s="217"/>
      <c r="H170" s="217"/>
      <c r="I170" s="217"/>
      <c r="J170" s="217"/>
      <c r="K170" s="217"/>
      <c r="L170" s="217"/>
    </row>
    <row r="171" spans="2:12">
      <c r="B171" s="217"/>
      <c r="C171" s="217"/>
      <c r="D171" s="217"/>
      <c r="E171" s="217"/>
      <c r="F171" s="217"/>
      <c r="G171" s="217"/>
      <c r="H171" s="217"/>
      <c r="I171" s="217"/>
      <c r="J171" s="217"/>
      <c r="K171" s="217"/>
      <c r="L171" s="217"/>
    </row>
    <row r="172" spans="2:12">
      <c r="B172" s="217"/>
      <c r="C172" s="217"/>
      <c r="D172" s="217"/>
      <c r="E172" s="217"/>
      <c r="F172" s="217"/>
      <c r="G172" s="217"/>
      <c r="H172" s="217"/>
      <c r="I172" s="217"/>
      <c r="J172" s="217"/>
      <c r="K172" s="217"/>
      <c r="L172" s="217"/>
    </row>
    <row r="173" spans="2:12">
      <c r="B173" s="217"/>
      <c r="C173" s="217"/>
      <c r="D173" s="217"/>
      <c r="E173" s="217"/>
      <c r="F173" s="217"/>
      <c r="G173" s="217"/>
      <c r="H173" s="217"/>
      <c r="I173" s="217"/>
      <c r="J173" s="217"/>
      <c r="K173" s="217"/>
      <c r="L173" s="217"/>
    </row>
    <row r="174" spans="2:12">
      <c r="B174" s="217"/>
      <c r="C174" s="217"/>
      <c r="D174" s="217"/>
      <c r="E174" s="217"/>
      <c r="F174" s="217"/>
      <c r="G174" s="217"/>
      <c r="H174" s="217"/>
      <c r="I174" s="217"/>
      <c r="J174" s="217"/>
      <c r="K174" s="217"/>
      <c r="L174" s="217"/>
    </row>
    <row r="175" spans="2:12">
      <c r="B175" s="217"/>
      <c r="C175" s="217"/>
      <c r="D175" s="217"/>
      <c r="E175" s="217"/>
      <c r="F175" s="217"/>
      <c r="G175" s="217"/>
      <c r="H175" s="217"/>
      <c r="I175" s="217"/>
      <c r="J175" s="217"/>
      <c r="K175" s="217"/>
      <c r="L175" s="217"/>
    </row>
    <row r="176" spans="2:12">
      <c r="B176" s="217"/>
      <c r="C176" s="217"/>
      <c r="D176" s="217"/>
      <c r="E176" s="217"/>
      <c r="F176" s="217"/>
      <c r="G176" s="217"/>
      <c r="H176" s="217"/>
      <c r="I176" s="217"/>
      <c r="J176" s="217"/>
      <c r="K176" s="217"/>
      <c r="L176" s="217"/>
    </row>
    <row r="177" spans="2:12">
      <c r="B177" s="217"/>
      <c r="C177" s="217"/>
      <c r="D177" s="217"/>
      <c r="E177" s="217"/>
      <c r="F177" s="217"/>
      <c r="G177" s="217"/>
      <c r="H177" s="217"/>
      <c r="I177" s="217"/>
      <c r="J177" s="217"/>
      <c r="K177" s="217"/>
      <c r="L177" s="217"/>
    </row>
    <row r="178" spans="2:12">
      <c r="B178" s="217"/>
      <c r="C178" s="217"/>
      <c r="D178" s="217"/>
      <c r="E178" s="217"/>
      <c r="F178" s="217"/>
      <c r="G178" s="217"/>
      <c r="H178" s="217"/>
      <c r="I178" s="217"/>
      <c r="J178" s="217"/>
      <c r="K178" s="217"/>
      <c r="L178" s="217"/>
    </row>
    <row r="179" spans="2:12">
      <c r="B179" s="217"/>
      <c r="C179" s="217"/>
      <c r="D179" s="217"/>
      <c r="E179" s="217"/>
      <c r="F179" s="217"/>
      <c r="G179" s="217"/>
      <c r="H179" s="217"/>
      <c r="I179" s="217"/>
      <c r="J179" s="217"/>
      <c r="K179" s="217"/>
      <c r="L179" s="217"/>
    </row>
    <row r="180" spans="2:12">
      <c r="B180" s="217"/>
      <c r="C180" s="217"/>
      <c r="D180" s="217"/>
      <c r="E180" s="217"/>
      <c r="F180" s="217"/>
      <c r="G180" s="217"/>
      <c r="H180" s="217"/>
      <c r="I180" s="217"/>
      <c r="J180" s="217"/>
      <c r="K180" s="217"/>
      <c r="L180" s="217"/>
    </row>
    <row r="181" spans="2:12">
      <c r="B181" s="217"/>
      <c r="C181" s="217"/>
      <c r="D181" s="217"/>
      <c r="E181" s="217"/>
      <c r="F181" s="217"/>
      <c r="G181" s="217"/>
      <c r="H181" s="217"/>
      <c r="I181" s="217"/>
      <c r="J181" s="217"/>
      <c r="K181" s="217"/>
      <c r="L181" s="217"/>
    </row>
    <row r="182" spans="2:12">
      <c r="B182" s="217"/>
      <c r="C182" s="217"/>
      <c r="D182" s="217"/>
      <c r="E182" s="217"/>
      <c r="F182" s="217"/>
      <c r="G182" s="217"/>
      <c r="H182" s="217"/>
      <c r="I182" s="217"/>
      <c r="J182" s="217"/>
      <c r="K182" s="217"/>
      <c r="L182" s="217"/>
    </row>
    <row r="183" spans="2:12">
      <c r="B183" s="217"/>
      <c r="C183" s="217"/>
      <c r="D183" s="217"/>
      <c r="E183" s="217"/>
      <c r="F183" s="217"/>
      <c r="G183" s="217"/>
      <c r="H183" s="217"/>
      <c r="I183" s="217"/>
      <c r="J183" s="217"/>
      <c r="K183" s="217"/>
      <c r="L183" s="217"/>
    </row>
    <row r="184" spans="2:12">
      <c r="B184" s="217"/>
      <c r="C184" s="217"/>
      <c r="D184" s="217"/>
      <c r="E184" s="217"/>
      <c r="F184" s="217"/>
      <c r="G184" s="217"/>
      <c r="H184" s="217"/>
      <c r="I184" s="217"/>
      <c r="J184" s="217"/>
      <c r="K184" s="217"/>
      <c r="L184" s="217"/>
    </row>
    <row r="185" spans="2:12">
      <c r="B185" s="217"/>
      <c r="C185" s="217"/>
      <c r="D185" s="217"/>
      <c r="E185" s="217"/>
      <c r="F185" s="217"/>
      <c r="G185" s="217"/>
      <c r="H185" s="217"/>
      <c r="I185" s="217"/>
      <c r="J185" s="217"/>
      <c r="K185" s="217"/>
      <c r="L185" s="217"/>
    </row>
    <row r="186" spans="2:12">
      <c r="B186" s="217"/>
      <c r="C186" s="217"/>
      <c r="D186" s="217"/>
      <c r="E186" s="217"/>
      <c r="F186" s="217"/>
      <c r="G186" s="217"/>
      <c r="H186" s="217"/>
      <c r="I186" s="217"/>
      <c r="J186" s="217"/>
      <c r="K186" s="217"/>
      <c r="L186" s="217"/>
    </row>
    <row r="187" spans="2:12">
      <c r="B187" s="217"/>
      <c r="C187" s="217"/>
      <c r="D187" s="217"/>
      <c r="E187" s="217"/>
      <c r="F187" s="217"/>
      <c r="G187" s="217"/>
      <c r="H187" s="217"/>
      <c r="I187" s="217"/>
      <c r="J187" s="217"/>
      <c r="K187" s="217"/>
      <c r="L187" s="217"/>
    </row>
    <row r="188" spans="2:12">
      <c r="B188" s="217"/>
      <c r="C188" s="217"/>
      <c r="D188" s="217"/>
      <c r="E188" s="217"/>
      <c r="F188" s="217"/>
      <c r="G188" s="217"/>
      <c r="H188" s="217"/>
      <c r="I188" s="217"/>
      <c r="J188" s="217"/>
      <c r="K188" s="217"/>
      <c r="L188" s="217"/>
    </row>
    <row r="189" spans="2:12">
      <c r="B189" s="217"/>
      <c r="C189" s="217"/>
      <c r="D189" s="217"/>
      <c r="E189" s="217"/>
      <c r="F189" s="217"/>
      <c r="G189" s="217"/>
      <c r="H189" s="217"/>
      <c r="I189" s="217"/>
      <c r="J189" s="217"/>
      <c r="K189" s="217"/>
      <c r="L189" s="217"/>
    </row>
    <row r="190" spans="2:12">
      <c r="B190" s="217"/>
      <c r="C190" s="217"/>
      <c r="D190" s="217"/>
      <c r="E190" s="217"/>
      <c r="F190" s="217"/>
      <c r="G190" s="217"/>
      <c r="H190" s="217"/>
      <c r="I190" s="217"/>
      <c r="J190" s="217"/>
      <c r="K190" s="217"/>
      <c r="L190" s="217"/>
    </row>
    <row r="191" spans="2:12">
      <c r="B191" s="217"/>
      <c r="C191" s="217"/>
      <c r="D191" s="217"/>
      <c r="E191" s="217"/>
      <c r="F191" s="217"/>
      <c r="G191" s="217"/>
      <c r="H191" s="217"/>
      <c r="I191" s="217"/>
      <c r="J191" s="217"/>
      <c r="K191" s="217"/>
      <c r="L191" s="217"/>
    </row>
    <row r="192" spans="2:12">
      <c r="B192" s="217"/>
      <c r="C192" s="217"/>
      <c r="D192" s="217"/>
      <c r="E192" s="217"/>
      <c r="F192" s="217"/>
      <c r="G192" s="217"/>
      <c r="H192" s="217"/>
      <c r="I192" s="217"/>
      <c r="J192" s="217"/>
      <c r="K192" s="217"/>
      <c r="L192" s="217"/>
    </row>
    <row r="193" spans="2:12">
      <c r="B193" s="217"/>
      <c r="C193" s="217"/>
      <c r="D193" s="217"/>
      <c r="E193" s="217"/>
      <c r="F193" s="217"/>
      <c r="G193" s="217"/>
      <c r="H193" s="217"/>
      <c r="I193" s="217"/>
      <c r="J193" s="217"/>
      <c r="K193" s="217"/>
      <c r="L193" s="217"/>
    </row>
    <row r="194" spans="2:12">
      <c r="B194" s="217"/>
      <c r="C194" s="217"/>
      <c r="D194" s="217"/>
      <c r="E194" s="217"/>
      <c r="F194" s="217"/>
      <c r="G194" s="217"/>
      <c r="H194" s="217"/>
      <c r="I194" s="217"/>
      <c r="J194" s="217"/>
      <c r="K194" s="217"/>
      <c r="L194" s="217"/>
    </row>
    <row r="195" spans="2:12">
      <c r="B195" s="217"/>
      <c r="C195" s="217"/>
      <c r="D195" s="217"/>
      <c r="E195" s="217"/>
      <c r="F195" s="217"/>
      <c r="G195" s="217"/>
      <c r="H195" s="217"/>
      <c r="I195" s="217"/>
      <c r="J195" s="217"/>
      <c r="K195" s="217"/>
      <c r="L195" s="217"/>
    </row>
    <row r="196" spans="2:12">
      <c r="B196" s="217"/>
      <c r="C196" s="217"/>
      <c r="D196" s="217"/>
      <c r="E196" s="217"/>
      <c r="F196" s="217"/>
      <c r="G196" s="217"/>
      <c r="H196" s="217"/>
      <c r="I196" s="217"/>
      <c r="J196" s="217"/>
      <c r="K196" s="217"/>
      <c r="L196" s="217"/>
    </row>
    <row r="197" spans="2:12">
      <c r="B197" s="217"/>
      <c r="C197" s="217"/>
      <c r="D197" s="217"/>
      <c r="E197" s="217"/>
      <c r="F197" s="217"/>
      <c r="G197" s="217"/>
      <c r="H197" s="217"/>
      <c r="I197" s="217"/>
      <c r="J197" s="217"/>
      <c r="K197" s="217"/>
      <c r="L197" s="217"/>
    </row>
    <row r="198" spans="2:12">
      <c r="B198" s="217"/>
      <c r="C198" s="217"/>
      <c r="D198" s="217"/>
      <c r="E198" s="217"/>
      <c r="F198" s="217"/>
      <c r="G198" s="217"/>
      <c r="H198" s="217"/>
      <c r="I198" s="217"/>
      <c r="J198" s="217"/>
      <c r="K198" s="217"/>
      <c r="L198" s="217"/>
    </row>
    <row r="199" spans="2:12">
      <c r="B199" s="217"/>
      <c r="C199" s="217"/>
      <c r="D199" s="217"/>
      <c r="E199" s="217"/>
      <c r="F199" s="217"/>
      <c r="G199" s="217"/>
      <c r="H199" s="217"/>
      <c r="I199" s="217"/>
      <c r="J199" s="217"/>
      <c r="K199" s="217"/>
      <c r="L199" s="217"/>
    </row>
    <row r="200" spans="2:12">
      <c r="B200" s="217"/>
      <c r="C200" s="217"/>
      <c r="D200" s="217"/>
      <c r="E200" s="217"/>
      <c r="F200" s="217"/>
      <c r="G200" s="217"/>
      <c r="H200" s="217"/>
      <c r="I200" s="217"/>
      <c r="J200" s="217"/>
      <c r="K200" s="217"/>
      <c r="L200" s="217"/>
    </row>
    <row r="201" spans="2:12">
      <c r="B201" s="217"/>
      <c r="C201" s="217"/>
      <c r="D201" s="217"/>
      <c r="E201" s="217"/>
      <c r="F201" s="217"/>
      <c r="G201" s="217"/>
      <c r="H201" s="217"/>
      <c r="I201" s="217"/>
      <c r="J201" s="217"/>
      <c r="K201" s="217"/>
      <c r="L201" s="217"/>
    </row>
    <row r="202" spans="2:12">
      <c r="B202" s="217"/>
      <c r="C202" s="217"/>
      <c r="D202" s="217"/>
      <c r="E202" s="217"/>
      <c r="F202" s="217"/>
      <c r="G202" s="217"/>
      <c r="H202" s="217"/>
      <c r="I202" s="217"/>
      <c r="J202" s="217"/>
      <c r="K202" s="217"/>
      <c r="L202" s="217"/>
    </row>
    <row r="203" spans="2:12">
      <c r="B203" s="217"/>
      <c r="C203" s="217"/>
      <c r="D203" s="217"/>
      <c r="E203" s="217"/>
      <c r="F203" s="217"/>
      <c r="G203" s="217"/>
      <c r="H203" s="217"/>
      <c r="I203" s="217"/>
      <c r="J203" s="217"/>
      <c r="K203" s="217"/>
      <c r="L203" s="217"/>
    </row>
    <row r="204" spans="2:12">
      <c r="B204" s="217"/>
      <c r="C204" s="217"/>
      <c r="D204" s="217"/>
      <c r="E204" s="217"/>
      <c r="F204" s="217"/>
      <c r="G204" s="217"/>
      <c r="H204" s="217"/>
      <c r="I204" s="217"/>
      <c r="J204" s="217"/>
      <c r="K204" s="217"/>
      <c r="L204" s="217"/>
    </row>
    <row r="205" spans="2:12">
      <c r="B205" s="217"/>
      <c r="C205" s="217"/>
      <c r="D205" s="217"/>
      <c r="E205" s="217"/>
      <c r="F205" s="217"/>
      <c r="G205" s="217"/>
      <c r="H205" s="217"/>
      <c r="I205" s="217"/>
      <c r="J205" s="217"/>
      <c r="K205" s="217"/>
      <c r="L205" s="217"/>
    </row>
    <row r="206" spans="2:12">
      <c r="B206" s="217"/>
      <c r="C206" s="217"/>
      <c r="D206" s="217"/>
      <c r="E206" s="217"/>
      <c r="F206" s="217"/>
      <c r="G206" s="217"/>
      <c r="H206" s="217"/>
      <c r="I206" s="217"/>
      <c r="J206" s="217"/>
      <c r="K206" s="217"/>
      <c r="L206" s="217"/>
    </row>
    <row r="207" spans="2:12">
      <c r="B207" s="217"/>
      <c r="C207" s="217"/>
      <c r="D207" s="217"/>
      <c r="E207" s="217"/>
      <c r="F207" s="217"/>
      <c r="G207" s="217"/>
      <c r="H207" s="217"/>
      <c r="I207" s="217"/>
      <c r="J207" s="217"/>
      <c r="K207" s="217"/>
      <c r="L207" s="217"/>
    </row>
    <row r="208" spans="2:12">
      <c r="B208" s="217"/>
      <c r="C208" s="217"/>
      <c r="D208" s="217"/>
      <c r="E208" s="217"/>
      <c r="F208" s="217"/>
      <c r="G208" s="217"/>
      <c r="H208" s="217"/>
      <c r="I208" s="217"/>
      <c r="J208" s="217"/>
      <c r="K208" s="217"/>
      <c r="L208" s="217"/>
    </row>
    <row r="209" spans="2:12">
      <c r="B209" s="217"/>
      <c r="C209" s="217"/>
      <c r="D209" s="217"/>
      <c r="E209" s="217"/>
      <c r="F209" s="217"/>
      <c r="G209" s="217"/>
      <c r="H209" s="217"/>
      <c r="I209" s="217"/>
      <c r="J209" s="217"/>
      <c r="K209" s="217"/>
      <c r="L209" s="217"/>
    </row>
    <row r="210" spans="2:12">
      <c r="B210" s="217"/>
      <c r="C210" s="217"/>
      <c r="D210" s="217"/>
      <c r="E210" s="217"/>
      <c r="F210" s="217"/>
      <c r="G210" s="217"/>
      <c r="H210" s="217"/>
      <c r="I210" s="217"/>
      <c r="J210" s="217"/>
      <c r="K210" s="217"/>
      <c r="L210" s="217"/>
    </row>
    <row r="211" spans="2:12">
      <c r="B211" s="217"/>
      <c r="C211" s="217"/>
      <c r="D211" s="217"/>
      <c r="E211" s="217"/>
      <c r="F211" s="217"/>
      <c r="G211" s="217"/>
      <c r="H211" s="217"/>
      <c r="I211" s="217"/>
      <c r="J211" s="217"/>
      <c r="K211" s="217"/>
      <c r="L211" s="217"/>
    </row>
    <row r="212" spans="2:12">
      <c r="B212" s="217"/>
      <c r="C212" s="217"/>
      <c r="D212" s="217"/>
      <c r="E212" s="217"/>
      <c r="F212" s="217"/>
      <c r="G212" s="217"/>
      <c r="H212" s="217"/>
      <c r="I212" s="217"/>
      <c r="J212" s="217"/>
      <c r="K212" s="217"/>
      <c r="L212" s="217"/>
    </row>
    <row r="213" spans="2:12">
      <c r="B213" s="217"/>
      <c r="C213" s="217"/>
      <c r="D213" s="217"/>
      <c r="E213" s="217"/>
      <c r="F213" s="217"/>
      <c r="G213" s="217"/>
      <c r="H213" s="217"/>
      <c r="I213" s="217"/>
      <c r="J213" s="217"/>
      <c r="K213" s="217"/>
      <c r="L213" s="217"/>
    </row>
    <row r="214" spans="2:12">
      <c r="B214" s="217"/>
      <c r="C214" s="217"/>
      <c r="D214" s="217"/>
      <c r="E214" s="217"/>
      <c r="F214" s="217"/>
      <c r="G214" s="217"/>
      <c r="H214" s="217"/>
      <c r="I214" s="217"/>
      <c r="J214" s="217"/>
      <c r="K214" s="217"/>
      <c r="L214" s="217"/>
    </row>
    <row r="215" spans="2:12">
      <c r="B215" s="217"/>
      <c r="C215" s="217"/>
      <c r="D215" s="217"/>
      <c r="E215" s="217"/>
      <c r="F215" s="217"/>
      <c r="G215" s="217"/>
      <c r="H215" s="217"/>
      <c r="I215" s="217"/>
      <c r="J215" s="217"/>
      <c r="K215" s="217"/>
      <c r="L215" s="217"/>
    </row>
    <row r="216" spans="2:12">
      <c r="B216" s="217"/>
      <c r="C216" s="217"/>
      <c r="D216" s="217"/>
      <c r="E216" s="217"/>
      <c r="F216" s="217"/>
      <c r="G216" s="217"/>
      <c r="H216" s="217"/>
      <c r="I216" s="217"/>
      <c r="J216" s="217"/>
      <c r="K216" s="217"/>
      <c r="L216" s="217"/>
    </row>
    <row r="217" spans="2:12">
      <c r="B217" s="217"/>
      <c r="C217" s="217"/>
      <c r="D217" s="217"/>
      <c r="E217" s="217"/>
      <c r="F217" s="217"/>
      <c r="G217" s="217"/>
      <c r="H217" s="217"/>
      <c r="I217" s="217"/>
      <c r="J217" s="217"/>
      <c r="K217" s="217"/>
      <c r="L217" s="217"/>
    </row>
    <row r="218" spans="2:12">
      <c r="B218" s="217"/>
      <c r="C218" s="217"/>
      <c r="D218" s="217"/>
      <c r="E218" s="217"/>
      <c r="F218" s="217"/>
      <c r="G218" s="217"/>
      <c r="H218" s="217"/>
      <c r="I218" s="217"/>
      <c r="J218" s="217"/>
      <c r="K218" s="217"/>
      <c r="L218" s="217"/>
    </row>
    <row r="219" spans="2:12">
      <c r="B219" s="217"/>
      <c r="C219" s="217"/>
      <c r="D219" s="217"/>
      <c r="E219" s="217"/>
      <c r="F219" s="217"/>
      <c r="G219" s="217"/>
      <c r="H219" s="217"/>
      <c r="I219" s="217"/>
      <c r="J219" s="217"/>
      <c r="K219" s="217"/>
      <c r="L219" s="217"/>
    </row>
    <row r="220" spans="2:12">
      <c r="B220" s="217"/>
      <c r="C220" s="217"/>
      <c r="D220" s="217"/>
      <c r="E220" s="217"/>
      <c r="F220" s="217"/>
      <c r="G220" s="217"/>
      <c r="H220" s="217"/>
      <c r="I220" s="217"/>
      <c r="J220" s="217"/>
      <c r="K220" s="217"/>
      <c r="L220" s="217"/>
    </row>
    <row r="221" spans="2:12">
      <c r="B221" s="217"/>
      <c r="C221" s="217"/>
      <c r="D221" s="217"/>
      <c r="E221" s="217"/>
      <c r="F221" s="217"/>
      <c r="G221" s="217"/>
      <c r="H221" s="217"/>
      <c r="I221" s="217"/>
      <c r="J221" s="217"/>
      <c r="K221" s="217"/>
      <c r="L221" s="217"/>
    </row>
    <row r="222" spans="2:12">
      <c r="B222" s="217"/>
      <c r="C222" s="217"/>
      <c r="D222" s="217"/>
      <c r="E222" s="217"/>
      <c r="F222" s="217"/>
      <c r="G222" s="217"/>
      <c r="H222" s="217"/>
      <c r="I222" s="217"/>
      <c r="J222" s="217"/>
      <c r="K222" s="217"/>
      <c r="L222" s="217"/>
    </row>
    <row r="223" spans="2:12">
      <c r="B223" s="217"/>
      <c r="C223" s="217"/>
      <c r="D223" s="217"/>
      <c r="E223" s="217"/>
      <c r="F223" s="217"/>
      <c r="G223" s="217"/>
      <c r="H223" s="217"/>
      <c r="I223" s="217"/>
      <c r="J223" s="217"/>
      <c r="K223" s="217"/>
      <c r="L223" s="217"/>
    </row>
    <row r="224" spans="2:12">
      <c r="B224" s="217"/>
      <c r="C224" s="217"/>
      <c r="D224" s="217"/>
      <c r="E224" s="217"/>
      <c r="F224" s="217"/>
      <c r="G224" s="217"/>
      <c r="H224" s="217"/>
      <c r="I224" s="217"/>
      <c r="J224" s="217"/>
      <c r="K224" s="217"/>
      <c r="L224" s="217"/>
    </row>
    <row r="225" spans="2:12">
      <c r="B225" s="217"/>
      <c r="C225" s="217"/>
      <c r="D225" s="217"/>
      <c r="E225" s="217"/>
      <c r="F225" s="217"/>
      <c r="G225" s="217"/>
      <c r="H225" s="217"/>
      <c r="I225" s="217"/>
      <c r="J225" s="217"/>
      <c r="K225" s="217"/>
      <c r="L225" s="217"/>
    </row>
    <row r="226" spans="2:12">
      <c r="B226" s="217"/>
      <c r="C226" s="217"/>
      <c r="D226" s="217"/>
      <c r="E226" s="217"/>
      <c r="F226" s="217"/>
      <c r="G226" s="217"/>
      <c r="H226" s="217"/>
      <c r="I226" s="217"/>
      <c r="J226" s="217"/>
      <c r="K226" s="217"/>
      <c r="L226" s="217"/>
    </row>
    <row r="227" spans="2:12">
      <c r="B227" s="217"/>
      <c r="C227" s="217"/>
      <c r="D227" s="217"/>
      <c r="E227" s="217"/>
      <c r="F227" s="217"/>
      <c r="G227" s="217"/>
      <c r="H227" s="217"/>
      <c r="I227" s="217"/>
      <c r="J227" s="217"/>
      <c r="K227" s="217"/>
      <c r="L227" s="217"/>
    </row>
    <row r="228" spans="2:12">
      <c r="B228" s="217"/>
      <c r="C228" s="217"/>
      <c r="D228" s="217"/>
      <c r="E228" s="217"/>
      <c r="F228" s="217"/>
      <c r="G228" s="217"/>
      <c r="H228" s="217"/>
      <c r="I228" s="217"/>
      <c r="J228" s="217"/>
      <c r="K228" s="217"/>
      <c r="L228" s="217"/>
    </row>
    <row r="229" spans="2:12">
      <c r="B229" s="217"/>
      <c r="C229" s="217"/>
      <c r="D229" s="217"/>
      <c r="E229" s="217"/>
      <c r="F229" s="217"/>
      <c r="G229" s="217"/>
      <c r="H229" s="217"/>
      <c r="I229" s="217"/>
      <c r="J229" s="217"/>
      <c r="K229" s="217"/>
      <c r="L229" s="217"/>
    </row>
    <row r="230" spans="2:12">
      <c r="B230" s="217"/>
      <c r="C230" s="217"/>
      <c r="D230" s="217"/>
      <c r="E230" s="217"/>
      <c r="F230" s="217"/>
      <c r="G230" s="217"/>
      <c r="H230" s="217"/>
      <c r="I230" s="217"/>
      <c r="J230" s="217"/>
      <c r="K230" s="217"/>
      <c r="L230" s="217"/>
    </row>
    <row r="231" spans="2:12">
      <c r="B231" s="217"/>
      <c r="C231" s="217"/>
      <c r="D231" s="217"/>
      <c r="E231" s="217"/>
      <c r="F231" s="217"/>
      <c r="G231" s="217"/>
      <c r="H231" s="217"/>
      <c r="I231" s="217"/>
      <c r="J231" s="217"/>
      <c r="K231" s="217"/>
      <c r="L231" s="217"/>
    </row>
    <row r="232" spans="2:12">
      <c r="B232" s="217"/>
      <c r="C232" s="217"/>
      <c r="D232" s="217"/>
      <c r="E232" s="217"/>
      <c r="F232" s="217"/>
      <c r="G232" s="217"/>
      <c r="H232" s="217"/>
      <c r="I232" s="217"/>
      <c r="J232" s="217"/>
      <c r="K232" s="217"/>
      <c r="L232" s="217"/>
    </row>
    <row r="233" spans="2:12">
      <c r="B233" s="217"/>
      <c r="C233" s="217"/>
      <c r="D233" s="217"/>
      <c r="E233" s="217"/>
      <c r="F233" s="217"/>
      <c r="G233" s="217"/>
      <c r="H233" s="217"/>
      <c r="I233" s="217"/>
      <c r="J233" s="217"/>
      <c r="K233" s="217"/>
      <c r="L233" s="217"/>
    </row>
    <row r="234" spans="2:12">
      <c r="B234" s="217"/>
      <c r="C234" s="217"/>
      <c r="D234" s="217"/>
      <c r="E234" s="217"/>
      <c r="F234" s="217"/>
      <c r="G234" s="217"/>
      <c r="H234" s="217"/>
      <c r="I234" s="217"/>
      <c r="J234" s="217"/>
      <c r="K234" s="217"/>
      <c r="L234" s="217"/>
    </row>
    <row r="235" spans="2:12">
      <c r="B235" s="217"/>
      <c r="C235" s="217"/>
      <c r="D235" s="217"/>
      <c r="E235" s="217"/>
      <c r="F235" s="217"/>
      <c r="G235" s="217"/>
      <c r="H235" s="217"/>
      <c r="I235" s="217"/>
      <c r="J235" s="217"/>
      <c r="K235" s="217"/>
      <c r="L235" s="217"/>
    </row>
    <row r="236" spans="2:12">
      <c r="B236" s="217"/>
      <c r="C236" s="217"/>
      <c r="D236" s="217"/>
      <c r="E236" s="217"/>
      <c r="F236" s="217"/>
      <c r="G236" s="217"/>
      <c r="H236" s="217"/>
      <c r="I236" s="217"/>
      <c r="J236" s="217"/>
      <c r="K236" s="217"/>
      <c r="L236" s="217"/>
    </row>
    <row r="237" spans="2:12">
      <c r="B237" s="217"/>
      <c r="C237" s="217"/>
      <c r="D237" s="217"/>
      <c r="E237" s="217"/>
      <c r="F237" s="217"/>
      <c r="G237" s="217"/>
      <c r="H237" s="217"/>
      <c r="I237" s="217"/>
      <c r="J237" s="217"/>
      <c r="K237" s="217"/>
      <c r="L237" s="217"/>
    </row>
    <row r="238" spans="2:12">
      <c r="B238" s="217"/>
      <c r="C238" s="217"/>
      <c r="D238" s="217"/>
      <c r="E238" s="217"/>
      <c r="F238" s="217"/>
      <c r="G238" s="217"/>
      <c r="H238" s="217"/>
      <c r="I238" s="217"/>
      <c r="J238" s="217"/>
      <c r="K238" s="217"/>
      <c r="L238" s="217"/>
    </row>
    <row r="239" spans="2:12">
      <c r="B239" s="217"/>
      <c r="C239" s="217"/>
      <c r="D239" s="217"/>
      <c r="E239" s="217"/>
      <c r="F239" s="217"/>
      <c r="G239" s="217"/>
      <c r="H239" s="217"/>
      <c r="I239" s="217"/>
      <c r="J239" s="217"/>
      <c r="K239" s="217"/>
      <c r="L239" s="217"/>
    </row>
    <row r="240" spans="2:12">
      <c r="B240" s="217"/>
      <c r="C240" s="217"/>
      <c r="D240" s="217"/>
      <c r="E240" s="217"/>
      <c r="F240" s="217"/>
      <c r="G240" s="217"/>
      <c r="H240" s="217"/>
      <c r="I240" s="217"/>
      <c r="J240" s="217"/>
      <c r="K240" s="217"/>
      <c r="L240" s="217"/>
    </row>
    <row r="241" spans="2:12">
      <c r="B241" s="217"/>
      <c r="C241" s="217"/>
      <c r="D241" s="217"/>
      <c r="E241" s="217"/>
      <c r="F241" s="217"/>
      <c r="G241" s="217"/>
      <c r="H241" s="217"/>
      <c r="I241" s="217"/>
      <c r="J241" s="217"/>
      <c r="K241" s="217"/>
      <c r="L241" s="217"/>
    </row>
    <row r="242" spans="2:12">
      <c r="B242" s="217"/>
      <c r="C242" s="217"/>
      <c r="D242" s="217"/>
      <c r="E242" s="217"/>
      <c r="F242" s="217"/>
      <c r="G242" s="217"/>
      <c r="H242" s="217"/>
      <c r="I242" s="217"/>
      <c r="J242" s="217"/>
      <c r="K242" s="217"/>
      <c r="L242" s="217"/>
    </row>
    <row r="243" spans="2:12">
      <c r="B243" s="217"/>
      <c r="C243" s="217"/>
      <c r="D243" s="217"/>
      <c r="E243" s="217"/>
      <c r="F243" s="217"/>
      <c r="G243" s="217"/>
      <c r="H243" s="217"/>
      <c r="I243" s="217"/>
      <c r="J243" s="217"/>
      <c r="K243" s="217"/>
      <c r="L243" s="217"/>
    </row>
    <row r="244" spans="2:12">
      <c r="B244" s="217"/>
      <c r="C244" s="217"/>
      <c r="D244" s="217"/>
      <c r="E244" s="217"/>
      <c r="F244" s="217"/>
      <c r="G244" s="217"/>
      <c r="H244" s="217"/>
      <c r="I244" s="217"/>
      <c r="J244" s="217"/>
      <c r="K244" s="217"/>
      <c r="L244" s="217"/>
    </row>
    <row r="245" spans="2:12">
      <c r="B245" s="217"/>
      <c r="C245" s="217"/>
      <c r="D245" s="217"/>
      <c r="E245" s="217"/>
      <c r="F245" s="217"/>
      <c r="G245" s="217"/>
      <c r="H245" s="217"/>
      <c r="I245" s="217"/>
      <c r="J245" s="217"/>
      <c r="K245" s="217"/>
      <c r="L245" s="217"/>
    </row>
    <row r="246" spans="2:12">
      <c r="B246" s="217"/>
      <c r="C246" s="217"/>
      <c r="D246" s="217"/>
      <c r="E246" s="217"/>
      <c r="F246" s="217"/>
      <c r="G246" s="217"/>
      <c r="H246" s="217"/>
      <c r="I246" s="217"/>
      <c r="J246" s="217"/>
      <c r="K246" s="217"/>
      <c r="L246" s="217"/>
    </row>
    <row r="247" spans="2:12">
      <c r="B247" s="217"/>
      <c r="C247" s="217"/>
      <c r="D247" s="217"/>
      <c r="E247" s="217"/>
      <c r="F247" s="217"/>
      <c r="G247" s="217"/>
      <c r="H247" s="217"/>
      <c r="I247" s="217"/>
      <c r="J247" s="217"/>
      <c r="K247" s="217"/>
      <c r="L247" s="217"/>
    </row>
    <row r="248" spans="2:12">
      <c r="B248" s="217"/>
      <c r="C248" s="217"/>
      <c r="D248" s="217"/>
      <c r="E248" s="217"/>
      <c r="F248" s="217"/>
      <c r="G248" s="217"/>
      <c r="H248" s="217"/>
      <c r="I248" s="217"/>
      <c r="J248" s="217"/>
      <c r="K248" s="217"/>
      <c r="L248" s="217"/>
    </row>
    <row r="249" spans="2:12">
      <c r="B249" s="217"/>
      <c r="C249" s="217"/>
      <c r="D249" s="217"/>
      <c r="E249" s="217"/>
      <c r="F249" s="217"/>
      <c r="G249" s="217"/>
      <c r="H249" s="217"/>
      <c r="I249" s="217"/>
      <c r="J249" s="217"/>
      <c r="K249" s="217"/>
      <c r="L249" s="217"/>
    </row>
    <row r="250" spans="2:12">
      <c r="B250" s="217"/>
      <c r="C250" s="217"/>
      <c r="D250" s="217"/>
      <c r="E250" s="217"/>
      <c r="F250" s="217"/>
      <c r="G250" s="217"/>
      <c r="H250" s="217"/>
      <c r="I250" s="217"/>
      <c r="J250" s="217"/>
      <c r="K250" s="217"/>
      <c r="L250" s="217"/>
    </row>
    <row r="251" spans="2:12">
      <c r="B251" s="217"/>
      <c r="C251" s="217"/>
      <c r="D251" s="217"/>
      <c r="E251" s="217"/>
      <c r="F251" s="217"/>
      <c r="G251" s="217"/>
      <c r="H251" s="217"/>
      <c r="I251" s="217"/>
      <c r="J251" s="217"/>
      <c r="K251" s="217"/>
      <c r="L251" s="217"/>
    </row>
  </sheetData>
  <mergeCells count="11">
    <mergeCell ref="A57:J57"/>
    <mergeCell ref="A35:C35"/>
    <mergeCell ref="A17:D17"/>
    <mergeCell ref="E17:J17"/>
    <mergeCell ref="A38:J38"/>
    <mergeCell ref="E35:J35"/>
    <mergeCell ref="A5:A6"/>
    <mergeCell ref="A2:J2"/>
    <mergeCell ref="A4:J4"/>
    <mergeCell ref="A14:J14"/>
    <mergeCell ref="A56:J56"/>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zoomScalePageLayoutView="130" workbookViewId="0">
      <selection activeCell="N65" sqref="N65"/>
    </sheetView>
  </sheetViews>
  <sheetFormatPr defaultColWidth="9.33203125" defaultRowHeight="11.25"/>
  <cols>
    <col min="8" max="10" width="11.1640625" customWidth="1"/>
    <col min="11" max="11" width="12.5" customWidth="1"/>
    <col min="12" max="12" width="9.33203125" customWidth="1"/>
  </cols>
  <sheetData>
    <row r="3" spans="1:12">
      <c r="A3" s="874" t="s">
        <v>0</v>
      </c>
      <c r="B3" s="874"/>
      <c r="C3" s="874"/>
      <c r="D3" s="874"/>
      <c r="E3" s="874"/>
      <c r="F3" s="874"/>
      <c r="G3" s="874"/>
      <c r="H3" s="874"/>
      <c r="I3" s="874"/>
      <c r="J3" s="874"/>
      <c r="K3" s="874"/>
      <c r="L3" s="874"/>
    </row>
    <row r="4" spans="1:12">
      <c r="A4" s="874"/>
      <c r="B4" s="874"/>
      <c r="C4" s="874"/>
      <c r="D4" s="874"/>
      <c r="E4" s="874"/>
      <c r="F4" s="874"/>
      <c r="G4" s="874"/>
      <c r="H4" s="874"/>
      <c r="I4" s="874"/>
      <c r="J4" s="874"/>
      <c r="K4" s="874"/>
      <c r="L4" s="874"/>
    </row>
    <row r="5" spans="1:12" ht="12">
      <c r="A5" s="3"/>
      <c r="B5" s="218"/>
      <c r="C5" s="2"/>
      <c r="D5" s="2"/>
      <c r="E5" s="37"/>
      <c r="F5" s="2"/>
      <c r="G5" s="2"/>
      <c r="H5" s="2"/>
      <c r="I5" s="2"/>
      <c r="J5" s="2"/>
      <c r="K5" s="2"/>
      <c r="L5" s="8" t="s">
        <v>1</v>
      </c>
    </row>
    <row r="6" spans="1:12" ht="12">
      <c r="A6" s="3"/>
      <c r="B6" s="218"/>
      <c r="C6" s="2"/>
      <c r="D6" s="2"/>
      <c r="E6" s="37"/>
      <c r="F6" s="2"/>
      <c r="G6" s="2"/>
      <c r="H6" s="2"/>
      <c r="I6" s="2"/>
      <c r="J6" s="2"/>
      <c r="K6" s="2"/>
      <c r="L6" s="5"/>
    </row>
    <row r="7" spans="1:12" ht="19.5" customHeight="1">
      <c r="A7" s="20" t="s">
        <v>401</v>
      </c>
      <c r="B7" s="219"/>
      <c r="C7" s="25"/>
      <c r="D7" s="25"/>
      <c r="E7" s="25"/>
      <c r="F7" s="25"/>
      <c r="G7" s="25"/>
      <c r="H7" s="25"/>
      <c r="I7" s="25"/>
      <c r="J7" s="25"/>
      <c r="K7" s="25"/>
      <c r="L7" s="25"/>
    </row>
    <row r="8" spans="1:12" ht="17.25" customHeight="1">
      <c r="A8" s="25"/>
      <c r="B8" s="25" t="s">
        <v>557</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469</v>
      </c>
      <c r="B10" s="219"/>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Junio 2020
INFSGI-MES-06-2020
13/07/2020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115" zoomScaleNormal="100" zoomScaleSheetLayoutView="115" zoomScalePageLayoutView="140" workbookViewId="0">
      <selection activeCell="N65" sqref="N65"/>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8" t="s">
        <v>275</v>
      </c>
      <c r="B1" s="277"/>
      <c r="C1" s="277"/>
      <c r="D1" s="277"/>
      <c r="E1" s="277"/>
      <c r="F1" s="277"/>
      <c r="G1" s="277"/>
    </row>
    <row r="2" spans="1:8" ht="14.25" customHeight="1">
      <c r="A2" s="975" t="s">
        <v>250</v>
      </c>
      <c r="B2" s="978" t="s">
        <v>54</v>
      </c>
      <c r="C2" s="981" t="str">
        <f>"ENERGÍA PRODUCIDA "&amp;UPPER('1. Resumen'!Q4)&amp;" "&amp;'1. Resumen'!Q5</f>
        <v>ENERGÍA PRODUCIDA JUNIO 2020</v>
      </c>
      <c r="D2" s="981"/>
      <c r="E2" s="981"/>
      <c r="F2" s="981"/>
      <c r="G2" s="636" t="s">
        <v>276</v>
      </c>
      <c r="H2" s="203"/>
    </row>
    <row r="3" spans="1:8" ht="11.25" customHeight="1">
      <c r="A3" s="976"/>
      <c r="B3" s="979"/>
      <c r="C3" s="982" t="s">
        <v>277</v>
      </c>
      <c r="D3" s="982"/>
      <c r="E3" s="982"/>
      <c r="F3" s="983" t="str">
        <f>"TOTAL 
"&amp;UPPER('1. Resumen'!Q4)</f>
        <v>TOTAL 
JUNIO</v>
      </c>
      <c r="G3" s="637" t="s">
        <v>278</v>
      </c>
      <c r="H3" s="194"/>
    </row>
    <row r="4" spans="1:8" ht="12.75" customHeight="1">
      <c r="A4" s="976"/>
      <c r="B4" s="979"/>
      <c r="C4" s="628" t="s">
        <v>215</v>
      </c>
      <c r="D4" s="628" t="s">
        <v>216</v>
      </c>
      <c r="E4" s="628" t="s">
        <v>279</v>
      </c>
      <c r="F4" s="984"/>
      <c r="G4" s="637">
        <v>2020</v>
      </c>
      <c r="H4" s="196"/>
    </row>
    <row r="5" spans="1:8" ht="11.25" customHeight="1">
      <c r="A5" s="977"/>
      <c r="B5" s="980"/>
      <c r="C5" s="629" t="s">
        <v>280</v>
      </c>
      <c r="D5" s="629" t="s">
        <v>280</v>
      </c>
      <c r="E5" s="629" t="s">
        <v>280</v>
      </c>
      <c r="F5" s="629" t="s">
        <v>280</v>
      </c>
      <c r="G5" s="638" t="s">
        <v>208</v>
      </c>
      <c r="H5" s="196"/>
    </row>
    <row r="6" spans="1:8" ht="9.75" customHeight="1">
      <c r="A6" s="699" t="s">
        <v>121</v>
      </c>
      <c r="B6" s="441" t="s">
        <v>86</v>
      </c>
      <c r="C6" s="442"/>
      <c r="D6" s="442"/>
      <c r="E6" s="442">
        <v>0</v>
      </c>
      <c r="F6" s="442">
        <v>0</v>
      </c>
      <c r="G6" s="695">
        <v>0</v>
      </c>
      <c r="H6" s="196"/>
    </row>
    <row r="7" spans="1:8" ht="9.75" customHeight="1">
      <c r="A7" s="681" t="s">
        <v>493</v>
      </c>
      <c r="B7" s="517"/>
      <c r="C7" s="518"/>
      <c r="D7" s="518"/>
      <c r="E7" s="518">
        <v>0</v>
      </c>
      <c r="F7" s="518">
        <v>0</v>
      </c>
      <c r="G7" s="685">
        <v>0</v>
      </c>
      <c r="H7" s="196"/>
    </row>
    <row r="8" spans="1:8" ht="9.75" customHeight="1">
      <c r="A8" s="699" t="s">
        <v>120</v>
      </c>
      <c r="B8" s="441" t="s">
        <v>63</v>
      </c>
      <c r="C8" s="442"/>
      <c r="D8" s="442"/>
      <c r="E8" s="442">
        <v>2553.1149850000002</v>
      </c>
      <c r="F8" s="442">
        <v>2553.1149850000002</v>
      </c>
      <c r="G8" s="695">
        <v>66130.229892500007</v>
      </c>
      <c r="H8" s="196"/>
    </row>
    <row r="9" spans="1:8" ht="9.75" customHeight="1">
      <c r="A9" s="681" t="s">
        <v>494</v>
      </c>
      <c r="B9" s="517"/>
      <c r="C9" s="518"/>
      <c r="D9" s="518"/>
      <c r="E9" s="518">
        <v>2553.1149850000002</v>
      </c>
      <c r="F9" s="518">
        <v>2553.1149850000002</v>
      </c>
      <c r="G9" s="685">
        <v>66130.229892500007</v>
      </c>
      <c r="H9" s="196"/>
    </row>
    <row r="10" spans="1:8" ht="9.75" customHeight="1">
      <c r="A10" s="679" t="s">
        <v>106</v>
      </c>
      <c r="B10" s="631" t="s">
        <v>83</v>
      </c>
      <c r="C10" s="632"/>
      <c r="D10" s="632"/>
      <c r="E10" s="632">
        <v>8748.8638725000001</v>
      </c>
      <c r="F10" s="632">
        <v>8748.8638725000001</v>
      </c>
      <c r="G10" s="684">
        <v>41699.274827499998</v>
      </c>
      <c r="H10" s="196"/>
    </row>
    <row r="11" spans="1:8" ht="9.75" customHeight="1">
      <c r="A11" s="681" t="s">
        <v>495</v>
      </c>
      <c r="B11" s="517"/>
      <c r="C11" s="518"/>
      <c r="D11" s="518"/>
      <c r="E11" s="518">
        <v>8748.8638725000001</v>
      </c>
      <c r="F11" s="518">
        <v>8748.8638725000001</v>
      </c>
      <c r="G11" s="685">
        <v>41699.274827499998</v>
      </c>
      <c r="H11" s="196"/>
    </row>
    <row r="12" spans="1:8" ht="9.75" customHeight="1">
      <c r="A12" s="679" t="s">
        <v>418</v>
      </c>
      <c r="B12" s="631" t="s">
        <v>420</v>
      </c>
      <c r="C12" s="632"/>
      <c r="D12" s="632"/>
      <c r="E12" s="632">
        <v>9367.3749849999986</v>
      </c>
      <c r="F12" s="632">
        <v>9367.3749849999986</v>
      </c>
      <c r="G12" s="684">
        <v>60378.870439999999</v>
      </c>
      <c r="H12" s="196"/>
    </row>
    <row r="13" spans="1:8" ht="9.75" customHeight="1">
      <c r="A13" s="681" t="s">
        <v>496</v>
      </c>
      <c r="B13" s="517"/>
      <c r="C13" s="518"/>
      <c r="D13" s="518"/>
      <c r="E13" s="518">
        <v>9367.3749849999986</v>
      </c>
      <c r="F13" s="518">
        <v>9367.3749849999986</v>
      </c>
      <c r="G13" s="685">
        <v>60378.870439999999</v>
      </c>
      <c r="H13" s="196"/>
    </row>
    <row r="14" spans="1:8" s="738" customFormat="1" ht="9.75" customHeight="1">
      <c r="A14" s="679" t="s">
        <v>457</v>
      </c>
      <c r="B14" s="631" t="s">
        <v>465</v>
      </c>
      <c r="C14" s="632"/>
      <c r="D14" s="632"/>
      <c r="E14" s="632">
        <v>5898.2593724999997</v>
      </c>
      <c r="F14" s="632">
        <v>5898.2593724999997</v>
      </c>
      <c r="G14" s="684">
        <v>33842.961499999998</v>
      </c>
      <c r="H14" s="196"/>
    </row>
    <row r="15" spans="1:8" s="738" customFormat="1" ht="13.5" customHeight="1">
      <c r="A15" s="752" t="s">
        <v>497</v>
      </c>
      <c r="B15" s="517"/>
      <c r="C15" s="518"/>
      <c r="D15" s="518"/>
      <c r="E15" s="518">
        <v>5898.2593724999997</v>
      </c>
      <c r="F15" s="518">
        <v>5898.2593724999997</v>
      </c>
      <c r="G15" s="685">
        <v>33842.961499999998</v>
      </c>
      <c r="H15" s="196"/>
    </row>
    <row r="16" spans="1:8" ht="9.75" customHeight="1">
      <c r="A16" s="679" t="s">
        <v>94</v>
      </c>
      <c r="B16" s="631" t="s">
        <v>281</v>
      </c>
      <c r="C16" s="632">
        <v>63761.301757499998</v>
      </c>
      <c r="D16" s="632"/>
      <c r="E16" s="632"/>
      <c r="F16" s="632">
        <v>63761.301757499998</v>
      </c>
      <c r="G16" s="684">
        <v>715894.97703000007</v>
      </c>
      <c r="H16" s="196"/>
    </row>
    <row r="17" spans="1:8" ht="9.75" customHeight="1">
      <c r="A17" s="681" t="s">
        <v>498</v>
      </c>
      <c r="B17" s="517"/>
      <c r="C17" s="518">
        <v>63761.301757499998</v>
      </c>
      <c r="D17" s="518"/>
      <c r="E17" s="518"/>
      <c r="F17" s="518">
        <v>63761.301757499998</v>
      </c>
      <c r="G17" s="685">
        <v>715894.97703000007</v>
      </c>
      <c r="H17" s="196"/>
    </row>
    <row r="18" spans="1:8" ht="10.5" customHeight="1">
      <c r="A18" s="679" t="s">
        <v>236</v>
      </c>
      <c r="B18" s="631" t="s">
        <v>282</v>
      </c>
      <c r="C18" s="632"/>
      <c r="D18" s="632">
        <v>0</v>
      </c>
      <c r="E18" s="632"/>
      <c r="F18" s="632">
        <v>0</v>
      </c>
      <c r="G18" s="684">
        <v>378.28250250000002</v>
      </c>
      <c r="H18" s="196"/>
    </row>
    <row r="19" spans="1:8" ht="10.5" customHeight="1">
      <c r="A19" s="681" t="s">
        <v>499</v>
      </c>
      <c r="B19" s="517"/>
      <c r="C19" s="518"/>
      <c r="D19" s="518">
        <v>0</v>
      </c>
      <c r="E19" s="518"/>
      <c r="F19" s="518">
        <v>0</v>
      </c>
      <c r="G19" s="685">
        <v>378.28250250000002</v>
      </c>
      <c r="H19" s="196"/>
    </row>
    <row r="20" spans="1:8" ht="9.75" customHeight="1">
      <c r="A20" s="679" t="s">
        <v>93</v>
      </c>
      <c r="B20" s="631" t="s">
        <v>283</v>
      </c>
      <c r="C20" s="632">
        <v>49577.203880000001</v>
      </c>
      <c r="D20" s="632"/>
      <c r="E20" s="632"/>
      <c r="F20" s="632">
        <v>49577.203880000001</v>
      </c>
      <c r="G20" s="684">
        <v>495588.72837500001</v>
      </c>
      <c r="H20" s="196"/>
    </row>
    <row r="21" spans="1:8" ht="9.75" customHeight="1">
      <c r="A21" s="679"/>
      <c r="B21" s="631" t="s">
        <v>284</v>
      </c>
      <c r="C21" s="632">
        <v>17420.618815000002</v>
      </c>
      <c r="D21" s="632"/>
      <c r="E21" s="632"/>
      <c r="F21" s="632">
        <v>17420.618815000002</v>
      </c>
      <c r="G21" s="684">
        <v>156743.13882749999</v>
      </c>
      <c r="H21" s="196"/>
    </row>
    <row r="22" spans="1:8" ht="9.75" customHeight="1">
      <c r="A22" s="681" t="s">
        <v>500</v>
      </c>
      <c r="B22" s="517"/>
      <c r="C22" s="518">
        <v>66997.82269500001</v>
      </c>
      <c r="D22" s="518"/>
      <c r="E22" s="518"/>
      <c r="F22" s="518">
        <v>66997.82269500001</v>
      </c>
      <c r="G22" s="685">
        <v>652331.8672025</v>
      </c>
      <c r="H22" s="196"/>
    </row>
    <row r="23" spans="1:8" ht="9.75" customHeight="1">
      <c r="A23" s="679" t="s">
        <v>91</v>
      </c>
      <c r="B23" s="631" t="s">
        <v>285</v>
      </c>
      <c r="C23" s="632">
        <v>1187.7419374999999</v>
      </c>
      <c r="D23" s="632"/>
      <c r="E23" s="632"/>
      <c r="F23" s="632">
        <v>1187.7419374999999</v>
      </c>
      <c r="G23" s="684">
        <v>6475.9618149999997</v>
      </c>
      <c r="H23" s="196"/>
    </row>
    <row r="24" spans="1:8" ht="9.75" customHeight="1">
      <c r="A24" s="679"/>
      <c r="B24" s="631" t="s">
        <v>286</v>
      </c>
      <c r="C24" s="632">
        <v>403.42694</v>
      </c>
      <c r="D24" s="632"/>
      <c r="E24" s="632"/>
      <c r="F24" s="632">
        <v>403.42694</v>
      </c>
      <c r="G24" s="684">
        <v>2121.2313525</v>
      </c>
      <c r="H24" s="196"/>
    </row>
    <row r="25" spans="1:8" ht="9.75" customHeight="1">
      <c r="A25" s="679"/>
      <c r="B25" s="631" t="s">
        <v>287</v>
      </c>
      <c r="C25" s="632">
        <v>3248.2482675000001</v>
      </c>
      <c r="D25" s="632"/>
      <c r="E25" s="632"/>
      <c r="F25" s="632">
        <v>3248.2482675000001</v>
      </c>
      <c r="G25" s="684">
        <v>20132.789387499997</v>
      </c>
      <c r="H25" s="196"/>
    </row>
    <row r="26" spans="1:8" ht="9.75" customHeight="1">
      <c r="A26" s="679"/>
      <c r="B26" s="631" t="s">
        <v>288</v>
      </c>
      <c r="C26" s="632">
        <v>8525.9981474999986</v>
      </c>
      <c r="D26" s="632"/>
      <c r="E26" s="632"/>
      <c r="F26" s="632">
        <v>8525.9981474999986</v>
      </c>
      <c r="G26" s="684">
        <v>57657.650542500007</v>
      </c>
      <c r="H26" s="196"/>
    </row>
    <row r="27" spans="1:8" ht="9.75" customHeight="1">
      <c r="A27" s="679"/>
      <c r="B27" s="631" t="s">
        <v>289</v>
      </c>
      <c r="C27" s="632">
        <v>51697.414340000003</v>
      </c>
      <c r="D27" s="632"/>
      <c r="E27" s="632"/>
      <c r="F27" s="632">
        <v>51697.414340000003</v>
      </c>
      <c r="G27" s="684">
        <v>450554.03969749995</v>
      </c>
      <c r="H27" s="196"/>
    </row>
    <row r="28" spans="1:8" ht="9.75" customHeight="1">
      <c r="A28" s="679"/>
      <c r="B28" s="631" t="s">
        <v>290</v>
      </c>
      <c r="C28" s="632">
        <v>5094.9714199999999</v>
      </c>
      <c r="D28" s="632"/>
      <c r="E28" s="632"/>
      <c r="F28" s="632">
        <v>5094.9714199999999</v>
      </c>
      <c r="G28" s="684">
        <v>33425.943002500004</v>
      </c>
      <c r="H28" s="196"/>
    </row>
    <row r="29" spans="1:8" ht="9.75" customHeight="1">
      <c r="A29" s="679"/>
      <c r="B29" s="631" t="s">
        <v>291</v>
      </c>
      <c r="C29" s="632"/>
      <c r="D29" s="632">
        <v>1.667395</v>
      </c>
      <c r="E29" s="632"/>
      <c r="F29" s="632">
        <v>1.667395</v>
      </c>
      <c r="G29" s="684">
        <v>38.830157500000006</v>
      </c>
      <c r="H29" s="196"/>
    </row>
    <row r="30" spans="1:8" ht="9.75" customHeight="1">
      <c r="A30" s="679"/>
      <c r="B30" s="631" t="s">
        <v>292</v>
      </c>
      <c r="C30" s="632"/>
      <c r="D30" s="632">
        <v>0</v>
      </c>
      <c r="E30" s="632"/>
      <c r="F30" s="632">
        <v>0</v>
      </c>
      <c r="G30" s="684">
        <v>32.036462499999992</v>
      </c>
      <c r="H30" s="196"/>
    </row>
    <row r="31" spans="1:8" ht="9.75" customHeight="1">
      <c r="A31" s="679"/>
      <c r="B31" s="631" t="s">
        <v>293</v>
      </c>
      <c r="C31" s="632"/>
      <c r="D31" s="632">
        <v>0</v>
      </c>
      <c r="E31" s="632"/>
      <c r="F31" s="632">
        <v>0</v>
      </c>
      <c r="G31" s="684">
        <v>0</v>
      </c>
      <c r="H31" s="196"/>
    </row>
    <row r="32" spans="1:8" ht="9.75" customHeight="1">
      <c r="A32" s="681" t="s">
        <v>501</v>
      </c>
      <c r="B32" s="517"/>
      <c r="C32" s="518">
        <v>70157.801052499999</v>
      </c>
      <c r="D32" s="518">
        <v>1.667395</v>
      </c>
      <c r="E32" s="518"/>
      <c r="F32" s="518">
        <v>70159.468447499996</v>
      </c>
      <c r="G32" s="685">
        <v>570438.48241749988</v>
      </c>
      <c r="H32" s="196"/>
    </row>
    <row r="33" spans="1:8" ht="9.75" customHeight="1">
      <c r="A33" s="679" t="s">
        <v>114</v>
      </c>
      <c r="B33" s="631" t="s">
        <v>70</v>
      </c>
      <c r="C33" s="632"/>
      <c r="D33" s="632"/>
      <c r="E33" s="632">
        <v>2126.4037699999999</v>
      </c>
      <c r="F33" s="632">
        <v>2126.4037699999999</v>
      </c>
      <c r="G33" s="684">
        <v>17924.091737500003</v>
      </c>
      <c r="H33" s="196"/>
    </row>
    <row r="34" spans="1:8" ht="9.75" customHeight="1">
      <c r="A34" s="681" t="s">
        <v>502</v>
      </c>
      <c r="B34" s="517"/>
      <c r="C34" s="518"/>
      <c r="D34" s="518"/>
      <c r="E34" s="518">
        <v>2126.4037699999999</v>
      </c>
      <c r="F34" s="518">
        <v>2126.4037699999999</v>
      </c>
      <c r="G34" s="685">
        <v>17924.091737500003</v>
      </c>
      <c r="H34" s="196"/>
    </row>
    <row r="35" spans="1:8" ht="9.75" customHeight="1">
      <c r="A35" s="679" t="s">
        <v>92</v>
      </c>
      <c r="B35" s="631" t="s">
        <v>294</v>
      </c>
      <c r="C35" s="632">
        <v>112713.40004000001</v>
      </c>
      <c r="D35" s="632"/>
      <c r="E35" s="632"/>
      <c r="F35" s="632">
        <v>112713.40004000001</v>
      </c>
      <c r="G35" s="684">
        <v>597184.89223999996</v>
      </c>
      <c r="H35" s="196"/>
    </row>
    <row r="36" spans="1:8" ht="9.75" customHeight="1">
      <c r="A36" s="681" t="s">
        <v>503</v>
      </c>
      <c r="B36" s="517"/>
      <c r="C36" s="518">
        <v>112713.40004000001</v>
      </c>
      <c r="D36" s="518"/>
      <c r="E36" s="518"/>
      <c r="F36" s="518">
        <v>112713.40004000001</v>
      </c>
      <c r="G36" s="685">
        <v>597184.89223999996</v>
      </c>
      <c r="H36" s="196"/>
    </row>
    <row r="37" spans="1:8" ht="9.75" customHeight="1">
      <c r="A37" s="679" t="s">
        <v>101</v>
      </c>
      <c r="B37" s="631" t="s">
        <v>295</v>
      </c>
      <c r="C37" s="632">
        <v>5196.8729999999996</v>
      </c>
      <c r="D37" s="632"/>
      <c r="E37" s="632"/>
      <c r="F37" s="632">
        <v>5196.8729999999996</v>
      </c>
      <c r="G37" s="684">
        <v>31734.629999999997</v>
      </c>
      <c r="H37" s="196"/>
    </row>
    <row r="38" spans="1:8" ht="9.75" customHeight="1">
      <c r="A38" s="679"/>
      <c r="B38" s="631" t="s">
        <v>296</v>
      </c>
      <c r="C38" s="632">
        <v>4374.3509999999997</v>
      </c>
      <c r="D38" s="632"/>
      <c r="E38" s="632"/>
      <c r="F38" s="632">
        <v>4374.3509999999997</v>
      </c>
      <c r="G38" s="684">
        <v>22555.703999999998</v>
      </c>
      <c r="H38" s="196"/>
    </row>
    <row r="39" spans="1:8" ht="9.75" customHeight="1">
      <c r="A39" s="679"/>
      <c r="B39" s="631" t="s">
        <v>297</v>
      </c>
      <c r="C39" s="632"/>
      <c r="D39" s="632">
        <v>45.156667499999998</v>
      </c>
      <c r="E39" s="632"/>
      <c r="F39" s="632">
        <v>45.156667499999998</v>
      </c>
      <c r="G39" s="684">
        <v>8794.8599324999996</v>
      </c>
      <c r="H39" s="196"/>
    </row>
    <row r="40" spans="1:8" ht="9.75" customHeight="1">
      <c r="A40" s="681" t="s">
        <v>504</v>
      </c>
      <c r="B40" s="517"/>
      <c r="C40" s="518">
        <v>9571.2239999999983</v>
      </c>
      <c r="D40" s="518">
        <v>45.156667499999998</v>
      </c>
      <c r="E40" s="518"/>
      <c r="F40" s="518">
        <v>9616.3806674999978</v>
      </c>
      <c r="G40" s="685">
        <v>63085.193932499998</v>
      </c>
      <c r="H40" s="196"/>
    </row>
    <row r="41" spans="1:8" ht="19.5" customHeight="1">
      <c r="A41" s="693" t="s">
        <v>453</v>
      </c>
      <c r="B41" s="631" t="s">
        <v>75</v>
      </c>
      <c r="C41" s="632"/>
      <c r="D41" s="632"/>
      <c r="E41" s="632">
        <v>295.02389499999998</v>
      </c>
      <c r="F41" s="632">
        <v>295.02389499999998</v>
      </c>
      <c r="G41" s="684">
        <v>2699.7583399999999</v>
      </c>
      <c r="H41" s="196"/>
    </row>
    <row r="42" spans="1:8" ht="20.25" customHeight="1">
      <c r="A42" s="752" t="s">
        <v>505</v>
      </c>
      <c r="B42" s="517"/>
      <c r="C42" s="518"/>
      <c r="D42" s="518"/>
      <c r="E42" s="518">
        <v>295.02389499999998</v>
      </c>
      <c r="F42" s="518">
        <v>295.02389499999998</v>
      </c>
      <c r="G42" s="685">
        <v>2699.7583399999999</v>
      </c>
      <c r="H42" s="196"/>
    </row>
    <row r="43" spans="1:8" ht="9.75" customHeight="1">
      <c r="A43" s="679" t="s">
        <v>115</v>
      </c>
      <c r="B43" s="631" t="s">
        <v>73</v>
      </c>
      <c r="C43" s="632"/>
      <c r="D43" s="632"/>
      <c r="E43" s="632">
        <v>1796.8975675000002</v>
      </c>
      <c r="F43" s="632">
        <v>1796.8975675000002</v>
      </c>
      <c r="G43" s="684">
        <v>14729.733030000001</v>
      </c>
      <c r="H43" s="196"/>
    </row>
    <row r="44" spans="1:8" ht="9.75" customHeight="1">
      <c r="A44" s="681" t="s">
        <v>506</v>
      </c>
      <c r="B44" s="517"/>
      <c r="C44" s="518"/>
      <c r="D44" s="518"/>
      <c r="E44" s="518">
        <v>1796.8975675000002</v>
      </c>
      <c r="F44" s="518">
        <v>1796.8975675000002</v>
      </c>
      <c r="G44" s="685">
        <v>14729.733030000001</v>
      </c>
      <c r="H44" s="196"/>
    </row>
    <row r="45" spans="1:8" ht="9.75" customHeight="1">
      <c r="A45" s="679" t="s">
        <v>421</v>
      </c>
      <c r="B45" s="631" t="s">
        <v>424</v>
      </c>
      <c r="C45" s="632"/>
      <c r="D45" s="632"/>
      <c r="E45" s="632">
        <v>6117.5919424999993</v>
      </c>
      <c r="F45" s="632">
        <v>6117.5919424999993</v>
      </c>
      <c r="G45" s="684">
        <v>47436.688785000006</v>
      </c>
      <c r="H45" s="196"/>
    </row>
    <row r="46" spans="1:8" ht="9.75" customHeight="1">
      <c r="A46" s="681" t="s">
        <v>507</v>
      </c>
      <c r="B46" s="517"/>
      <c r="C46" s="518"/>
      <c r="D46" s="518"/>
      <c r="E46" s="518">
        <v>6117.5919424999993</v>
      </c>
      <c r="F46" s="518">
        <v>6117.5919424999993</v>
      </c>
      <c r="G46" s="685">
        <v>47436.688785000006</v>
      </c>
      <c r="H46" s="196"/>
    </row>
    <row r="47" spans="1:8" ht="9.75" customHeight="1">
      <c r="A47" s="679" t="s">
        <v>89</v>
      </c>
      <c r="B47" s="631" t="s">
        <v>298</v>
      </c>
      <c r="C47" s="632">
        <v>454670.09039999993</v>
      </c>
      <c r="D47" s="632"/>
      <c r="E47" s="632"/>
      <c r="F47" s="632">
        <v>454670.09039999993</v>
      </c>
      <c r="G47" s="684">
        <v>2667959.2578000003</v>
      </c>
      <c r="H47" s="196"/>
    </row>
    <row r="48" spans="1:8" ht="9.75" customHeight="1">
      <c r="A48" s="679"/>
      <c r="B48" s="631" t="s">
        <v>299</v>
      </c>
      <c r="C48" s="632">
        <v>150185.91887999998</v>
      </c>
      <c r="D48" s="632"/>
      <c r="E48" s="632"/>
      <c r="F48" s="632">
        <v>150185.91887999998</v>
      </c>
      <c r="G48" s="684">
        <v>861097.63296000008</v>
      </c>
      <c r="H48" s="196"/>
    </row>
    <row r="49" spans="1:8" ht="9.75" customHeight="1">
      <c r="A49" s="679"/>
      <c r="B49" s="631" t="s">
        <v>300</v>
      </c>
      <c r="C49" s="632"/>
      <c r="D49" s="632">
        <v>0</v>
      </c>
      <c r="E49" s="632"/>
      <c r="F49" s="632">
        <v>0</v>
      </c>
      <c r="G49" s="684">
        <v>0</v>
      </c>
      <c r="H49" s="196"/>
    </row>
    <row r="50" spans="1:8" ht="9.75" customHeight="1">
      <c r="A50" s="681" t="s">
        <v>508</v>
      </c>
      <c r="B50" s="517"/>
      <c r="C50" s="518">
        <v>604856.00927999988</v>
      </c>
      <c r="D50" s="518">
        <v>0</v>
      </c>
      <c r="E50" s="518"/>
      <c r="F50" s="518">
        <v>604856.00927999988</v>
      </c>
      <c r="G50" s="685">
        <v>3529056.8907600003</v>
      </c>
      <c r="H50" s="196"/>
    </row>
    <row r="51" spans="1:8" ht="9.75" customHeight="1">
      <c r="A51" s="679" t="s">
        <v>237</v>
      </c>
      <c r="B51" s="631" t="s">
        <v>301</v>
      </c>
      <c r="C51" s="632">
        <v>95178.046887500008</v>
      </c>
      <c r="D51" s="632"/>
      <c r="E51" s="632"/>
      <c r="F51" s="632">
        <v>95178.046887500008</v>
      </c>
      <c r="G51" s="684">
        <v>1370159.3223024998</v>
      </c>
      <c r="H51" s="196"/>
    </row>
    <row r="52" spans="1:8" ht="9.75" customHeight="1">
      <c r="A52" s="679"/>
      <c r="B52" s="631" t="s">
        <v>302</v>
      </c>
      <c r="C52" s="632">
        <v>4484.3364600000004</v>
      </c>
      <c r="D52" s="632"/>
      <c r="E52" s="632"/>
      <c r="F52" s="632">
        <v>4484.3364600000004</v>
      </c>
      <c r="G52" s="684">
        <v>27492.628372500003</v>
      </c>
      <c r="H52" s="196"/>
    </row>
    <row r="53" spans="1:8" ht="9.75" customHeight="1">
      <c r="A53" s="681" t="s">
        <v>509</v>
      </c>
      <c r="B53" s="517"/>
      <c r="C53" s="518">
        <v>99662.383347500014</v>
      </c>
      <c r="D53" s="518"/>
      <c r="E53" s="518"/>
      <c r="F53" s="518">
        <v>99662.383347500014</v>
      </c>
      <c r="G53" s="685">
        <v>1397651.9506749997</v>
      </c>
      <c r="H53" s="196"/>
    </row>
    <row r="54" spans="1:8" ht="9.75" customHeight="1">
      <c r="A54" s="679" t="s">
        <v>238</v>
      </c>
      <c r="B54" s="631" t="s">
        <v>303</v>
      </c>
      <c r="C54" s="632">
        <v>37451.5795</v>
      </c>
      <c r="D54" s="632"/>
      <c r="E54" s="632"/>
      <c r="F54" s="632">
        <v>37451.5795</v>
      </c>
      <c r="G54" s="684">
        <v>202211.14720499999</v>
      </c>
      <c r="H54" s="196"/>
    </row>
    <row r="55" spans="1:8" ht="9.75" customHeight="1">
      <c r="A55" s="681" t="s">
        <v>510</v>
      </c>
      <c r="B55" s="517"/>
      <c r="C55" s="518">
        <v>37451.5795</v>
      </c>
      <c r="D55" s="518"/>
      <c r="E55" s="518"/>
      <c r="F55" s="518">
        <v>37451.5795</v>
      </c>
      <c r="G55" s="685">
        <v>202211.14720499999</v>
      </c>
      <c r="H55" s="111"/>
    </row>
    <row r="56" spans="1:8" ht="16.5">
      <c r="A56" s="683" t="s">
        <v>455</v>
      </c>
      <c r="B56" s="631" t="s">
        <v>65</v>
      </c>
      <c r="C56" s="632"/>
      <c r="D56" s="632"/>
      <c r="E56" s="632">
        <v>2575.0884925</v>
      </c>
      <c r="F56" s="632">
        <v>2575.0884925</v>
      </c>
      <c r="G56" s="684">
        <v>34833.448875000002</v>
      </c>
      <c r="H56" s="111"/>
    </row>
    <row r="57" spans="1:8" ht="9.75" customHeight="1">
      <c r="A57" s="679"/>
      <c r="B57" s="631" t="s">
        <v>64</v>
      </c>
      <c r="C57" s="632"/>
      <c r="D57" s="632"/>
      <c r="E57" s="632">
        <v>2665.202385</v>
      </c>
      <c r="F57" s="632">
        <v>2665.202385</v>
      </c>
      <c r="G57" s="684">
        <v>35571.158969999997</v>
      </c>
      <c r="H57" s="111"/>
    </row>
    <row r="58" spans="1:8" s="738" customFormat="1" ht="9.75" customHeight="1">
      <c r="A58" s="679"/>
      <c r="B58" s="631" t="s">
        <v>60</v>
      </c>
      <c r="C58" s="632"/>
      <c r="D58" s="632"/>
      <c r="E58" s="632">
        <v>3944.9169449999999</v>
      </c>
      <c r="F58" s="632">
        <v>3944.9169449999999</v>
      </c>
      <c r="G58" s="684">
        <v>61103.225397499999</v>
      </c>
      <c r="H58" s="111"/>
    </row>
    <row r="59" spans="1:8" s="738" customFormat="1" ht="9.75" customHeight="1">
      <c r="A59" s="679"/>
      <c r="B59" s="631" t="s">
        <v>57</v>
      </c>
      <c r="C59" s="632"/>
      <c r="D59" s="632"/>
      <c r="E59" s="632">
        <v>5386.3698125000001</v>
      </c>
      <c r="F59" s="632">
        <v>5386.3698125000001</v>
      </c>
      <c r="G59" s="684">
        <v>73418.297719999988</v>
      </c>
      <c r="H59" s="111"/>
    </row>
    <row r="60" spans="1:8" s="738" customFormat="1" ht="9.75" customHeight="1">
      <c r="A60" s="679"/>
      <c r="B60" s="631" t="s">
        <v>68</v>
      </c>
      <c r="C60" s="632"/>
      <c r="D60" s="632"/>
      <c r="E60" s="632">
        <v>1614.2961674999999</v>
      </c>
      <c r="F60" s="632">
        <v>1614.2961674999999</v>
      </c>
      <c r="G60" s="684">
        <v>18637.1247625</v>
      </c>
      <c r="H60" s="111"/>
    </row>
    <row r="61" spans="1:8" s="738" customFormat="1" ht="9.75" customHeight="1">
      <c r="A61" s="679"/>
      <c r="B61" s="631" t="s">
        <v>67</v>
      </c>
      <c r="C61" s="632"/>
      <c r="D61" s="632"/>
      <c r="E61" s="632">
        <v>1919.09556</v>
      </c>
      <c r="F61" s="632">
        <v>1919.09556</v>
      </c>
      <c r="G61" s="684">
        <v>20817.186390000003</v>
      </c>
      <c r="H61" s="111"/>
    </row>
    <row r="62" spans="1:8">
      <c r="A62" s="799" t="s">
        <v>511</v>
      </c>
      <c r="B62" s="517"/>
      <c r="C62" s="518"/>
      <c r="D62" s="518"/>
      <c r="E62" s="518">
        <v>18104.969362500004</v>
      </c>
      <c r="F62" s="518">
        <v>18104.969362500004</v>
      </c>
      <c r="G62" s="518">
        <v>244380.44211499998</v>
      </c>
      <c r="H62" s="111"/>
    </row>
    <row r="63" spans="1:8" ht="9.75" customHeight="1">
      <c r="A63" s="679" t="s">
        <v>88</v>
      </c>
      <c r="B63" s="631" t="s">
        <v>466</v>
      </c>
      <c r="C63" s="632">
        <v>49367.558675</v>
      </c>
      <c r="D63" s="632"/>
      <c r="E63" s="632"/>
      <c r="F63" s="632">
        <v>49367.558675</v>
      </c>
      <c r="G63" s="684">
        <v>327202.10994999995</v>
      </c>
      <c r="H63" s="111"/>
    </row>
    <row r="64" spans="1:8" ht="9.75" customHeight="1">
      <c r="A64" s="679"/>
      <c r="B64" s="631" t="s">
        <v>304</v>
      </c>
      <c r="C64" s="632">
        <v>19025.4574975</v>
      </c>
      <c r="D64" s="632"/>
      <c r="E64" s="632"/>
      <c r="F64" s="632">
        <v>19025.4574975</v>
      </c>
      <c r="G64" s="684">
        <v>98528.390845000002</v>
      </c>
      <c r="H64" s="197"/>
    </row>
    <row r="65" spans="1:8" ht="9.75" customHeight="1">
      <c r="A65" s="679"/>
      <c r="B65" s="631" t="s">
        <v>305</v>
      </c>
      <c r="C65" s="632">
        <v>81530.964462499993</v>
      </c>
      <c r="D65" s="632"/>
      <c r="E65" s="632"/>
      <c r="F65" s="632">
        <v>81530.964462499993</v>
      </c>
      <c r="G65" s="684">
        <v>611905.43044999999</v>
      </c>
      <c r="H65" s="197"/>
    </row>
    <row r="66" spans="1:8" ht="9.75" customHeight="1">
      <c r="A66" s="679"/>
      <c r="B66" s="631" t="s">
        <v>306</v>
      </c>
      <c r="C66" s="632">
        <v>62771.642025000001</v>
      </c>
      <c r="D66" s="632"/>
      <c r="E66" s="632"/>
      <c r="F66" s="632">
        <v>62771.642025000001</v>
      </c>
      <c r="G66" s="684">
        <v>506186.656265</v>
      </c>
      <c r="H66" s="197"/>
    </row>
    <row r="67" spans="1:8" ht="9.75" customHeight="1">
      <c r="A67" s="679"/>
      <c r="B67" s="631" t="s">
        <v>307</v>
      </c>
      <c r="C67" s="632">
        <v>43024.012417500002</v>
      </c>
      <c r="D67" s="632"/>
      <c r="E67" s="632"/>
      <c r="F67" s="632">
        <v>43024.012417500002</v>
      </c>
      <c r="G67" s="684">
        <v>263590.59758</v>
      </c>
      <c r="H67" s="197"/>
    </row>
    <row r="68" spans="1:8" ht="9.75" customHeight="1">
      <c r="A68" s="679"/>
      <c r="B68" s="631" t="s">
        <v>308</v>
      </c>
      <c r="C68" s="632"/>
      <c r="D68" s="632">
        <v>169.26292000000001</v>
      </c>
      <c r="E68" s="632"/>
      <c r="F68" s="632">
        <v>169.26292000000001</v>
      </c>
      <c r="G68" s="684">
        <v>6138.8860274999997</v>
      </c>
      <c r="H68" s="197"/>
    </row>
    <row r="69" spans="1:8" ht="9.75" customHeight="1">
      <c r="A69" s="679"/>
      <c r="B69" s="631" t="s">
        <v>309</v>
      </c>
      <c r="C69" s="632"/>
      <c r="D69" s="632">
        <v>511.39478250000002</v>
      </c>
      <c r="E69" s="632"/>
      <c r="F69" s="632">
        <v>511.39478250000002</v>
      </c>
      <c r="G69" s="684">
        <v>19709.897185000002</v>
      </c>
      <c r="H69" s="197"/>
    </row>
    <row r="70" spans="1:8" ht="9.75" customHeight="1">
      <c r="A70" s="679"/>
      <c r="B70" s="631" t="s">
        <v>310</v>
      </c>
      <c r="C70" s="632"/>
      <c r="D70" s="632">
        <v>198759.63853249999</v>
      </c>
      <c r="E70" s="632"/>
      <c r="F70" s="632">
        <v>198759.63853249999</v>
      </c>
      <c r="G70" s="684">
        <v>710614.01241750002</v>
      </c>
    </row>
    <row r="71" spans="1:8" ht="9.75" customHeight="1">
      <c r="A71" s="679"/>
      <c r="B71" s="631" t="s">
        <v>416</v>
      </c>
      <c r="C71" s="632"/>
      <c r="D71" s="632"/>
      <c r="E71" s="632">
        <v>414.499685</v>
      </c>
      <c r="F71" s="632">
        <v>414.499685</v>
      </c>
      <c r="G71" s="684">
        <v>2182.3401025000003</v>
      </c>
    </row>
    <row r="72" spans="1:8" ht="9.75" customHeight="1">
      <c r="A72" s="681" t="s">
        <v>512</v>
      </c>
      <c r="B72" s="517"/>
      <c r="C72" s="518">
        <v>255719.63507749999</v>
      </c>
      <c r="D72" s="518">
        <v>199440.29623499999</v>
      </c>
      <c r="E72" s="518">
        <v>414.499685</v>
      </c>
      <c r="F72" s="518">
        <v>455574.43099749996</v>
      </c>
      <c r="G72" s="685">
        <v>2546058.3208224997</v>
      </c>
    </row>
    <row r="73" spans="1:8" ht="9.75" customHeight="1">
      <c r="A73" s="679" t="s">
        <v>96</v>
      </c>
      <c r="B73" s="631" t="s">
        <v>311</v>
      </c>
      <c r="C73" s="632"/>
      <c r="D73" s="632">
        <v>3087.7347675000001</v>
      </c>
      <c r="E73" s="632"/>
      <c r="F73" s="632">
        <v>3087.7347675000001</v>
      </c>
      <c r="G73" s="684">
        <v>15204.814595</v>
      </c>
    </row>
    <row r="74" spans="1:8" ht="9.75" customHeight="1">
      <c r="A74" s="679"/>
      <c r="B74" s="631" t="s">
        <v>312</v>
      </c>
      <c r="C74" s="632"/>
      <c r="D74" s="632">
        <v>50170.065139999999</v>
      </c>
      <c r="E74" s="632"/>
      <c r="F74" s="632">
        <v>50170.065139999999</v>
      </c>
      <c r="G74" s="684">
        <v>195959.27468249999</v>
      </c>
    </row>
    <row r="75" spans="1:8" ht="9.75" customHeight="1">
      <c r="A75" s="679"/>
      <c r="B75" s="631" t="s">
        <v>313</v>
      </c>
      <c r="C75" s="632"/>
      <c r="D75" s="632">
        <v>7910.3536025000003</v>
      </c>
      <c r="E75" s="632"/>
      <c r="F75" s="632">
        <v>7910.3536025000003</v>
      </c>
      <c r="G75" s="684">
        <v>16274.21371</v>
      </c>
    </row>
    <row r="76" spans="1:8">
      <c r="A76" s="799" t="s">
        <v>513</v>
      </c>
      <c r="B76" s="517"/>
      <c r="C76" s="518"/>
      <c r="D76" s="518">
        <v>61168.153509999996</v>
      </c>
      <c r="E76" s="518"/>
      <c r="F76" s="518">
        <v>61168.153509999996</v>
      </c>
      <c r="G76" s="685">
        <v>227438.30298750001</v>
      </c>
    </row>
    <row r="77" spans="1:8" ht="9.75" customHeight="1">
      <c r="A77" s="679" t="s">
        <v>98</v>
      </c>
      <c r="B77" s="631" t="s">
        <v>427</v>
      </c>
      <c r="C77" s="632"/>
      <c r="D77" s="632"/>
      <c r="E77" s="632">
        <v>30991.950109999998</v>
      </c>
      <c r="F77" s="632">
        <v>30991.950109999998</v>
      </c>
      <c r="G77" s="684">
        <v>195342.07998000001</v>
      </c>
    </row>
    <row r="78" spans="1:8" ht="9.75" customHeight="1">
      <c r="A78" s="679"/>
      <c r="B78" s="631" t="s">
        <v>426</v>
      </c>
      <c r="C78" s="632"/>
      <c r="D78" s="632"/>
      <c r="E78" s="632">
        <v>57621.067795000003</v>
      </c>
      <c r="F78" s="632">
        <v>57621.067795000003</v>
      </c>
      <c r="G78" s="684">
        <v>266290.94458750001</v>
      </c>
    </row>
    <row r="79" spans="1:8">
      <c r="A79" s="799" t="s">
        <v>514</v>
      </c>
      <c r="B79" s="517"/>
      <c r="C79" s="518"/>
      <c r="D79" s="518"/>
      <c r="E79" s="518">
        <v>88613.017905000001</v>
      </c>
      <c r="F79" s="518">
        <v>88613.017905000001</v>
      </c>
      <c r="G79" s="685">
        <v>461633.02456749999</v>
      </c>
    </row>
    <row r="80" spans="1:8" ht="9.75" customHeight="1">
      <c r="A80" s="679" t="s">
        <v>97</v>
      </c>
      <c r="B80" s="631" t="s">
        <v>77</v>
      </c>
      <c r="C80" s="632"/>
      <c r="D80" s="632"/>
      <c r="E80" s="632">
        <v>29596.191402500001</v>
      </c>
      <c r="F80" s="632">
        <v>29596.191402500001</v>
      </c>
      <c r="G80" s="684">
        <v>177291.95590249999</v>
      </c>
    </row>
    <row r="81" spans="1:7" ht="9.75" customHeight="1">
      <c r="A81" s="679"/>
      <c r="B81" s="631" t="s">
        <v>79</v>
      </c>
      <c r="C81" s="632"/>
      <c r="D81" s="632"/>
      <c r="E81" s="632">
        <v>14418.4149075</v>
      </c>
      <c r="F81" s="632">
        <v>14418.4149075</v>
      </c>
      <c r="G81" s="684">
        <v>57292.976670000004</v>
      </c>
    </row>
    <row r="82" spans="1:7" ht="9.75" customHeight="1">
      <c r="A82" s="697" t="s">
        <v>515</v>
      </c>
      <c r="B82" s="639"/>
      <c r="C82" s="640"/>
      <c r="D82" s="640"/>
      <c r="E82" s="640">
        <v>44014.606310000003</v>
      </c>
      <c r="F82" s="640">
        <v>44014.606310000003</v>
      </c>
      <c r="G82" s="698">
        <v>234584.93257249999</v>
      </c>
    </row>
    <row r="83" spans="1:7" ht="9.75" customHeight="1">
      <c r="A83" s="336"/>
      <c r="B83" s="336"/>
      <c r="C83" s="443"/>
      <c r="D83" s="443"/>
      <c r="E83" s="443"/>
      <c r="F83" s="336"/>
      <c r="G83" s="336"/>
    </row>
    <row r="84" spans="1:7" ht="9.75" customHeight="1">
      <c r="A84" s="336"/>
      <c r="B84" s="336"/>
      <c r="C84" s="443"/>
      <c r="D84" s="443"/>
      <c r="E84" s="443"/>
      <c r="F84" s="336"/>
      <c r="G84" s="336"/>
    </row>
    <row r="85" spans="1:7" ht="9.75" customHeight="1">
      <c r="A85" s="336"/>
      <c r="B85" s="336"/>
      <c r="C85" s="443"/>
      <c r="D85" s="443"/>
      <c r="E85" s="443"/>
      <c r="F85" s="336"/>
      <c r="G85" s="336"/>
    </row>
    <row r="86" spans="1:7" ht="9.75" customHeight="1">
      <c r="A86" s="336"/>
      <c r="B86" s="336"/>
      <c r="C86" s="443"/>
      <c r="D86" s="443"/>
      <c r="E86" s="443"/>
      <c r="F86" s="336"/>
      <c r="G86" s="336"/>
    </row>
    <row r="87" spans="1:7" ht="9.75" customHeight="1">
      <c r="A87" s="336"/>
      <c r="B87" s="336"/>
      <c r="C87" s="443"/>
      <c r="D87" s="443"/>
      <c r="E87" s="443"/>
      <c r="F87" s="336"/>
      <c r="G87" s="336"/>
    </row>
    <row r="88" spans="1:7" ht="9.75" customHeight="1">
      <c r="A88" s="336"/>
      <c r="B88" s="336"/>
      <c r="C88" s="443"/>
      <c r="D88" s="443"/>
      <c r="E88" s="443"/>
      <c r="F88" s="336"/>
      <c r="G88" s="336"/>
    </row>
    <row r="89" spans="1:7" ht="9.75" customHeight="1">
      <c r="A89" s="336"/>
      <c r="B89" s="336"/>
      <c r="C89" s="443"/>
      <c r="D89" s="443"/>
      <c r="E89" s="443"/>
      <c r="F89" s="336"/>
      <c r="G89" s="336"/>
    </row>
    <row r="90" spans="1:7" ht="9.75" customHeight="1">
      <c r="A90" s="336"/>
      <c r="B90" s="336"/>
      <c r="C90" s="443"/>
      <c r="D90" s="443"/>
      <c r="E90" s="443"/>
      <c r="F90" s="336"/>
      <c r="G90" s="336"/>
    </row>
    <row r="91" spans="1:7" ht="9.75" customHeight="1">
      <c r="A91" s="336"/>
      <c r="B91" s="336"/>
      <c r="C91" s="443"/>
      <c r="D91" s="443"/>
      <c r="E91" s="443"/>
      <c r="F91" s="336"/>
      <c r="G91" s="336"/>
    </row>
    <row r="92" spans="1:7" ht="9.75" customHeight="1">
      <c r="A92" s="336"/>
      <c r="B92" s="336"/>
      <c r="C92" s="443"/>
      <c r="D92" s="443"/>
      <c r="E92" s="443"/>
      <c r="F92" s="336"/>
      <c r="G92" s="336"/>
    </row>
    <row r="93" spans="1:7" ht="9.75" customHeight="1">
      <c r="A93" s="336"/>
      <c r="B93" s="336"/>
      <c r="C93" s="443"/>
      <c r="D93" s="443"/>
      <c r="E93" s="443"/>
      <c r="F93" s="336"/>
      <c r="G93" s="336"/>
    </row>
    <row r="94" spans="1:7" ht="9.75" customHeight="1">
      <c r="A94" s="336"/>
      <c r="B94" s="336"/>
      <c r="C94" s="443"/>
      <c r="D94" s="443"/>
      <c r="E94" s="443"/>
      <c r="F94" s="336"/>
      <c r="G94" s="336"/>
    </row>
    <row r="95" spans="1:7" ht="9.75" customHeight="1">
      <c r="A95" s="336"/>
      <c r="B95" s="336"/>
      <c r="C95" s="443"/>
      <c r="D95" s="443"/>
      <c r="E95" s="443"/>
      <c r="F95" s="336"/>
      <c r="G95" s="336"/>
    </row>
    <row r="96" spans="1:7" ht="9.75" customHeight="1">
      <c r="A96" s="336"/>
      <c r="B96" s="336"/>
      <c r="C96" s="443"/>
      <c r="D96" s="443"/>
      <c r="E96" s="443"/>
      <c r="F96" s="336"/>
      <c r="G96" s="336"/>
    </row>
    <row r="97" spans="1:7" ht="9.75" customHeight="1">
      <c r="A97" s="336"/>
      <c r="B97" s="336"/>
      <c r="C97" s="443"/>
      <c r="D97" s="443"/>
      <c r="E97" s="443"/>
      <c r="F97" s="336"/>
      <c r="G97" s="336"/>
    </row>
    <row r="98" spans="1:7" ht="9.75" customHeight="1">
      <c r="A98" s="336"/>
      <c r="B98" s="336"/>
      <c r="C98" s="443"/>
      <c r="D98" s="443"/>
      <c r="E98" s="443"/>
      <c r="F98" s="336"/>
      <c r="G98" s="336"/>
    </row>
    <row r="99" spans="1:7" ht="9.75" customHeight="1">
      <c r="A99" s="336"/>
      <c r="B99" s="336"/>
      <c r="C99" s="443"/>
      <c r="D99" s="443"/>
      <c r="E99" s="443"/>
      <c r="F99" s="336"/>
      <c r="G99" s="336"/>
    </row>
    <row r="100" spans="1:7" ht="9.75" customHeight="1">
      <c r="A100" s="336"/>
      <c r="B100" s="336"/>
      <c r="C100" s="443"/>
      <c r="D100" s="443"/>
      <c r="E100" s="443"/>
      <c r="F100" s="336"/>
      <c r="G100" s="336"/>
    </row>
    <row r="101" spans="1:7" ht="9.75" customHeight="1">
      <c r="A101" s="336"/>
      <c r="B101" s="336"/>
      <c r="C101" s="443"/>
      <c r="D101" s="443"/>
      <c r="E101" s="443"/>
      <c r="F101" s="336"/>
      <c r="G101" s="336"/>
    </row>
    <row r="102" spans="1:7" ht="9.75" customHeight="1">
      <c r="A102" s="336"/>
      <c r="B102" s="336"/>
      <c r="C102" s="443"/>
      <c r="D102" s="443"/>
      <c r="E102" s="443"/>
      <c r="F102" s="336"/>
      <c r="G102" s="336"/>
    </row>
    <row r="103" spans="1:7" ht="9.75" customHeight="1">
      <c r="A103" s="336"/>
      <c r="B103" s="336"/>
      <c r="C103" s="443"/>
      <c r="D103" s="443"/>
      <c r="E103" s="443"/>
      <c r="F103" s="336"/>
      <c r="G103" s="336"/>
    </row>
    <row r="104" spans="1:7" ht="9.75" customHeight="1">
      <c r="A104" s="336"/>
      <c r="B104" s="336"/>
      <c r="C104" s="443"/>
      <c r="D104" s="443"/>
      <c r="E104" s="443"/>
      <c r="F104" s="336"/>
      <c r="G104" s="336"/>
    </row>
    <row r="105" spans="1:7" ht="9.75" customHeight="1">
      <c r="A105" s="336"/>
      <c r="B105" s="336"/>
      <c r="C105" s="443"/>
      <c r="D105" s="443"/>
      <c r="E105" s="443"/>
      <c r="F105" s="336"/>
      <c r="G105" s="336"/>
    </row>
    <row r="106" spans="1:7" ht="9.75" customHeight="1">
      <c r="A106" s="336"/>
      <c r="B106" s="336"/>
      <c r="C106" s="443"/>
      <c r="D106" s="443"/>
      <c r="E106" s="443"/>
      <c r="F106" s="336"/>
      <c r="G106" s="336"/>
    </row>
    <row r="107" spans="1:7" ht="9.75" customHeight="1">
      <c r="A107" s="336"/>
      <c r="B107" s="336"/>
      <c r="C107" s="443"/>
      <c r="D107" s="443"/>
      <c r="E107" s="443"/>
      <c r="F107" s="336"/>
      <c r="G107" s="336"/>
    </row>
    <row r="108" spans="1:7" ht="9.75" customHeight="1">
      <c r="A108" s="336"/>
      <c r="B108" s="336"/>
      <c r="C108" s="443"/>
      <c r="D108" s="443"/>
      <c r="E108" s="443"/>
      <c r="F108" s="336"/>
      <c r="G108" s="336"/>
    </row>
    <row r="109" spans="1:7" ht="9.75" customHeight="1">
      <c r="A109" s="336"/>
      <c r="B109" s="336"/>
      <c r="C109" s="443"/>
      <c r="D109" s="443"/>
      <c r="E109" s="443"/>
      <c r="F109" s="336"/>
      <c r="G109" s="336"/>
    </row>
    <row r="110" spans="1:7" ht="9.75" customHeight="1">
      <c r="A110" s="336"/>
      <c r="B110" s="336"/>
      <c r="C110" s="443"/>
      <c r="D110" s="443"/>
      <c r="E110" s="443"/>
      <c r="F110" s="336"/>
      <c r="G110" s="336"/>
    </row>
    <row r="111" spans="1:7" ht="9.75" customHeight="1">
      <c r="A111" s="336"/>
      <c r="B111" s="336"/>
      <c r="C111" s="443"/>
      <c r="D111" s="443"/>
      <c r="E111" s="443"/>
      <c r="F111" s="336"/>
      <c r="G111" s="336"/>
    </row>
    <row r="112" spans="1:7" ht="9.75" customHeight="1">
      <c r="A112" s="336"/>
      <c r="B112" s="336"/>
      <c r="C112" s="443"/>
      <c r="D112" s="443"/>
      <c r="E112" s="443"/>
      <c r="F112" s="336"/>
      <c r="G112" s="336"/>
    </row>
    <row r="113" spans="1:7" ht="9.75" customHeight="1">
      <c r="A113" s="336"/>
      <c r="B113" s="336"/>
      <c r="C113" s="443"/>
      <c r="D113" s="443"/>
      <c r="E113" s="443"/>
      <c r="F113" s="336"/>
      <c r="G113" s="336"/>
    </row>
    <row r="114" spans="1:7" ht="9.75" customHeight="1">
      <c r="A114" s="336"/>
      <c r="B114" s="336"/>
      <c r="C114" s="443"/>
      <c r="D114" s="443"/>
      <c r="E114" s="443"/>
      <c r="F114" s="336"/>
      <c r="G114" s="336"/>
    </row>
    <row r="115" spans="1:7" ht="9.75" customHeight="1">
      <c r="A115" s="336"/>
      <c r="B115" s="336"/>
      <c r="C115" s="443"/>
      <c r="D115" s="443"/>
      <c r="E115" s="443"/>
      <c r="F115" s="336"/>
      <c r="G115" s="336"/>
    </row>
    <row r="116" spans="1:7" ht="9.75" customHeight="1">
      <c r="A116" s="336"/>
      <c r="B116" s="336"/>
      <c r="C116" s="443"/>
      <c r="D116" s="443"/>
      <c r="E116" s="443"/>
      <c r="F116" s="336"/>
      <c r="G116" s="336"/>
    </row>
    <row r="117" spans="1:7" ht="9.75" customHeight="1">
      <c r="A117" s="336"/>
      <c r="B117" s="336"/>
      <c r="C117" s="443"/>
      <c r="D117" s="443"/>
      <c r="E117" s="443"/>
      <c r="F117" s="336"/>
      <c r="G117" s="336"/>
    </row>
    <row r="118" spans="1:7" ht="9.75" customHeight="1">
      <c r="A118" s="336"/>
      <c r="B118" s="336"/>
      <c r="C118" s="443"/>
      <c r="D118" s="443"/>
      <c r="E118" s="443"/>
      <c r="F118" s="336"/>
      <c r="G118" s="336"/>
    </row>
    <row r="119" spans="1:7" ht="9.75" customHeight="1">
      <c r="A119" s="336"/>
      <c r="B119" s="336"/>
      <c r="C119" s="443"/>
      <c r="D119" s="443"/>
      <c r="E119" s="443"/>
      <c r="F119" s="336"/>
      <c r="G119" s="336"/>
    </row>
    <row r="120" spans="1:7" ht="9.75" customHeight="1">
      <c r="A120" s="336"/>
      <c r="B120" s="336"/>
      <c r="C120" s="443"/>
      <c r="D120" s="443"/>
      <c r="E120" s="443"/>
      <c r="F120" s="336"/>
      <c r="G120" s="336"/>
    </row>
    <row r="121" spans="1:7" ht="9.75" customHeight="1">
      <c r="A121" s="336"/>
      <c r="B121" s="336"/>
      <c r="C121" s="443"/>
      <c r="D121" s="443"/>
      <c r="E121" s="443"/>
      <c r="F121" s="336"/>
      <c r="G121" s="336"/>
    </row>
    <row r="122" spans="1:7" ht="9.75" customHeight="1">
      <c r="A122" s="336"/>
      <c r="B122" s="336"/>
      <c r="C122" s="443"/>
      <c r="D122" s="443"/>
      <c r="E122" s="443"/>
      <c r="F122" s="336"/>
      <c r="G122" s="336"/>
    </row>
    <row r="123" spans="1:7" ht="9.75" customHeight="1">
      <c r="A123" s="336"/>
      <c r="B123" s="336"/>
      <c r="C123" s="443"/>
      <c r="D123" s="443"/>
      <c r="E123" s="443"/>
      <c r="F123" s="336"/>
      <c r="G123" s="336"/>
    </row>
    <row r="124" spans="1:7" ht="9.75" customHeight="1">
      <c r="A124" s="336"/>
      <c r="B124" s="336"/>
      <c r="C124" s="443"/>
      <c r="D124" s="443"/>
      <c r="E124" s="443"/>
      <c r="F124" s="336"/>
      <c r="G124" s="336"/>
    </row>
    <row r="125" spans="1:7" ht="9.75" customHeight="1">
      <c r="A125" s="336"/>
      <c r="B125" s="336"/>
      <c r="C125" s="443"/>
      <c r="D125" s="443"/>
      <c r="E125" s="443"/>
      <c r="F125" s="336"/>
      <c r="G125" s="336"/>
    </row>
    <row r="126" spans="1:7" ht="9.75" customHeight="1">
      <c r="A126" s="336"/>
      <c r="B126" s="336"/>
      <c r="C126" s="443"/>
      <c r="D126" s="443"/>
      <c r="E126" s="443"/>
      <c r="F126" s="336"/>
      <c r="G126" s="336"/>
    </row>
    <row r="127" spans="1:7" ht="9.75" customHeight="1">
      <c r="A127" s="336"/>
      <c r="B127" s="336"/>
      <c r="C127" s="443"/>
      <c r="D127" s="443"/>
      <c r="E127" s="443"/>
      <c r="F127" s="336"/>
      <c r="G127" s="336"/>
    </row>
    <row r="128" spans="1:7" ht="9.75" customHeight="1">
      <c r="A128" s="336"/>
      <c r="B128" s="336"/>
      <c r="C128" s="443"/>
      <c r="D128" s="443"/>
      <c r="E128" s="443"/>
      <c r="F128" s="336"/>
      <c r="G128" s="336"/>
    </row>
    <row r="129" spans="1:7" ht="9.75" customHeight="1">
      <c r="A129" s="336"/>
      <c r="B129" s="336"/>
      <c r="C129" s="443"/>
      <c r="D129" s="443"/>
      <c r="E129" s="443"/>
      <c r="F129" s="336"/>
      <c r="G129" s="336"/>
    </row>
    <row r="130" spans="1:7" ht="9.75" customHeight="1">
      <c r="A130" s="336"/>
      <c r="B130" s="336"/>
      <c r="C130" s="443"/>
      <c r="D130" s="443"/>
      <c r="E130" s="443"/>
      <c r="F130" s="336"/>
      <c r="G130" s="336"/>
    </row>
    <row r="131" spans="1:7" ht="9.75" customHeight="1">
      <c r="A131" s="336"/>
      <c r="B131" s="336"/>
      <c r="C131" s="443"/>
      <c r="D131" s="443"/>
      <c r="E131" s="443"/>
      <c r="F131" s="336"/>
      <c r="G131" s="336"/>
    </row>
    <row r="132" spans="1:7" ht="9.75" customHeight="1">
      <c r="A132" s="336"/>
      <c r="B132" s="336"/>
      <c r="C132" s="443"/>
      <c r="D132" s="443"/>
      <c r="E132" s="443"/>
      <c r="F132" s="336"/>
      <c r="G132" s="336"/>
    </row>
    <row r="133" spans="1:7" ht="9.75" customHeight="1">
      <c r="A133" s="336"/>
      <c r="B133" s="336"/>
      <c r="C133" s="443"/>
      <c r="D133" s="443"/>
      <c r="E133" s="443"/>
      <c r="F133" s="336"/>
      <c r="G133" s="336"/>
    </row>
    <row r="134" spans="1:7" ht="9.75" customHeight="1">
      <c r="A134" s="336"/>
      <c r="B134" s="336"/>
      <c r="C134" s="443"/>
      <c r="D134" s="443"/>
      <c r="E134" s="443"/>
      <c r="F134" s="336"/>
      <c r="G134" s="336"/>
    </row>
    <row r="135" spans="1:7" ht="9.75" customHeight="1">
      <c r="A135" s="336"/>
      <c r="B135" s="336"/>
      <c r="C135" s="443"/>
      <c r="D135" s="443"/>
      <c r="E135" s="443"/>
      <c r="F135" s="336"/>
      <c r="G135" s="336"/>
    </row>
    <row r="136" spans="1:7" ht="9.75" customHeight="1">
      <c r="A136" s="336"/>
      <c r="B136" s="336"/>
      <c r="C136" s="443"/>
      <c r="D136" s="443"/>
      <c r="E136" s="443"/>
      <c r="F136" s="336"/>
      <c r="G136" s="336"/>
    </row>
    <row r="137" spans="1:7" ht="9.75" customHeight="1">
      <c r="A137" s="336"/>
      <c r="B137" s="336"/>
      <c r="C137" s="443"/>
      <c r="D137" s="443"/>
      <c r="E137" s="443"/>
      <c r="F137" s="336"/>
      <c r="G137" s="336"/>
    </row>
    <row r="138" spans="1:7" ht="9.75" customHeight="1">
      <c r="A138" s="336"/>
      <c r="B138" s="336"/>
      <c r="C138" s="443"/>
      <c r="D138" s="443"/>
      <c r="E138" s="443"/>
      <c r="F138" s="336"/>
      <c r="G138" s="336"/>
    </row>
    <row r="139" spans="1:7" ht="9.75" customHeight="1">
      <c r="A139" s="336"/>
      <c r="B139" s="336"/>
      <c r="C139" s="443"/>
      <c r="D139" s="443"/>
      <c r="E139" s="443"/>
      <c r="F139" s="336"/>
      <c r="G139" s="336"/>
    </row>
    <row r="140" spans="1:7" ht="9.75" customHeight="1">
      <c r="A140" s="336"/>
      <c r="B140" s="336"/>
      <c r="C140" s="443"/>
      <c r="D140" s="443"/>
      <c r="E140" s="443"/>
      <c r="F140" s="336"/>
      <c r="G140" s="336"/>
    </row>
    <row r="141" spans="1:7" ht="9.75" customHeight="1">
      <c r="A141" s="336"/>
      <c r="B141" s="336"/>
      <c r="C141" s="443"/>
      <c r="D141" s="443"/>
      <c r="E141" s="443"/>
      <c r="F141" s="336"/>
      <c r="G141" s="336"/>
    </row>
    <row r="142" spans="1:7" ht="9.75" customHeight="1">
      <c r="A142" s="336"/>
      <c r="B142" s="336"/>
      <c r="C142" s="443"/>
      <c r="D142" s="443"/>
      <c r="E142" s="443"/>
      <c r="F142" s="336"/>
      <c r="G142" s="336"/>
    </row>
    <row r="143" spans="1:7" ht="9.75" customHeight="1">
      <c r="A143" s="336"/>
      <c r="B143" s="336"/>
      <c r="C143" s="443"/>
      <c r="D143" s="443"/>
      <c r="E143" s="443"/>
      <c r="F143" s="336"/>
      <c r="G143" s="336"/>
    </row>
    <row r="144" spans="1:7" ht="9.75" customHeight="1">
      <c r="A144" s="336"/>
      <c r="B144" s="336"/>
      <c r="C144" s="443"/>
      <c r="D144" s="443"/>
      <c r="E144" s="443"/>
      <c r="F144" s="336"/>
      <c r="G144" s="336"/>
    </row>
    <row r="145" spans="1:7" ht="9.75" customHeight="1">
      <c r="A145" s="336"/>
      <c r="B145" s="336"/>
      <c r="C145" s="443"/>
      <c r="D145" s="443"/>
      <c r="E145" s="443"/>
      <c r="F145" s="336"/>
      <c r="G145" s="336"/>
    </row>
    <row r="146" spans="1:7" ht="9.75" customHeight="1">
      <c r="A146" s="336"/>
      <c r="B146" s="336"/>
      <c r="C146" s="443"/>
      <c r="D146" s="443"/>
      <c r="E146" s="443"/>
      <c r="F146" s="336"/>
      <c r="G146" s="336"/>
    </row>
    <row r="147" spans="1:7" ht="9.75" customHeight="1">
      <c r="A147" s="336"/>
      <c r="B147" s="336"/>
      <c r="C147" s="443"/>
      <c r="D147" s="443"/>
      <c r="E147" s="443"/>
      <c r="F147" s="336"/>
      <c r="G147" s="336"/>
    </row>
    <row r="148" spans="1:7" ht="9.75" customHeight="1">
      <c r="A148" s="336"/>
      <c r="B148" s="336"/>
      <c r="C148" s="443"/>
      <c r="D148" s="443"/>
      <c r="E148" s="443"/>
      <c r="F148" s="336"/>
      <c r="G148" s="336"/>
    </row>
    <row r="149" spans="1:7" ht="9.75" customHeight="1">
      <c r="A149" s="336"/>
      <c r="B149" s="336"/>
      <c r="C149" s="443"/>
      <c r="D149" s="443"/>
      <c r="E149" s="443"/>
      <c r="F149" s="336"/>
      <c r="G149" s="336"/>
    </row>
    <row r="150" spans="1:7" ht="9.75" customHeight="1">
      <c r="A150" s="336"/>
      <c r="B150" s="336"/>
      <c r="C150" s="443"/>
      <c r="D150" s="443"/>
      <c r="E150" s="443"/>
      <c r="F150" s="336"/>
      <c r="G150" s="336"/>
    </row>
    <row r="151" spans="1:7" ht="9.75" customHeight="1">
      <c r="A151" s="336"/>
      <c r="B151" s="336"/>
      <c r="C151" s="443"/>
      <c r="D151" s="443"/>
      <c r="E151" s="443"/>
      <c r="F151" s="336"/>
      <c r="G151" s="336"/>
    </row>
    <row r="152" spans="1:7" ht="9.75" customHeight="1">
      <c r="A152" s="336"/>
      <c r="B152" s="336"/>
      <c r="C152" s="443"/>
      <c r="D152" s="443"/>
      <c r="E152" s="443"/>
      <c r="F152" s="336"/>
      <c r="G152" s="336"/>
    </row>
    <row r="153" spans="1:7" ht="9.75" customHeight="1">
      <c r="A153" s="336"/>
      <c r="B153" s="336"/>
      <c r="C153" s="443"/>
      <c r="D153" s="443"/>
      <c r="E153" s="443"/>
      <c r="F153" s="336"/>
      <c r="G153" s="336"/>
    </row>
    <row r="154" spans="1:7" ht="9.75" customHeight="1">
      <c r="A154" s="336"/>
      <c r="B154" s="336"/>
      <c r="C154" s="443"/>
      <c r="D154" s="443"/>
      <c r="E154" s="443"/>
      <c r="F154" s="336"/>
      <c r="G154" s="336"/>
    </row>
    <row r="155" spans="1:7" ht="9.75" customHeight="1">
      <c r="A155" s="336"/>
      <c r="B155" s="336"/>
      <c r="C155" s="443"/>
      <c r="D155" s="443"/>
      <c r="E155" s="443"/>
      <c r="F155" s="336"/>
      <c r="G155" s="336"/>
    </row>
    <row r="156" spans="1:7" ht="9.75" customHeight="1">
      <c r="A156" s="336"/>
      <c r="B156" s="336"/>
      <c r="C156" s="443"/>
      <c r="D156" s="443"/>
      <c r="E156" s="443"/>
      <c r="F156" s="336"/>
      <c r="G156" s="336"/>
    </row>
    <row r="157" spans="1:7" ht="9.75" customHeight="1">
      <c r="A157" s="336"/>
      <c r="B157" s="336"/>
      <c r="C157" s="443"/>
      <c r="D157" s="443"/>
      <c r="E157" s="443"/>
      <c r="F157" s="336"/>
      <c r="G157" s="336"/>
    </row>
    <row r="158" spans="1:7" ht="9.75" customHeight="1">
      <c r="A158" s="336"/>
      <c r="B158" s="336"/>
      <c r="C158" s="443"/>
      <c r="D158" s="443"/>
      <c r="E158" s="443"/>
      <c r="F158" s="336"/>
      <c r="G158" s="336"/>
    </row>
    <row r="159" spans="1:7" ht="9.75" customHeight="1">
      <c r="A159" s="336"/>
      <c r="B159" s="336"/>
      <c r="C159" s="443"/>
      <c r="D159" s="443"/>
      <c r="E159" s="443"/>
      <c r="F159" s="336"/>
      <c r="G159" s="336"/>
    </row>
    <row r="160" spans="1:7" ht="9.75" customHeight="1">
      <c r="A160" s="336"/>
      <c r="B160" s="336"/>
      <c r="C160" s="443"/>
      <c r="D160" s="443"/>
      <c r="E160" s="443"/>
      <c r="F160" s="336"/>
      <c r="G160" s="336"/>
    </row>
    <row r="161" spans="1:7" ht="9.75" customHeight="1">
      <c r="A161" s="336"/>
      <c r="B161" s="336"/>
      <c r="C161" s="443"/>
      <c r="D161" s="443"/>
      <c r="E161" s="443"/>
      <c r="F161" s="336"/>
      <c r="G161" s="336"/>
    </row>
    <row r="162" spans="1:7" ht="9.75" customHeight="1">
      <c r="A162" s="336"/>
      <c r="B162" s="336"/>
      <c r="C162" s="443"/>
      <c r="D162" s="443"/>
      <c r="E162" s="443"/>
      <c r="F162" s="336"/>
      <c r="G162" s="336"/>
    </row>
    <row r="163" spans="1:7" ht="9.75" customHeight="1">
      <c r="A163" s="336"/>
      <c r="B163" s="336"/>
      <c r="C163" s="443"/>
      <c r="D163" s="443"/>
      <c r="E163" s="443"/>
      <c r="F163" s="336"/>
      <c r="G163" s="336"/>
    </row>
    <row r="164" spans="1:7" ht="9.75" customHeight="1">
      <c r="A164" s="336"/>
      <c r="B164" s="336"/>
      <c r="C164" s="443"/>
      <c r="D164" s="443"/>
      <c r="E164" s="443"/>
      <c r="F164" s="336"/>
      <c r="G164" s="336"/>
    </row>
    <row r="165" spans="1:7" ht="9.75" customHeight="1">
      <c r="A165" s="336"/>
      <c r="B165" s="336"/>
      <c r="C165" s="443"/>
      <c r="D165" s="443"/>
      <c r="E165" s="443"/>
      <c r="F165" s="336"/>
      <c r="G165" s="336"/>
    </row>
    <row r="166" spans="1:7" ht="9.75" customHeight="1">
      <c r="A166" s="336"/>
      <c r="B166" s="336"/>
      <c r="C166" s="443"/>
      <c r="D166" s="443"/>
      <c r="E166" s="443"/>
      <c r="F166" s="336"/>
      <c r="G166" s="336"/>
    </row>
    <row r="167" spans="1:7" ht="9.75" customHeight="1">
      <c r="A167" s="336"/>
      <c r="B167" s="336"/>
      <c r="C167" s="443"/>
      <c r="D167" s="443"/>
      <c r="E167" s="443"/>
      <c r="F167" s="336"/>
      <c r="G167" s="336"/>
    </row>
    <row r="168" spans="1:7" ht="9.75" customHeight="1">
      <c r="A168" s="336"/>
      <c r="B168" s="336"/>
      <c r="C168" s="443"/>
      <c r="D168" s="443"/>
      <c r="E168" s="443"/>
      <c r="F168" s="336"/>
      <c r="G168" s="336"/>
    </row>
    <row r="169" spans="1:7" ht="9.75" customHeight="1">
      <c r="A169" s="336"/>
      <c r="B169" s="336"/>
      <c r="C169" s="443"/>
      <c r="D169" s="443"/>
      <c r="E169" s="443"/>
      <c r="F169" s="336"/>
      <c r="G169" s="336"/>
    </row>
    <row r="170" spans="1:7" ht="9.75" customHeight="1">
      <c r="A170" s="336"/>
      <c r="B170" s="336"/>
      <c r="C170" s="443"/>
      <c r="D170" s="443"/>
      <c r="E170" s="443"/>
      <c r="F170" s="336"/>
      <c r="G170" s="336"/>
    </row>
    <row r="171" spans="1:7" ht="9.75" customHeight="1">
      <c r="A171" s="336"/>
      <c r="B171" s="336"/>
      <c r="C171" s="443"/>
      <c r="D171" s="443"/>
      <c r="E171" s="443"/>
      <c r="F171" s="336"/>
      <c r="G171" s="336"/>
    </row>
    <row r="172" spans="1:7" ht="9.75" customHeight="1">
      <c r="A172" s="336"/>
      <c r="B172" s="336"/>
      <c r="C172" s="336"/>
      <c r="D172" s="336"/>
      <c r="E172" s="336"/>
      <c r="F172" s="336"/>
      <c r="G172" s="336"/>
    </row>
    <row r="173" spans="1:7" ht="9.75" customHeight="1">
      <c r="A173" s="336"/>
      <c r="B173" s="336"/>
      <c r="C173" s="336"/>
      <c r="D173" s="336"/>
      <c r="E173" s="336"/>
      <c r="F173" s="336"/>
      <c r="G173" s="336"/>
    </row>
    <row r="174" spans="1:7" ht="9.75" customHeight="1">
      <c r="A174" s="336"/>
      <c r="B174" s="336"/>
      <c r="C174" s="336"/>
      <c r="D174" s="336"/>
      <c r="E174" s="336"/>
      <c r="F174" s="336"/>
      <c r="G174" s="336"/>
    </row>
    <row r="175" spans="1:7" ht="9.75" customHeight="1">
      <c r="A175" s="336"/>
      <c r="B175" s="336"/>
      <c r="C175" s="336"/>
      <c r="D175" s="336"/>
      <c r="E175" s="336"/>
      <c r="F175" s="336"/>
      <c r="G175" s="336"/>
    </row>
    <row r="176" spans="1:7" ht="9.75" customHeight="1">
      <c r="A176" s="336"/>
      <c r="B176" s="336"/>
      <c r="C176" s="336"/>
      <c r="D176" s="336"/>
      <c r="E176" s="336"/>
      <c r="F176" s="336"/>
      <c r="G176" s="336"/>
    </row>
    <row r="177" spans="1:7" ht="9.75" customHeight="1">
      <c r="A177" s="336"/>
      <c r="B177" s="336"/>
      <c r="C177" s="336"/>
      <c r="D177" s="336"/>
      <c r="E177" s="336"/>
      <c r="F177" s="336"/>
      <c r="G177" s="336"/>
    </row>
    <row r="178" spans="1:7" ht="9.75" customHeight="1">
      <c r="A178" s="336"/>
      <c r="B178" s="336"/>
      <c r="C178" s="336"/>
      <c r="D178" s="336"/>
      <c r="E178" s="336"/>
      <c r="F178" s="336"/>
      <c r="G178" s="336"/>
    </row>
    <row r="179" spans="1:7" ht="9.75" customHeight="1">
      <c r="A179" s="336"/>
      <c r="B179" s="336"/>
      <c r="C179" s="336"/>
      <c r="D179" s="336"/>
      <c r="E179" s="336"/>
      <c r="F179" s="336"/>
      <c r="G179" s="336"/>
    </row>
    <row r="180" spans="1:7" ht="9.75" customHeight="1">
      <c r="A180" s="336"/>
      <c r="B180" s="336"/>
      <c r="C180" s="336"/>
      <c r="D180" s="336"/>
      <c r="E180" s="336"/>
      <c r="F180" s="336"/>
      <c r="G180" s="336"/>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Junio 2020
INFSGI-MES-06-2020
13/07/2020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topLeftCell="A28" zoomScale="120" zoomScaleNormal="100" zoomScaleSheetLayoutView="120" zoomScalePageLayoutView="130" workbookViewId="0">
      <selection activeCell="N65" sqref="N65"/>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75" t="s">
        <v>250</v>
      </c>
      <c r="B1" s="978" t="s">
        <v>54</v>
      </c>
      <c r="C1" s="981" t="str">
        <f>+'18. ANEXOI-1'!C2:F2</f>
        <v>ENERGÍA PRODUCIDA JUNIO 2020</v>
      </c>
      <c r="D1" s="981"/>
      <c r="E1" s="981"/>
      <c r="F1" s="981"/>
      <c r="G1" s="636" t="s">
        <v>276</v>
      </c>
      <c r="H1" s="203"/>
    </row>
    <row r="2" spans="1:8" ht="11.25" customHeight="1">
      <c r="A2" s="976"/>
      <c r="B2" s="979"/>
      <c r="C2" s="982" t="s">
        <v>277</v>
      </c>
      <c r="D2" s="982"/>
      <c r="E2" s="982"/>
      <c r="F2" s="983" t="str">
        <f>"TOTAL 
"&amp;UPPER('1. Resumen'!Q4)</f>
        <v>TOTAL 
JUNIO</v>
      </c>
      <c r="G2" s="637" t="s">
        <v>278</v>
      </c>
      <c r="H2" s="194"/>
    </row>
    <row r="3" spans="1:8" ht="11.25" customHeight="1">
      <c r="A3" s="976"/>
      <c r="B3" s="979"/>
      <c r="C3" s="628" t="s">
        <v>215</v>
      </c>
      <c r="D3" s="628" t="s">
        <v>216</v>
      </c>
      <c r="E3" s="628" t="s">
        <v>279</v>
      </c>
      <c r="F3" s="984"/>
      <c r="G3" s="637">
        <v>2020</v>
      </c>
      <c r="H3" s="196"/>
    </row>
    <row r="4" spans="1:8" ht="11.25" customHeight="1">
      <c r="A4" s="985"/>
      <c r="B4" s="986"/>
      <c r="C4" s="629" t="s">
        <v>280</v>
      </c>
      <c r="D4" s="629" t="s">
        <v>280</v>
      </c>
      <c r="E4" s="629" t="s">
        <v>280</v>
      </c>
      <c r="F4" s="629" t="s">
        <v>280</v>
      </c>
      <c r="G4" s="638" t="s">
        <v>208</v>
      </c>
      <c r="H4" s="196"/>
    </row>
    <row r="5" spans="1:8" ht="10.5" customHeight="1">
      <c r="A5" s="679" t="s">
        <v>87</v>
      </c>
      <c r="B5" s="631" t="s">
        <v>314</v>
      </c>
      <c r="C5" s="632">
        <v>24588.572500000002</v>
      </c>
      <c r="D5" s="632"/>
      <c r="E5" s="632"/>
      <c r="F5" s="632">
        <v>24588.572500000002</v>
      </c>
      <c r="G5" s="684">
        <v>287943.67137</v>
      </c>
    </row>
    <row r="6" spans="1:8" ht="10.5" customHeight="1">
      <c r="A6" s="679"/>
      <c r="B6" s="631" t="s">
        <v>315</v>
      </c>
      <c r="C6" s="632">
        <v>49178.069589999999</v>
      </c>
      <c r="D6" s="632"/>
      <c r="E6" s="632"/>
      <c r="F6" s="632">
        <v>49178.069589999999</v>
      </c>
      <c r="G6" s="684">
        <v>500447.46592250001</v>
      </c>
    </row>
    <row r="7" spans="1:8" ht="10.5" customHeight="1">
      <c r="A7" s="679"/>
      <c r="B7" s="631" t="s">
        <v>316</v>
      </c>
      <c r="C7" s="632"/>
      <c r="D7" s="632">
        <v>495969.440405</v>
      </c>
      <c r="E7" s="632"/>
      <c r="F7" s="632">
        <v>495969.440405</v>
      </c>
      <c r="G7" s="684">
        <v>1747867.3853374999</v>
      </c>
    </row>
    <row r="8" spans="1:8" ht="10.5" customHeight="1">
      <c r="A8" s="679"/>
      <c r="B8" s="631" t="s">
        <v>317</v>
      </c>
      <c r="C8" s="632"/>
      <c r="D8" s="632">
        <v>0</v>
      </c>
      <c r="E8" s="632"/>
      <c r="F8" s="632">
        <v>0</v>
      </c>
      <c r="G8" s="684">
        <v>20999.167530000002</v>
      </c>
    </row>
    <row r="9" spans="1:8" ht="10.5" customHeight="1">
      <c r="A9" s="679"/>
      <c r="B9" s="631" t="s">
        <v>318</v>
      </c>
      <c r="C9" s="632"/>
      <c r="D9" s="632">
        <v>0</v>
      </c>
      <c r="E9" s="632"/>
      <c r="F9" s="632">
        <v>0</v>
      </c>
      <c r="G9" s="684">
        <v>0</v>
      </c>
    </row>
    <row r="10" spans="1:8" ht="10.5" customHeight="1">
      <c r="A10" s="679"/>
      <c r="B10" s="631" t="s">
        <v>319</v>
      </c>
      <c r="C10" s="632"/>
      <c r="D10" s="632">
        <v>0</v>
      </c>
      <c r="E10" s="632"/>
      <c r="F10" s="632">
        <v>0</v>
      </c>
      <c r="G10" s="684">
        <v>466.30155250000001</v>
      </c>
    </row>
    <row r="11" spans="1:8" ht="10.5" customHeight="1">
      <c r="A11" s="679"/>
      <c r="B11" s="631" t="s">
        <v>320</v>
      </c>
      <c r="C11" s="632"/>
      <c r="D11" s="632">
        <v>0</v>
      </c>
      <c r="E11" s="632"/>
      <c r="F11" s="632">
        <v>0</v>
      </c>
      <c r="G11" s="684">
        <v>359.81827500000003</v>
      </c>
    </row>
    <row r="12" spans="1:8" ht="10.5" customHeight="1">
      <c r="A12" s="679"/>
      <c r="B12" s="631" t="s">
        <v>428</v>
      </c>
      <c r="C12" s="632"/>
      <c r="D12" s="632"/>
      <c r="E12" s="632">
        <v>7495.3588300000001</v>
      </c>
      <c r="F12" s="632">
        <v>7495.3588300000001</v>
      </c>
      <c r="G12" s="684">
        <v>46214.877419999997</v>
      </c>
    </row>
    <row r="13" spans="1:8" ht="10.5" customHeight="1">
      <c r="A13" s="681" t="s">
        <v>516</v>
      </c>
      <c r="B13" s="517"/>
      <c r="C13" s="518">
        <v>73766.642090000008</v>
      </c>
      <c r="D13" s="518">
        <v>495969.440405</v>
      </c>
      <c r="E13" s="518">
        <v>7495.3588300000001</v>
      </c>
      <c r="F13" s="518">
        <v>577231.44132500002</v>
      </c>
      <c r="G13" s="685">
        <v>2604298.6874075001</v>
      </c>
    </row>
    <row r="14" spans="1:8" ht="10.5" customHeight="1">
      <c r="A14" s="679" t="s">
        <v>239</v>
      </c>
      <c r="B14" s="631" t="s">
        <v>321</v>
      </c>
      <c r="C14" s="632"/>
      <c r="D14" s="632">
        <v>298821.68594</v>
      </c>
      <c r="E14" s="632"/>
      <c r="F14" s="632">
        <v>298821.68594</v>
      </c>
      <c r="G14" s="684">
        <v>841924.00910000002</v>
      </c>
    </row>
    <row r="15" spans="1:8" ht="10.5" customHeight="1">
      <c r="A15" s="681" t="s">
        <v>517</v>
      </c>
      <c r="B15" s="517"/>
      <c r="C15" s="518"/>
      <c r="D15" s="518">
        <v>298821.68594</v>
      </c>
      <c r="E15" s="518"/>
      <c r="F15" s="518">
        <v>298821.68594</v>
      </c>
      <c r="G15" s="685">
        <v>841924.00910000002</v>
      </c>
    </row>
    <row r="16" spans="1:8" s="738" customFormat="1" ht="10.5" customHeight="1">
      <c r="A16" s="699" t="s">
        <v>458</v>
      </c>
      <c r="B16" s="441" t="s">
        <v>463</v>
      </c>
      <c r="C16" s="442"/>
      <c r="D16" s="442"/>
      <c r="E16" s="442">
        <v>6041.0269575000002</v>
      </c>
      <c r="F16" s="442">
        <v>6041.0269575000002</v>
      </c>
      <c r="G16" s="695">
        <v>56361.615102499985</v>
      </c>
    </row>
    <row r="17" spans="1:7" s="738" customFormat="1" ht="10.5" customHeight="1">
      <c r="A17" s="696"/>
      <c r="B17" s="631" t="s">
        <v>459</v>
      </c>
      <c r="C17" s="632"/>
      <c r="D17" s="632"/>
      <c r="E17" s="632">
        <v>0</v>
      </c>
      <c r="F17" s="632">
        <v>0</v>
      </c>
      <c r="G17" s="684">
        <v>9324.0761600000005</v>
      </c>
    </row>
    <row r="18" spans="1:7" s="738" customFormat="1" ht="10.5" customHeight="1">
      <c r="A18" s="681" t="s">
        <v>518</v>
      </c>
      <c r="B18" s="517"/>
      <c r="C18" s="518"/>
      <c r="D18" s="518"/>
      <c r="E18" s="518">
        <v>6041.0269575000002</v>
      </c>
      <c r="F18" s="518">
        <v>6041.0269575000002</v>
      </c>
      <c r="G18" s="685">
        <v>65685.691262499982</v>
      </c>
    </row>
    <row r="19" spans="1:7" ht="10.5" customHeight="1">
      <c r="A19" s="679" t="s">
        <v>108</v>
      </c>
      <c r="B19" s="631" t="s">
        <v>66</v>
      </c>
      <c r="C19" s="632"/>
      <c r="D19" s="632"/>
      <c r="E19" s="632">
        <v>5539.1570325000002</v>
      </c>
      <c r="F19" s="632">
        <v>5539.1570325000002</v>
      </c>
      <c r="G19" s="684">
        <v>29373.095372499996</v>
      </c>
    </row>
    <row r="20" spans="1:7" ht="10.5" customHeight="1">
      <c r="A20" s="679"/>
      <c r="B20" s="631" t="s">
        <v>415</v>
      </c>
      <c r="C20" s="632"/>
      <c r="D20" s="632"/>
      <c r="E20" s="632">
        <v>4518.3815974999998</v>
      </c>
      <c r="F20" s="632">
        <v>4518.3815974999998</v>
      </c>
      <c r="G20" s="684">
        <v>69663.904794999995</v>
      </c>
    </row>
    <row r="21" spans="1:7" ht="10.5" customHeight="1">
      <c r="A21" s="679"/>
      <c r="B21" s="631" t="s">
        <v>413</v>
      </c>
      <c r="C21" s="632"/>
      <c r="D21" s="632"/>
      <c r="E21" s="632">
        <v>6107.6817099999998</v>
      </c>
      <c r="F21" s="632">
        <v>6107.6817099999998</v>
      </c>
      <c r="G21" s="684">
        <v>72829.629760000011</v>
      </c>
    </row>
    <row r="22" spans="1:7" ht="10.5" customHeight="1">
      <c r="A22" s="679"/>
      <c r="B22" s="631" t="s">
        <v>414</v>
      </c>
      <c r="C22" s="632"/>
      <c r="D22" s="632"/>
      <c r="E22" s="632">
        <v>6136.6541349999998</v>
      </c>
      <c r="F22" s="632">
        <v>6136.6541349999998</v>
      </c>
      <c r="G22" s="684">
        <v>64813.885575</v>
      </c>
    </row>
    <row r="23" spans="1:7" ht="10.5" customHeight="1">
      <c r="A23" s="681" t="s">
        <v>519</v>
      </c>
      <c r="B23" s="517"/>
      <c r="C23" s="518"/>
      <c r="D23" s="518"/>
      <c r="E23" s="518">
        <v>22301.874475000001</v>
      </c>
      <c r="F23" s="518">
        <v>22301.874475000001</v>
      </c>
      <c r="G23" s="685">
        <v>236680.5155025</v>
      </c>
    </row>
    <row r="24" spans="1:7" ht="10.5" customHeight="1">
      <c r="A24" s="679" t="s">
        <v>111</v>
      </c>
      <c r="B24" s="631" t="s">
        <v>233</v>
      </c>
      <c r="C24" s="632"/>
      <c r="D24" s="632"/>
      <c r="E24" s="632">
        <v>3309.299</v>
      </c>
      <c r="F24" s="632">
        <v>3309.299</v>
      </c>
      <c r="G24" s="684">
        <v>20661.955399999999</v>
      </c>
    </row>
    <row r="25" spans="1:7" ht="10.5" customHeight="1">
      <c r="A25" s="681" t="s">
        <v>520</v>
      </c>
      <c r="B25" s="517"/>
      <c r="C25" s="518"/>
      <c r="D25" s="518"/>
      <c r="E25" s="518">
        <v>3309.299</v>
      </c>
      <c r="F25" s="518">
        <v>3309.299</v>
      </c>
      <c r="G25" s="685">
        <v>20661.955399999999</v>
      </c>
    </row>
    <row r="26" spans="1:7" ht="10.5" customHeight="1">
      <c r="A26" s="679" t="s">
        <v>112</v>
      </c>
      <c r="B26" s="631" t="s">
        <v>82</v>
      </c>
      <c r="C26" s="632"/>
      <c r="D26" s="632"/>
      <c r="E26" s="632">
        <v>3339.4412349999998</v>
      </c>
      <c r="F26" s="632">
        <v>3339.4412349999998</v>
      </c>
      <c r="G26" s="684">
        <v>20031.517022499997</v>
      </c>
    </row>
    <row r="27" spans="1:7" ht="10.5" customHeight="1">
      <c r="A27" s="681" t="s">
        <v>521</v>
      </c>
      <c r="B27" s="517"/>
      <c r="C27" s="518"/>
      <c r="D27" s="518"/>
      <c r="E27" s="518">
        <v>3339.4412349999998</v>
      </c>
      <c r="F27" s="518">
        <v>3339.4412349999998</v>
      </c>
      <c r="G27" s="685">
        <v>20031.517022499997</v>
      </c>
    </row>
    <row r="28" spans="1:7" ht="10.5" customHeight="1">
      <c r="A28" s="679" t="s">
        <v>116</v>
      </c>
      <c r="B28" s="631" t="s">
        <v>74</v>
      </c>
      <c r="C28" s="632"/>
      <c r="D28" s="632"/>
      <c r="E28" s="632">
        <v>2217.6</v>
      </c>
      <c r="F28" s="632">
        <v>2217.6</v>
      </c>
      <c r="G28" s="684">
        <v>14019.800000000001</v>
      </c>
    </row>
    <row r="29" spans="1:7" ht="10.5" customHeight="1">
      <c r="A29" s="681" t="s">
        <v>522</v>
      </c>
      <c r="B29" s="517"/>
      <c r="C29" s="518"/>
      <c r="D29" s="518"/>
      <c r="E29" s="518">
        <v>2217.6</v>
      </c>
      <c r="F29" s="518">
        <v>2217.6</v>
      </c>
      <c r="G29" s="685">
        <v>14019.800000000001</v>
      </c>
    </row>
    <row r="30" spans="1:7" ht="20.25" customHeight="1">
      <c r="A30" s="683" t="s">
        <v>103</v>
      </c>
      <c r="B30" s="641" t="s">
        <v>322</v>
      </c>
      <c r="C30" s="642">
        <v>9464.9494474999992</v>
      </c>
      <c r="D30" s="642"/>
      <c r="E30" s="642"/>
      <c r="F30" s="642">
        <v>9464.9494474999992</v>
      </c>
      <c r="G30" s="694">
        <v>76354.978899999987</v>
      </c>
    </row>
    <row r="31" spans="1:7" ht="10.5" customHeight="1">
      <c r="A31" s="681" t="s">
        <v>523</v>
      </c>
      <c r="B31" s="517"/>
      <c r="C31" s="518">
        <v>9464.9494474999992</v>
      </c>
      <c r="D31" s="518"/>
      <c r="E31" s="518"/>
      <c r="F31" s="518">
        <v>9464.9494474999992</v>
      </c>
      <c r="G31" s="685">
        <v>76354.978899999987</v>
      </c>
    </row>
    <row r="32" spans="1:7" ht="17.25">
      <c r="A32" s="693" t="s">
        <v>425</v>
      </c>
      <c r="B32" s="641" t="s">
        <v>323</v>
      </c>
      <c r="C32" s="642">
        <v>12607.95622</v>
      </c>
      <c r="D32" s="642"/>
      <c r="E32" s="642"/>
      <c r="F32" s="642">
        <v>12607.95622</v>
      </c>
      <c r="G32" s="694">
        <v>81047.10222500001</v>
      </c>
    </row>
    <row r="33" spans="1:7" ht="10.5" customHeight="1">
      <c r="A33" s="681" t="s">
        <v>524</v>
      </c>
      <c r="B33" s="517"/>
      <c r="C33" s="518">
        <v>12607.95622</v>
      </c>
      <c r="D33" s="518"/>
      <c r="E33" s="518"/>
      <c r="F33" s="518">
        <v>12607.95622</v>
      </c>
      <c r="G33" s="685">
        <v>81047.10222500001</v>
      </c>
    </row>
    <row r="34" spans="1:7" ht="10.5" customHeight="1">
      <c r="A34" s="679" t="s">
        <v>240</v>
      </c>
      <c r="B34" s="631" t="s">
        <v>59</v>
      </c>
      <c r="C34" s="632"/>
      <c r="D34" s="632"/>
      <c r="E34" s="632">
        <v>11345.84022</v>
      </c>
      <c r="F34" s="632">
        <v>11345.84022</v>
      </c>
      <c r="G34" s="684">
        <v>71770.630237500009</v>
      </c>
    </row>
    <row r="35" spans="1:7" ht="10.5" customHeight="1">
      <c r="A35" s="681" t="s">
        <v>525</v>
      </c>
      <c r="B35" s="517"/>
      <c r="C35" s="518"/>
      <c r="D35" s="518"/>
      <c r="E35" s="518">
        <v>11345.84022</v>
      </c>
      <c r="F35" s="518">
        <v>11345.84022</v>
      </c>
      <c r="G35" s="685">
        <v>71770.630237500009</v>
      </c>
    </row>
    <row r="36" spans="1:7" ht="10.5" customHeight="1">
      <c r="A36" s="679" t="s">
        <v>412</v>
      </c>
      <c r="B36" s="631" t="s">
        <v>467</v>
      </c>
      <c r="C36" s="632">
        <v>19.248000000000001</v>
      </c>
      <c r="D36" s="632"/>
      <c r="E36" s="632"/>
      <c r="F36" s="632">
        <v>19.248000000000001</v>
      </c>
      <c r="G36" s="684">
        <v>1295.222</v>
      </c>
    </row>
    <row r="37" spans="1:7" ht="10.5" customHeight="1">
      <c r="A37" s="681" t="s">
        <v>526</v>
      </c>
      <c r="B37" s="517"/>
      <c r="C37" s="518">
        <v>19.248000000000001</v>
      </c>
      <c r="D37" s="518"/>
      <c r="E37" s="518"/>
      <c r="F37" s="518">
        <v>19.248000000000001</v>
      </c>
      <c r="G37" s="685">
        <v>1295.222</v>
      </c>
    </row>
    <row r="38" spans="1:7" ht="10.5" customHeight="1">
      <c r="A38" s="679" t="s">
        <v>430</v>
      </c>
      <c r="B38" s="631" t="s">
        <v>434</v>
      </c>
      <c r="C38" s="632">
        <v>60631.306335000001</v>
      </c>
      <c r="D38" s="632"/>
      <c r="E38" s="632"/>
      <c r="F38" s="632">
        <v>60631.306335000001</v>
      </c>
      <c r="G38" s="684">
        <v>327935.20640749997</v>
      </c>
    </row>
    <row r="39" spans="1:7" ht="10.5" customHeight="1">
      <c r="A39" s="681" t="s">
        <v>527</v>
      </c>
      <c r="B39" s="517"/>
      <c r="C39" s="518">
        <v>60631.306335000001</v>
      </c>
      <c r="D39" s="518"/>
      <c r="E39" s="518"/>
      <c r="F39" s="518">
        <v>60631.306335000001</v>
      </c>
      <c r="G39" s="685">
        <v>327935.20640749997</v>
      </c>
    </row>
    <row r="40" spans="1:7" s="46" customFormat="1" ht="20.25" customHeight="1">
      <c r="A40" s="683" t="s">
        <v>492</v>
      </c>
      <c r="B40" s="641" t="s">
        <v>684</v>
      </c>
      <c r="C40" s="642"/>
      <c r="D40" s="642"/>
      <c r="E40" s="642">
        <v>2315.2220425</v>
      </c>
      <c r="F40" s="642">
        <v>2315.2220425</v>
      </c>
      <c r="G40" s="694">
        <v>9897.1629825</v>
      </c>
    </row>
    <row r="41" spans="1:7" ht="12" customHeight="1">
      <c r="A41" s="681" t="s">
        <v>528</v>
      </c>
      <c r="B41" s="517"/>
      <c r="C41" s="518"/>
      <c r="D41" s="518"/>
      <c r="E41" s="518">
        <v>2315.2220425</v>
      </c>
      <c r="F41" s="518">
        <v>2315.2220425</v>
      </c>
      <c r="G41" s="685">
        <v>9897.1629825</v>
      </c>
    </row>
    <row r="42" spans="1:7" ht="10.5" customHeight="1">
      <c r="A42" s="683" t="s">
        <v>118</v>
      </c>
      <c r="B42" s="641" t="s">
        <v>324</v>
      </c>
      <c r="C42" s="642"/>
      <c r="D42" s="642">
        <v>18.1484925</v>
      </c>
      <c r="E42" s="642"/>
      <c r="F42" s="642">
        <v>18.1484925</v>
      </c>
      <c r="G42" s="694">
        <v>4071.1428099999998</v>
      </c>
    </row>
    <row r="43" spans="1:7" ht="10.5" customHeight="1">
      <c r="A43" s="683"/>
      <c r="B43" s="641" t="s">
        <v>325</v>
      </c>
      <c r="C43" s="642"/>
      <c r="D43" s="642">
        <v>2.4352649999999998</v>
      </c>
      <c r="E43" s="642"/>
      <c r="F43" s="642">
        <v>2.4352649999999998</v>
      </c>
      <c r="G43" s="694">
        <v>219.46874499999996</v>
      </c>
    </row>
    <row r="44" spans="1:7" ht="10.5" customHeight="1">
      <c r="A44" s="681" t="s">
        <v>529</v>
      </c>
      <c r="B44" s="517"/>
      <c r="C44" s="518"/>
      <c r="D44" s="518">
        <v>20.583757500000001</v>
      </c>
      <c r="E44" s="518"/>
      <c r="F44" s="518">
        <v>20.583757500000001</v>
      </c>
      <c r="G44" s="685">
        <v>4290.6115549999995</v>
      </c>
    </row>
    <row r="45" spans="1:7" ht="10.5" customHeight="1">
      <c r="A45" s="683" t="s">
        <v>410</v>
      </c>
      <c r="B45" s="641" t="s">
        <v>326</v>
      </c>
      <c r="C45" s="642"/>
      <c r="D45" s="642">
        <v>127117.2513625</v>
      </c>
      <c r="E45" s="642"/>
      <c r="F45" s="642">
        <v>127117.2513625</v>
      </c>
      <c r="G45" s="694">
        <v>554110.6754549999</v>
      </c>
    </row>
    <row r="46" spans="1:7" ht="10.5" customHeight="1">
      <c r="A46" s="683"/>
      <c r="B46" s="641" t="s">
        <v>327</v>
      </c>
      <c r="C46" s="642"/>
      <c r="D46" s="642">
        <v>28225.834155</v>
      </c>
      <c r="E46" s="642"/>
      <c r="F46" s="642">
        <v>28225.834155</v>
      </c>
      <c r="G46" s="694">
        <v>171254.538505</v>
      </c>
    </row>
    <row r="47" spans="1:7" ht="10.5" customHeight="1">
      <c r="A47" s="683"/>
      <c r="B47" s="641" t="s">
        <v>432</v>
      </c>
      <c r="C47" s="642">
        <v>207402.20684500001</v>
      </c>
      <c r="D47" s="642"/>
      <c r="E47" s="642"/>
      <c r="F47" s="642">
        <v>207402.20684500001</v>
      </c>
      <c r="G47" s="694">
        <v>1894628.1782224998</v>
      </c>
    </row>
    <row r="48" spans="1:7" ht="10.5" customHeight="1">
      <c r="A48" s="683"/>
      <c r="B48" s="641" t="s">
        <v>328</v>
      </c>
      <c r="C48" s="642">
        <v>3288.6208999999999</v>
      </c>
      <c r="D48" s="642"/>
      <c r="E48" s="642"/>
      <c r="F48" s="642">
        <v>3288.6208999999999</v>
      </c>
      <c r="G48" s="694">
        <v>37177.631517500005</v>
      </c>
    </row>
    <row r="49" spans="1:8" ht="10.5" customHeight="1">
      <c r="A49" s="681" t="s">
        <v>530</v>
      </c>
      <c r="B49" s="517"/>
      <c r="C49" s="518">
        <v>210690.82774500002</v>
      </c>
      <c r="D49" s="518">
        <v>155343.0855175</v>
      </c>
      <c r="E49" s="518"/>
      <c r="F49" s="518">
        <v>366033.91326249996</v>
      </c>
      <c r="G49" s="685">
        <v>2657171.0236999998</v>
      </c>
    </row>
    <row r="50" spans="1:8" ht="10.5" customHeight="1">
      <c r="A50" s="683" t="s">
        <v>117</v>
      </c>
      <c r="B50" s="641" t="s">
        <v>72</v>
      </c>
      <c r="C50" s="642"/>
      <c r="D50" s="642"/>
      <c r="E50" s="642">
        <v>1121.8027824999999</v>
      </c>
      <c r="F50" s="642">
        <v>1121.8027824999999</v>
      </c>
      <c r="G50" s="694">
        <v>10400.192677499999</v>
      </c>
    </row>
    <row r="51" spans="1:8" ht="10.5" customHeight="1">
      <c r="A51" s="681" t="s">
        <v>531</v>
      </c>
      <c r="B51" s="517"/>
      <c r="C51" s="518"/>
      <c r="D51" s="518"/>
      <c r="E51" s="518">
        <v>1121.8027824999999</v>
      </c>
      <c r="F51" s="518">
        <v>1121.8027824999999</v>
      </c>
      <c r="G51" s="685">
        <v>10400.192677499999</v>
      </c>
      <c r="H51" s="366"/>
    </row>
    <row r="52" spans="1:8" ht="10.5" customHeight="1">
      <c r="A52" s="683" t="s">
        <v>110</v>
      </c>
      <c r="B52" s="641" t="s">
        <v>81</v>
      </c>
      <c r="C52" s="642"/>
      <c r="D52" s="642"/>
      <c r="E52" s="642">
        <v>3198.28341</v>
      </c>
      <c r="F52" s="642">
        <v>3198.28341</v>
      </c>
      <c r="G52" s="694">
        <v>21414.253612500001</v>
      </c>
    </row>
    <row r="53" spans="1:8" ht="10.5" customHeight="1">
      <c r="A53" s="681" t="s">
        <v>532</v>
      </c>
      <c r="B53" s="517"/>
      <c r="C53" s="518"/>
      <c r="D53" s="518"/>
      <c r="E53" s="518">
        <v>3198.28341</v>
      </c>
      <c r="F53" s="518">
        <v>3198.28341</v>
      </c>
      <c r="G53" s="685">
        <v>21414.253612500001</v>
      </c>
    </row>
    <row r="54" spans="1:8" ht="10.5" customHeight="1">
      <c r="A54" s="683" t="s">
        <v>241</v>
      </c>
      <c r="B54" s="641" t="s">
        <v>71</v>
      </c>
      <c r="C54" s="642"/>
      <c r="D54" s="642"/>
      <c r="E54" s="642">
        <v>2953.8075549999999</v>
      </c>
      <c r="F54" s="642">
        <v>2953.8075549999999</v>
      </c>
      <c r="G54" s="694">
        <v>21027.819820000001</v>
      </c>
    </row>
    <row r="55" spans="1:8" ht="10.5" customHeight="1">
      <c r="A55" s="683"/>
      <c r="B55" s="641" t="s">
        <v>329</v>
      </c>
      <c r="C55" s="642">
        <v>76474.419222500001</v>
      </c>
      <c r="D55" s="642"/>
      <c r="E55" s="642"/>
      <c r="F55" s="642">
        <v>76474.419222500001</v>
      </c>
      <c r="G55" s="694">
        <v>895328.32071250002</v>
      </c>
    </row>
    <row r="56" spans="1:8" ht="10.5" customHeight="1">
      <c r="A56" s="683"/>
      <c r="B56" s="641" t="s">
        <v>330</v>
      </c>
      <c r="C56" s="642">
        <v>40521.209490000001</v>
      </c>
      <c r="D56" s="642"/>
      <c r="E56" s="642"/>
      <c r="F56" s="642">
        <v>40521.209490000001</v>
      </c>
      <c r="G56" s="694">
        <v>320678.51132250001</v>
      </c>
    </row>
    <row r="57" spans="1:8" ht="10.5" customHeight="1">
      <c r="A57" s="683"/>
      <c r="B57" s="641" t="s">
        <v>62</v>
      </c>
      <c r="C57" s="642"/>
      <c r="D57" s="642"/>
      <c r="E57" s="642">
        <v>7143.6445050000002</v>
      </c>
      <c r="F57" s="642">
        <v>7143.6445050000002</v>
      </c>
      <c r="G57" s="694">
        <v>42953.789527500005</v>
      </c>
    </row>
    <row r="58" spans="1:8" ht="10.5" customHeight="1">
      <c r="A58" s="681" t="s">
        <v>533</v>
      </c>
      <c r="B58" s="517"/>
      <c r="C58" s="518">
        <v>116995.62871250001</v>
      </c>
      <c r="D58" s="518"/>
      <c r="E58" s="518">
        <v>10097.45206</v>
      </c>
      <c r="F58" s="518">
        <v>127093.08077250002</v>
      </c>
      <c r="G58" s="685">
        <v>1279988.4413825001</v>
      </c>
    </row>
    <row r="59" spans="1:8" ht="10.5" customHeight="1">
      <c r="A59" s="683" t="s">
        <v>242</v>
      </c>
      <c r="B59" s="641" t="s">
        <v>78</v>
      </c>
      <c r="C59" s="642"/>
      <c r="D59" s="642"/>
      <c r="E59" s="642">
        <v>13452.499367500001</v>
      </c>
      <c r="F59" s="642">
        <v>13452.499367500001</v>
      </c>
      <c r="G59" s="694">
        <v>76107.120175000004</v>
      </c>
    </row>
    <row r="60" spans="1:8" ht="10.5" customHeight="1">
      <c r="A60" s="681" t="s">
        <v>534</v>
      </c>
      <c r="B60" s="517"/>
      <c r="C60" s="518"/>
      <c r="D60" s="518"/>
      <c r="E60" s="518">
        <v>13452.499367500001</v>
      </c>
      <c r="F60" s="518">
        <v>13452.499367500001</v>
      </c>
      <c r="G60" s="685">
        <v>76107.120175000004</v>
      </c>
    </row>
    <row r="61" spans="1:8" ht="10.5" customHeight="1">
      <c r="A61" s="683" t="s">
        <v>99</v>
      </c>
      <c r="B61" s="641" t="s">
        <v>76</v>
      </c>
      <c r="C61" s="642"/>
      <c r="D61" s="642"/>
      <c r="E61" s="642">
        <v>46796.291310000001</v>
      </c>
      <c r="F61" s="642">
        <v>46796.291310000001</v>
      </c>
      <c r="G61" s="694">
        <v>224012.19473250001</v>
      </c>
    </row>
    <row r="62" spans="1:8" ht="10.5" customHeight="1">
      <c r="A62" s="681" t="s">
        <v>535</v>
      </c>
      <c r="B62" s="517"/>
      <c r="C62" s="518"/>
      <c r="D62" s="518"/>
      <c r="E62" s="518">
        <v>46796.291310000001</v>
      </c>
      <c r="F62" s="518">
        <v>46796.291310000001</v>
      </c>
      <c r="G62" s="685">
        <v>224012.19473250001</v>
      </c>
    </row>
    <row r="63" spans="1:8" ht="10.5" customHeight="1">
      <c r="A63" s="683" t="s">
        <v>107</v>
      </c>
      <c r="B63" s="641" t="s">
        <v>232</v>
      </c>
      <c r="C63" s="642"/>
      <c r="D63" s="642"/>
      <c r="E63" s="642">
        <v>3802.3325275000002</v>
      </c>
      <c r="F63" s="642">
        <v>3802.3325275000002</v>
      </c>
      <c r="G63" s="694">
        <v>24319.307054999997</v>
      </c>
    </row>
    <row r="64" spans="1:8" ht="10.5" customHeight="1">
      <c r="A64" s="681" t="s">
        <v>536</v>
      </c>
      <c r="B64" s="517"/>
      <c r="C64" s="518"/>
      <c r="D64" s="518"/>
      <c r="E64" s="518">
        <v>3802.3325275000002</v>
      </c>
      <c r="F64" s="518">
        <v>3802.3325275000002</v>
      </c>
      <c r="G64" s="685">
        <v>24319.307054999997</v>
      </c>
    </row>
    <row r="65" spans="1:7" ht="10.5" customHeight="1">
      <c r="A65" s="683" t="s">
        <v>411</v>
      </c>
      <c r="B65" s="641" t="s">
        <v>85</v>
      </c>
      <c r="C65" s="642"/>
      <c r="D65" s="642"/>
      <c r="E65" s="642">
        <v>1649.512375</v>
      </c>
      <c r="F65" s="642">
        <v>1649.512375</v>
      </c>
      <c r="G65" s="694">
        <v>6648.2811250000004</v>
      </c>
    </row>
    <row r="66" spans="1:7" ht="10.5" customHeight="1">
      <c r="A66" s="683"/>
      <c r="B66" s="641" t="s">
        <v>84</v>
      </c>
      <c r="C66" s="642"/>
      <c r="D66" s="642"/>
      <c r="E66" s="642">
        <v>790.44162500000004</v>
      </c>
      <c r="F66" s="642">
        <v>790.44162500000004</v>
      </c>
      <c r="G66" s="694">
        <v>9027.50684</v>
      </c>
    </row>
    <row r="67" spans="1:7" ht="10.5" customHeight="1">
      <c r="A67" s="683"/>
      <c r="B67" s="641" t="s">
        <v>429</v>
      </c>
      <c r="C67" s="642"/>
      <c r="D67" s="642"/>
      <c r="E67" s="642">
        <v>0</v>
      </c>
      <c r="F67" s="642">
        <v>0</v>
      </c>
      <c r="G67" s="694">
        <v>5315.4039499999999</v>
      </c>
    </row>
    <row r="68" spans="1:7" ht="10.5" customHeight="1">
      <c r="A68" s="683"/>
      <c r="B68" s="641" t="s">
        <v>685</v>
      </c>
      <c r="C68" s="642"/>
      <c r="D68" s="642"/>
      <c r="E68" s="642">
        <v>29.113599999999998</v>
      </c>
      <c r="F68" s="642">
        <v>29.113599999999998</v>
      </c>
      <c r="G68" s="694">
        <v>29.113599999999998</v>
      </c>
    </row>
    <row r="69" spans="1:7" ht="10.5" customHeight="1">
      <c r="A69" s="681" t="s">
        <v>537</v>
      </c>
      <c r="B69" s="517"/>
      <c r="C69" s="518"/>
      <c r="D69" s="518"/>
      <c r="E69" s="518">
        <v>2469.0676000000003</v>
      </c>
      <c r="F69" s="518">
        <v>2469.0676000000003</v>
      </c>
      <c r="G69" s="685">
        <v>21020.305515</v>
      </c>
    </row>
    <row r="70" spans="1:7" ht="10.5" customHeight="1">
      <c r="A70" s="683" t="s">
        <v>243</v>
      </c>
      <c r="B70" s="641" t="s">
        <v>331</v>
      </c>
      <c r="C70" s="642"/>
      <c r="D70" s="642">
        <v>2.3127475</v>
      </c>
      <c r="E70" s="642"/>
      <c r="F70" s="642">
        <v>2.3127475</v>
      </c>
      <c r="G70" s="694">
        <v>633.18205</v>
      </c>
    </row>
    <row r="71" spans="1:7" ht="10.5" customHeight="1">
      <c r="A71" s="681" t="s">
        <v>538</v>
      </c>
      <c r="B71" s="517"/>
      <c r="C71" s="518"/>
      <c r="D71" s="518">
        <v>2.3127475</v>
      </c>
      <c r="E71" s="518"/>
      <c r="F71" s="518">
        <v>2.3127475</v>
      </c>
      <c r="G71" s="685">
        <v>633.18205</v>
      </c>
    </row>
    <row r="72" spans="1:7" ht="10.5" customHeight="1">
      <c r="A72" s="683" t="s">
        <v>446</v>
      </c>
      <c r="B72" s="641" t="s">
        <v>460</v>
      </c>
      <c r="C72" s="642"/>
      <c r="D72" s="642"/>
      <c r="E72" s="642">
        <v>9561.2677624999997</v>
      </c>
      <c r="F72" s="642">
        <v>9561.2677624999997</v>
      </c>
      <c r="G72" s="694">
        <v>79182.574634999997</v>
      </c>
    </row>
    <row r="73" spans="1:7" ht="10.5" customHeight="1">
      <c r="A73" s="681" t="s">
        <v>539</v>
      </c>
      <c r="B73" s="517"/>
      <c r="C73" s="518"/>
      <c r="D73" s="518"/>
      <c r="E73" s="518">
        <v>9561.2677624999997</v>
      </c>
      <c r="F73" s="518">
        <v>9561.2677624999997</v>
      </c>
      <c r="G73" s="685">
        <v>79182.574634999997</v>
      </c>
    </row>
    <row r="74" spans="1:7" ht="10.5" customHeight="1">
      <c r="A74" s="336"/>
      <c r="B74" s="336"/>
      <c r="C74" s="336"/>
      <c r="D74" s="336"/>
      <c r="E74" s="336"/>
      <c r="F74" s="336"/>
      <c r="G74" s="336"/>
    </row>
    <row r="75" spans="1:7" ht="10.5" customHeight="1">
      <c r="A75" s="336"/>
      <c r="B75" s="336"/>
      <c r="C75" s="336"/>
      <c r="D75" s="336"/>
      <c r="E75" s="336"/>
      <c r="F75" s="336"/>
      <c r="G75" s="336"/>
    </row>
    <row r="76" spans="1:7" ht="10.5" customHeight="1">
      <c r="A76" s="336"/>
      <c r="B76" s="336"/>
      <c r="C76" s="336"/>
      <c r="D76" s="336"/>
      <c r="E76" s="336"/>
      <c r="F76" s="336"/>
      <c r="G76" s="336"/>
    </row>
    <row r="77" spans="1:7" ht="10.5" customHeight="1">
      <c r="A77" s="336"/>
      <c r="B77" s="336"/>
      <c r="C77" s="336"/>
      <c r="D77" s="336"/>
      <c r="E77" s="336"/>
      <c r="F77" s="336"/>
      <c r="G77" s="336"/>
    </row>
    <row r="78" spans="1:7" ht="10.5" customHeight="1">
      <c r="A78" s="336"/>
      <c r="B78" s="336"/>
      <c r="C78" s="336"/>
      <c r="D78" s="336"/>
      <c r="E78" s="336"/>
      <c r="F78" s="336"/>
      <c r="G78" s="336"/>
    </row>
    <row r="79" spans="1:7" ht="10.5" customHeight="1">
      <c r="A79" s="336"/>
      <c r="B79" s="336"/>
      <c r="C79" s="336"/>
      <c r="D79" s="336"/>
      <c r="E79" s="336"/>
      <c r="F79" s="336"/>
      <c r="G79" s="336"/>
    </row>
    <row r="80" spans="1:7" ht="10.5" customHeight="1">
      <c r="A80" s="336"/>
      <c r="B80" s="336"/>
      <c r="C80" s="336"/>
      <c r="D80" s="336"/>
      <c r="E80" s="336"/>
      <c r="F80" s="336"/>
      <c r="G80" s="336"/>
    </row>
    <row r="81" spans="1:7" ht="10.5" customHeight="1">
      <c r="A81" s="336"/>
      <c r="B81" s="336"/>
      <c r="C81" s="336"/>
      <c r="D81" s="336"/>
      <c r="E81" s="336"/>
      <c r="F81" s="336"/>
      <c r="G81" s="336"/>
    </row>
    <row r="82" spans="1:7" ht="10.5" customHeight="1">
      <c r="A82" s="336"/>
      <c r="B82" s="336"/>
      <c r="C82" s="336"/>
      <c r="D82" s="336"/>
      <c r="E82" s="336"/>
      <c r="F82" s="336"/>
      <c r="G82" s="336"/>
    </row>
    <row r="83" spans="1:7" ht="10.5" customHeight="1">
      <c r="A83" s="336"/>
      <c r="B83" s="336"/>
      <c r="C83" s="336"/>
      <c r="D83" s="336"/>
      <c r="E83" s="336"/>
      <c r="F83" s="336"/>
      <c r="G83" s="336"/>
    </row>
    <row r="84" spans="1:7" ht="10.5" customHeight="1">
      <c r="A84" s="336"/>
      <c r="B84" s="336"/>
      <c r="C84" s="336"/>
      <c r="D84" s="336"/>
      <c r="E84" s="336"/>
      <c r="F84" s="336"/>
      <c r="G84" s="336"/>
    </row>
    <row r="85" spans="1:7" ht="10.5" customHeight="1">
      <c r="A85" s="336"/>
      <c r="B85" s="336"/>
      <c r="C85" s="336"/>
      <c r="D85" s="336"/>
      <c r="E85" s="336"/>
      <c r="F85" s="336"/>
      <c r="G85" s="336"/>
    </row>
    <row r="86" spans="1:7" ht="10.5" customHeight="1">
      <c r="A86" s="336"/>
      <c r="B86" s="336"/>
      <c r="C86" s="336"/>
      <c r="D86" s="336"/>
      <c r="E86" s="336"/>
      <c r="F86" s="336"/>
      <c r="G86" s="336"/>
    </row>
    <row r="87" spans="1:7" ht="10.5" customHeight="1">
      <c r="A87" s="336"/>
      <c r="B87" s="336"/>
      <c r="C87" s="336"/>
      <c r="D87" s="336"/>
      <c r="E87" s="336"/>
      <c r="F87" s="336"/>
      <c r="G87" s="336"/>
    </row>
    <row r="88" spans="1:7" ht="10.5" customHeight="1">
      <c r="A88" s="336"/>
      <c r="B88" s="336"/>
      <c r="C88" s="336"/>
      <c r="D88" s="336"/>
      <c r="E88" s="336"/>
      <c r="F88" s="336"/>
      <c r="G88" s="336"/>
    </row>
    <row r="89" spans="1:7" ht="10.5" customHeight="1">
      <c r="A89" s="336"/>
      <c r="B89" s="336"/>
      <c r="C89" s="336"/>
      <c r="D89" s="336"/>
      <c r="E89" s="336"/>
      <c r="F89" s="336"/>
      <c r="G89" s="336"/>
    </row>
    <row r="90" spans="1:7" ht="10.5" customHeight="1">
      <c r="A90" s="336"/>
      <c r="B90" s="336"/>
      <c r="C90" s="336"/>
      <c r="D90" s="336"/>
      <c r="E90" s="336"/>
      <c r="F90" s="336"/>
      <c r="G90" s="336"/>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topLeftCell="A37" zoomScale="145" zoomScaleNormal="100" zoomScaleSheetLayoutView="145" zoomScalePageLayoutView="160" workbookViewId="0">
      <selection activeCell="N65" sqref="N65"/>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75" t="s">
        <v>250</v>
      </c>
      <c r="B1" s="978" t="s">
        <v>54</v>
      </c>
      <c r="C1" s="981" t="str">
        <f>+'19. ANEXOI-2'!C1:F1</f>
        <v>ENERGÍA PRODUCIDA JUNIO 2020</v>
      </c>
      <c r="D1" s="981"/>
      <c r="E1" s="981"/>
      <c r="F1" s="981"/>
      <c r="G1" s="636" t="s">
        <v>276</v>
      </c>
      <c r="H1" s="203"/>
    </row>
    <row r="2" spans="1:8" ht="11.25" customHeight="1">
      <c r="A2" s="976"/>
      <c r="B2" s="979"/>
      <c r="C2" s="982" t="s">
        <v>277</v>
      </c>
      <c r="D2" s="982"/>
      <c r="E2" s="982"/>
      <c r="F2" s="983" t="str">
        <f>"TOTAL 
"&amp;UPPER('1. Resumen'!Q4)</f>
        <v>TOTAL 
JUNIO</v>
      </c>
      <c r="G2" s="637" t="s">
        <v>278</v>
      </c>
      <c r="H2" s="194"/>
    </row>
    <row r="3" spans="1:8" ht="11.25" customHeight="1">
      <c r="A3" s="976"/>
      <c r="B3" s="979"/>
      <c r="C3" s="628" t="s">
        <v>215</v>
      </c>
      <c r="D3" s="628" t="s">
        <v>216</v>
      </c>
      <c r="E3" s="628" t="s">
        <v>279</v>
      </c>
      <c r="F3" s="984"/>
      <c r="G3" s="637">
        <v>2020</v>
      </c>
      <c r="H3" s="196"/>
    </row>
    <row r="4" spans="1:8" ht="11.25" customHeight="1">
      <c r="A4" s="985"/>
      <c r="B4" s="986"/>
      <c r="C4" s="629" t="s">
        <v>280</v>
      </c>
      <c r="D4" s="629" t="s">
        <v>280</v>
      </c>
      <c r="E4" s="629" t="s">
        <v>280</v>
      </c>
      <c r="F4" s="629" t="s">
        <v>280</v>
      </c>
      <c r="G4" s="638" t="s">
        <v>208</v>
      </c>
      <c r="H4" s="196"/>
    </row>
    <row r="5" spans="1:8" s="336" customFormat="1" ht="9" customHeight="1">
      <c r="A5" s="679" t="s">
        <v>104</v>
      </c>
      <c r="B5" s="631" t="s">
        <v>61</v>
      </c>
      <c r="C5" s="632"/>
      <c r="D5" s="632"/>
      <c r="E5" s="632">
        <v>6930.1651650000003</v>
      </c>
      <c r="F5" s="632">
        <v>6930.1651650000003</v>
      </c>
      <c r="G5" s="684">
        <v>61072.792247499994</v>
      </c>
    </row>
    <row r="6" spans="1:8" s="336" customFormat="1" ht="9" customHeight="1">
      <c r="A6" s="681" t="s">
        <v>540</v>
      </c>
      <c r="B6" s="517"/>
      <c r="C6" s="518"/>
      <c r="D6" s="518"/>
      <c r="E6" s="518">
        <v>6930.1651650000003</v>
      </c>
      <c r="F6" s="518">
        <v>6930.1651650000003</v>
      </c>
      <c r="G6" s="685">
        <v>61072.792247499994</v>
      </c>
    </row>
    <row r="7" spans="1:8" s="336" customFormat="1" ht="9" customHeight="1">
      <c r="A7" s="679" t="s">
        <v>244</v>
      </c>
      <c r="B7" s="631" t="s">
        <v>332</v>
      </c>
      <c r="C7" s="632"/>
      <c r="D7" s="632">
        <v>0</v>
      </c>
      <c r="E7" s="632"/>
      <c r="F7" s="632">
        <v>0</v>
      </c>
      <c r="G7" s="684">
        <v>992.76196000000004</v>
      </c>
    </row>
    <row r="8" spans="1:8" s="336" customFormat="1" ht="9" customHeight="1">
      <c r="A8" s="681" t="s">
        <v>541</v>
      </c>
      <c r="B8" s="517"/>
      <c r="C8" s="518"/>
      <c r="D8" s="518">
        <v>0</v>
      </c>
      <c r="E8" s="518"/>
      <c r="F8" s="518">
        <v>0</v>
      </c>
      <c r="G8" s="685">
        <v>992.76196000000004</v>
      </c>
    </row>
    <row r="9" spans="1:8" s="336" customFormat="1" ht="9" customHeight="1">
      <c r="A9" s="679" t="s">
        <v>95</v>
      </c>
      <c r="B9" s="631" t="s">
        <v>333</v>
      </c>
      <c r="C9" s="632">
        <v>50641.498837499996</v>
      </c>
      <c r="D9" s="632"/>
      <c r="E9" s="632"/>
      <c r="F9" s="632">
        <v>50641.498837499996</v>
      </c>
      <c r="G9" s="684">
        <v>394226.65843499999</v>
      </c>
    </row>
    <row r="10" spans="1:8" s="336" customFormat="1" ht="9" customHeight="1">
      <c r="A10" s="681" t="s">
        <v>542</v>
      </c>
      <c r="B10" s="517"/>
      <c r="C10" s="518">
        <v>50641.498837499996</v>
      </c>
      <c r="D10" s="518"/>
      <c r="E10" s="518"/>
      <c r="F10" s="518">
        <v>50641.498837499996</v>
      </c>
      <c r="G10" s="685">
        <v>394226.65843499999</v>
      </c>
    </row>
    <row r="11" spans="1:8" s="336" customFormat="1" ht="9" customHeight="1">
      <c r="A11" s="679" t="s">
        <v>431</v>
      </c>
      <c r="B11" s="631" t="s">
        <v>468</v>
      </c>
      <c r="C11" s="632"/>
      <c r="D11" s="632"/>
      <c r="E11" s="632">
        <v>4748.9047499999997</v>
      </c>
      <c r="F11" s="632">
        <v>4748.9047499999997</v>
      </c>
      <c r="G11" s="684">
        <v>30840.758374999998</v>
      </c>
    </row>
    <row r="12" spans="1:8" s="336" customFormat="1" ht="9" customHeight="1">
      <c r="A12" s="681" t="s">
        <v>543</v>
      </c>
      <c r="B12" s="517"/>
      <c r="C12" s="518"/>
      <c r="D12" s="518"/>
      <c r="E12" s="518">
        <v>4748.9047499999997</v>
      </c>
      <c r="F12" s="518">
        <v>4748.9047499999997</v>
      </c>
      <c r="G12" s="685">
        <v>30840.758374999998</v>
      </c>
    </row>
    <row r="13" spans="1:8" s="336" customFormat="1" ht="9" customHeight="1">
      <c r="A13" s="679" t="s">
        <v>402</v>
      </c>
      <c r="B13" s="631" t="s">
        <v>406</v>
      </c>
      <c r="C13" s="632"/>
      <c r="D13" s="632"/>
      <c r="E13" s="632">
        <v>14400.8622175</v>
      </c>
      <c r="F13" s="632">
        <v>14400.8622175</v>
      </c>
      <c r="G13" s="684">
        <v>86564.626810000002</v>
      </c>
    </row>
    <row r="14" spans="1:8" s="336" customFormat="1" ht="9" customHeight="1">
      <c r="A14" s="681" t="s">
        <v>544</v>
      </c>
      <c r="B14" s="517"/>
      <c r="C14" s="518"/>
      <c r="D14" s="518"/>
      <c r="E14" s="518">
        <v>14400.8622175</v>
      </c>
      <c r="F14" s="518">
        <v>14400.8622175</v>
      </c>
      <c r="G14" s="685">
        <v>86564.626810000002</v>
      </c>
    </row>
    <row r="15" spans="1:8" s="336" customFormat="1" ht="9" customHeight="1">
      <c r="A15" s="679" t="s">
        <v>102</v>
      </c>
      <c r="B15" s="631" t="s">
        <v>334</v>
      </c>
      <c r="C15" s="632"/>
      <c r="D15" s="632">
        <v>0</v>
      </c>
      <c r="E15" s="632"/>
      <c r="F15" s="632">
        <v>0</v>
      </c>
      <c r="G15" s="684">
        <v>45912.861019999997</v>
      </c>
    </row>
    <row r="16" spans="1:8" s="336" customFormat="1" ht="9" customHeight="1">
      <c r="A16" s="681" t="s">
        <v>545</v>
      </c>
      <c r="B16" s="517"/>
      <c r="C16" s="518"/>
      <c r="D16" s="518">
        <v>0</v>
      </c>
      <c r="E16" s="518"/>
      <c r="F16" s="518">
        <v>0</v>
      </c>
      <c r="G16" s="685">
        <v>45912.861019999997</v>
      </c>
    </row>
    <row r="17" spans="1:7" s="336" customFormat="1" ht="9" customHeight="1">
      <c r="A17" s="679" t="s">
        <v>119</v>
      </c>
      <c r="B17" s="631" t="s">
        <v>335</v>
      </c>
      <c r="C17" s="632"/>
      <c r="D17" s="632">
        <v>0</v>
      </c>
      <c r="E17" s="632"/>
      <c r="F17" s="632">
        <v>0</v>
      </c>
      <c r="G17" s="684">
        <v>1241.2160099999999</v>
      </c>
    </row>
    <row r="18" spans="1:7" s="336" customFormat="1" ht="9" customHeight="1">
      <c r="A18" s="681" t="s">
        <v>546</v>
      </c>
      <c r="B18" s="517"/>
      <c r="C18" s="518"/>
      <c r="D18" s="518">
        <v>0</v>
      </c>
      <c r="E18" s="518"/>
      <c r="F18" s="518">
        <v>0</v>
      </c>
      <c r="G18" s="685">
        <v>1241.2160099999999</v>
      </c>
    </row>
    <row r="19" spans="1:7" s="336" customFormat="1" ht="9" customHeight="1">
      <c r="A19" s="679" t="s">
        <v>113</v>
      </c>
      <c r="B19" s="631" t="s">
        <v>461</v>
      </c>
      <c r="C19" s="632"/>
      <c r="D19" s="632"/>
      <c r="E19" s="632">
        <v>12018.2702875</v>
      </c>
      <c r="F19" s="632">
        <v>12018.2702875</v>
      </c>
      <c r="G19" s="684">
        <v>83621.01473499999</v>
      </c>
    </row>
    <row r="20" spans="1:7" s="336" customFormat="1" ht="9" customHeight="1">
      <c r="A20" s="679"/>
      <c r="B20" s="631" t="s">
        <v>69</v>
      </c>
      <c r="C20" s="632"/>
      <c r="D20" s="632"/>
      <c r="E20" s="632">
        <v>4303.5559800000001</v>
      </c>
      <c r="F20" s="632">
        <v>4303.5559800000001</v>
      </c>
      <c r="G20" s="684">
        <v>31635.9676225</v>
      </c>
    </row>
    <row r="21" spans="1:7" s="336" customFormat="1" ht="9" customHeight="1">
      <c r="A21" s="681" t="s">
        <v>547</v>
      </c>
      <c r="B21" s="517"/>
      <c r="C21" s="518"/>
      <c r="D21" s="518"/>
      <c r="E21" s="518">
        <v>16321.826267500001</v>
      </c>
      <c r="F21" s="518">
        <v>16321.826267500001</v>
      </c>
      <c r="G21" s="685">
        <v>115256.98235749999</v>
      </c>
    </row>
    <row r="22" spans="1:7" s="336" customFormat="1" ht="9" customHeight="1">
      <c r="A22" s="679" t="s">
        <v>90</v>
      </c>
      <c r="B22" s="631" t="s">
        <v>336</v>
      </c>
      <c r="C22" s="632">
        <v>19555.848895000003</v>
      </c>
      <c r="D22" s="632"/>
      <c r="E22" s="632"/>
      <c r="F22" s="632">
        <v>19555.848895000003</v>
      </c>
      <c r="G22" s="684">
        <v>176333.17911999999</v>
      </c>
    </row>
    <row r="23" spans="1:7" s="336" customFormat="1" ht="9" customHeight="1">
      <c r="A23" s="679"/>
      <c r="B23" s="631" t="s">
        <v>337</v>
      </c>
      <c r="C23" s="632">
        <v>45073.978904999996</v>
      </c>
      <c r="D23" s="632"/>
      <c r="E23" s="632"/>
      <c r="F23" s="632">
        <v>45073.978904999996</v>
      </c>
      <c r="G23" s="684">
        <v>494802.02190749999</v>
      </c>
    </row>
    <row r="24" spans="1:7" s="336" customFormat="1" ht="9" customHeight="1">
      <c r="A24" s="679"/>
      <c r="B24" s="631" t="s">
        <v>338</v>
      </c>
      <c r="C24" s="632">
        <v>3512.0072849999997</v>
      </c>
      <c r="D24" s="632"/>
      <c r="E24" s="632"/>
      <c r="F24" s="632">
        <v>3512.0072849999997</v>
      </c>
      <c r="G24" s="684">
        <v>67861.119472499995</v>
      </c>
    </row>
    <row r="25" spans="1:7" s="336" customFormat="1" ht="9" customHeight="1">
      <c r="A25" s="679"/>
      <c r="B25" s="631" t="s">
        <v>339</v>
      </c>
      <c r="C25" s="632">
        <v>0</v>
      </c>
      <c r="D25" s="632"/>
      <c r="E25" s="632"/>
      <c r="F25" s="632">
        <v>0</v>
      </c>
      <c r="G25" s="684">
        <v>286.87112500000001</v>
      </c>
    </row>
    <row r="26" spans="1:7" s="336" customFormat="1" ht="9" customHeight="1">
      <c r="A26" s="679"/>
      <c r="B26" s="631" t="s">
        <v>340</v>
      </c>
      <c r="C26" s="632">
        <v>15998.597192499999</v>
      </c>
      <c r="D26" s="632"/>
      <c r="E26" s="632"/>
      <c r="F26" s="632">
        <v>15998.597192499999</v>
      </c>
      <c r="G26" s="684">
        <v>146632.27998749999</v>
      </c>
    </row>
    <row r="27" spans="1:7" s="336" customFormat="1" ht="9" customHeight="1">
      <c r="A27" s="679"/>
      <c r="B27" s="631" t="s">
        <v>341</v>
      </c>
      <c r="C27" s="632">
        <v>2506.1973149999999</v>
      </c>
      <c r="D27" s="632"/>
      <c r="E27" s="632"/>
      <c r="F27" s="632">
        <v>2506.1973149999999</v>
      </c>
      <c r="G27" s="684">
        <v>11628.915874999999</v>
      </c>
    </row>
    <row r="28" spans="1:7" s="336" customFormat="1" ht="9" customHeight="1">
      <c r="A28" s="679"/>
      <c r="B28" s="631" t="s">
        <v>342</v>
      </c>
      <c r="C28" s="632">
        <v>4180.4486999999999</v>
      </c>
      <c r="D28" s="632"/>
      <c r="E28" s="632"/>
      <c r="F28" s="632">
        <v>4180.4486999999999</v>
      </c>
      <c r="G28" s="684">
        <v>29763.254430000001</v>
      </c>
    </row>
    <row r="29" spans="1:7" s="336" customFormat="1" ht="8.25" customHeight="1">
      <c r="A29" s="679"/>
      <c r="B29" s="631" t="s">
        <v>343</v>
      </c>
      <c r="C29" s="632">
        <v>2697.7007524999999</v>
      </c>
      <c r="D29" s="632"/>
      <c r="E29" s="632"/>
      <c r="F29" s="632">
        <v>2697.7007524999999</v>
      </c>
      <c r="G29" s="684">
        <v>13572.462627500001</v>
      </c>
    </row>
    <row r="30" spans="1:7" s="336" customFormat="1" ht="9" customHeight="1">
      <c r="A30" s="679"/>
      <c r="B30" s="631" t="s">
        <v>344</v>
      </c>
      <c r="C30" s="632">
        <v>1042.834445</v>
      </c>
      <c r="D30" s="632"/>
      <c r="E30" s="632"/>
      <c r="F30" s="632">
        <v>1042.834445</v>
      </c>
      <c r="G30" s="684">
        <v>7042.1147325000002</v>
      </c>
    </row>
    <row r="31" spans="1:7" s="336" customFormat="1" ht="9" customHeight="1">
      <c r="A31" s="679"/>
      <c r="B31" s="631" t="s">
        <v>345</v>
      </c>
      <c r="C31" s="632">
        <v>53.902747499999997</v>
      </c>
      <c r="D31" s="632"/>
      <c r="E31" s="632"/>
      <c r="F31" s="632">
        <v>53.902747499999997</v>
      </c>
      <c r="G31" s="684">
        <v>713.86442</v>
      </c>
    </row>
    <row r="32" spans="1:7" s="336" customFormat="1" ht="9" customHeight="1">
      <c r="A32" s="679"/>
      <c r="B32" s="631" t="s">
        <v>346</v>
      </c>
      <c r="C32" s="632">
        <v>161.64952249999999</v>
      </c>
      <c r="D32" s="632"/>
      <c r="E32" s="632"/>
      <c r="F32" s="632">
        <v>161.64952249999999</v>
      </c>
      <c r="G32" s="684">
        <v>882.88386000000003</v>
      </c>
    </row>
    <row r="33" spans="1:8" s="336" customFormat="1" ht="9" customHeight="1">
      <c r="A33" s="679"/>
      <c r="B33" s="631" t="s">
        <v>347</v>
      </c>
      <c r="C33" s="632">
        <v>59431.968575000006</v>
      </c>
      <c r="D33" s="632"/>
      <c r="E33" s="632"/>
      <c r="F33" s="632">
        <v>59431.968575000006</v>
      </c>
      <c r="G33" s="684">
        <v>404749.93728000001</v>
      </c>
    </row>
    <row r="34" spans="1:8" s="336" customFormat="1" ht="9" customHeight="1">
      <c r="A34" s="681" t="s">
        <v>548</v>
      </c>
      <c r="B34" s="517"/>
      <c r="C34" s="518">
        <v>154215.13433500001</v>
      </c>
      <c r="D34" s="518"/>
      <c r="E34" s="518"/>
      <c r="F34" s="518">
        <v>154215.13433500001</v>
      </c>
      <c r="G34" s="685">
        <v>1354268.9048374996</v>
      </c>
    </row>
    <row r="35" spans="1:8" s="336" customFormat="1" ht="9" customHeight="1">
      <c r="A35" s="679" t="s">
        <v>109</v>
      </c>
      <c r="B35" s="631" t="s">
        <v>231</v>
      </c>
      <c r="C35" s="632"/>
      <c r="D35" s="632"/>
      <c r="E35" s="632">
        <v>2927.5250850000002</v>
      </c>
      <c r="F35" s="632">
        <v>2927.5250850000002</v>
      </c>
      <c r="G35" s="684">
        <v>22645.053507500001</v>
      </c>
    </row>
    <row r="36" spans="1:8" s="336" customFormat="1" ht="9" customHeight="1">
      <c r="A36" s="681" t="s">
        <v>549</v>
      </c>
      <c r="B36" s="517"/>
      <c r="C36" s="518"/>
      <c r="D36" s="518"/>
      <c r="E36" s="518">
        <v>2927.5250850000002</v>
      </c>
      <c r="F36" s="518">
        <v>2927.5250850000002</v>
      </c>
      <c r="G36" s="685">
        <v>22645.053507500001</v>
      </c>
    </row>
    <row r="37" spans="1:8">
      <c r="A37" s="679" t="s">
        <v>100</v>
      </c>
      <c r="B37" s="631" t="s">
        <v>433</v>
      </c>
      <c r="C37" s="631"/>
      <c r="D37" s="631">
        <v>153730.33570749999</v>
      </c>
      <c r="E37" s="631"/>
      <c r="F37" s="631">
        <v>153730.33570749999</v>
      </c>
      <c r="G37" s="686">
        <v>517522.10065749998</v>
      </c>
    </row>
    <row r="38" spans="1:8">
      <c r="A38" s="681" t="s">
        <v>550</v>
      </c>
      <c r="B38" s="517"/>
      <c r="C38" s="518"/>
      <c r="D38" s="518">
        <v>153730.33570749999</v>
      </c>
      <c r="E38" s="518"/>
      <c r="F38" s="518">
        <v>153730.33570749999</v>
      </c>
      <c r="G38" s="685">
        <v>517522.10065749998</v>
      </c>
    </row>
    <row r="39" spans="1:8">
      <c r="A39" s="687" t="s">
        <v>105</v>
      </c>
      <c r="B39" s="643" t="s">
        <v>348</v>
      </c>
      <c r="C39" s="644"/>
      <c r="D39" s="644">
        <v>0.13787250000000001</v>
      </c>
      <c r="E39" s="644"/>
      <c r="F39" s="644">
        <v>0.13787250000000001</v>
      </c>
      <c r="G39" s="688">
        <v>15849.4007525</v>
      </c>
    </row>
    <row r="40" spans="1:8">
      <c r="A40" s="689" t="s">
        <v>551</v>
      </c>
      <c r="B40" s="690"/>
      <c r="C40" s="691"/>
      <c r="D40" s="691">
        <v>0.13787250000000001</v>
      </c>
      <c r="E40" s="691"/>
      <c r="F40" s="691">
        <v>0.13787250000000001</v>
      </c>
      <c r="G40" s="692">
        <v>15849.4007525</v>
      </c>
    </row>
    <row r="41" spans="1:8">
      <c r="A41" s="502" t="s">
        <v>422</v>
      </c>
      <c r="B41" s="502"/>
      <c r="C41" s="501">
        <v>2009924.3484725005</v>
      </c>
      <c r="D41" s="501">
        <v>1364542.8557550001</v>
      </c>
      <c r="E41" s="501">
        <v>382244.56671749993</v>
      </c>
      <c r="F41" s="501">
        <v>3756711.7709449991</v>
      </c>
      <c r="G41" s="645">
        <v>23143706.11809</v>
      </c>
    </row>
    <row r="42" spans="1:8">
      <c r="A42" s="502" t="s">
        <v>349</v>
      </c>
      <c r="B42" s="502"/>
      <c r="C42" s="503"/>
      <c r="D42" s="503"/>
      <c r="E42" s="538"/>
      <c r="F42" s="504">
        <f>+'3. Tipo Generación'!D14*1000</f>
        <v>16997.148410000005</v>
      </c>
      <c r="G42" s="646">
        <f>+'4. Tipo Recurso'!$G$21*1000</f>
        <v>22616.474610000005</v>
      </c>
    </row>
    <row r="43" spans="1:8">
      <c r="A43" s="647" t="s">
        <v>350</v>
      </c>
      <c r="B43" s="502"/>
      <c r="C43" s="503"/>
      <c r="D43" s="503"/>
      <c r="E43" s="538"/>
      <c r="F43" s="504"/>
      <c r="G43" s="646"/>
    </row>
    <row r="44" spans="1:8" ht="6.75" customHeight="1">
      <c r="A44" s="648"/>
      <c r="B44" s="648"/>
      <c r="C44" s="648"/>
      <c r="D44" s="648"/>
      <c r="E44" s="648"/>
      <c r="F44" s="648"/>
      <c r="G44" s="648"/>
    </row>
    <row r="45" spans="1:8" ht="23.25" customHeight="1">
      <c r="A45" s="988" t="s">
        <v>481</v>
      </c>
      <c r="B45" s="988"/>
      <c r="C45" s="988"/>
      <c r="D45" s="988"/>
      <c r="E45" s="988"/>
      <c r="F45" s="988"/>
      <c r="G45" s="988"/>
    </row>
    <row r="46" spans="1:8" ht="17.25" customHeight="1">
      <c r="A46" s="711"/>
      <c r="B46" s="711"/>
      <c r="C46" s="711"/>
      <c r="D46" s="711"/>
      <c r="E46" s="711"/>
      <c r="F46" s="711"/>
      <c r="G46" s="711"/>
      <c r="H46" s="46"/>
    </row>
    <row r="47" spans="1:8" ht="17.25" customHeight="1">
      <c r="A47" s="711" t="s">
        <v>552</v>
      </c>
      <c r="B47" s="711"/>
      <c r="C47" s="711"/>
      <c r="D47" s="711"/>
      <c r="E47" s="711"/>
      <c r="F47" s="711"/>
      <c r="G47" s="711"/>
      <c r="H47" s="46"/>
    </row>
    <row r="48" spans="1:8" s="417" customFormat="1" ht="17.25" customHeight="1">
      <c r="A48" s="711" t="s">
        <v>683</v>
      </c>
      <c r="B48" s="711"/>
      <c r="C48" s="711"/>
      <c r="D48" s="711"/>
      <c r="E48" s="711"/>
      <c r="F48" s="711"/>
      <c r="G48" s="711"/>
      <c r="H48" s="46"/>
    </row>
    <row r="49" spans="1:8" ht="17.25" customHeight="1">
      <c r="A49" s="711"/>
      <c r="B49" s="711"/>
      <c r="C49" s="711"/>
      <c r="D49" s="711"/>
      <c r="E49" s="711"/>
      <c r="F49" s="711"/>
      <c r="G49" s="711"/>
      <c r="H49" s="46"/>
    </row>
    <row r="50" spans="1:8" ht="17.25" customHeight="1">
      <c r="A50" s="711"/>
      <c r="B50" s="283"/>
      <c r="C50" s="283"/>
      <c r="D50" s="283"/>
      <c r="E50" s="283"/>
      <c r="F50" s="283"/>
      <c r="G50" s="46"/>
      <c r="H50" s="46"/>
    </row>
    <row r="51" spans="1:8" ht="17.25" customHeight="1">
      <c r="A51" s="711"/>
      <c r="B51" s="283"/>
      <c r="C51" s="283"/>
      <c r="D51" s="283"/>
      <c r="E51" s="283"/>
      <c r="F51" s="283"/>
      <c r="G51" s="46"/>
      <c r="H51" s="46"/>
    </row>
    <row r="52" spans="1:8" ht="22.5" customHeight="1">
      <c r="A52" s="987"/>
      <c r="B52" s="987"/>
      <c r="C52" s="987"/>
      <c r="D52" s="987"/>
      <c r="E52" s="987"/>
      <c r="F52" s="987"/>
      <c r="G52" s="987"/>
    </row>
    <row r="53" spans="1:8" ht="16.5" customHeight="1">
      <c r="A53" s="711"/>
      <c r="B53" s="279"/>
      <c r="C53" s="279"/>
      <c r="D53" s="279"/>
      <c r="E53" s="279"/>
      <c r="F53" s="279"/>
    </row>
    <row r="54" spans="1:8" s="738" customFormat="1" ht="16.5" customHeight="1">
      <c r="A54" s="711"/>
      <c r="B54" s="279"/>
      <c r="C54" s="279"/>
      <c r="D54" s="279"/>
      <c r="E54" s="279"/>
      <c r="F54" s="279"/>
    </row>
    <row r="55" spans="1:8" s="738" customFormat="1" ht="16.5" customHeight="1">
      <c r="A55" s="711"/>
      <c r="B55" s="279"/>
      <c r="C55" s="279"/>
      <c r="D55" s="279"/>
      <c r="E55" s="279"/>
      <c r="F55" s="279"/>
    </row>
    <row r="56" spans="1:8">
      <c r="A56" s="336"/>
      <c r="B56" s="279"/>
      <c r="C56" s="279"/>
      <c r="D56" s="279"/>
      <c r="E56" s="279"/>
      <c r="F56" s="279"/>
    </row>
    <row r="57" spans="1:8">
      <c r="A57" s="336"/>
      <c r="B57" s="279"/>
      <c r="C57" s="279"/>
      <c r="D57" s="279"/>
      <c r="E57" s="279"/>
      <c r="F57" s="279"/>
    </row>
    <row r="58" spans="1:8">
      <c r="A58" s="336"/>
      <c r="B58" s="279"/>
      <c r="C58" s="279"/>
      <c r="D58" s="279"/>
      <c r="E58" s="279"/>
      <c r="F58" s="279"/>
    </row>
    <row r="59" spans="1:8">
      <c r="A59" s="336"/>
      <c r="B59" s="279"/>
      <c r="C59" s="279"/>
      <c r="D59" s="279"/>
      <c r="E59" s="279"/>
      <c r="F59" s="279"/>
    </row>
    <row r="60" spans="1:8">
      <c r="A60" s="336"/>
      <c r="B60" s="279"/>
      <c r="C60" s="279"/>
      <c r="D60" s="279"/>
      <c r="E60" s="279"/>
      <c r="F60" s="279"/>
    </row>
    <row r="61" spans="1:8">
      <c r="A61" s="336"/>
    </row>
    <row r="62" spans="1:8">
      <c r="A62" s="336"/>
    </row>
    <row r="63" spans="1:8">
      <c r="A63" s="336"/>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60" workbookViewId="0">
      <selection activeCell="D9" sqref="D9"/>
    </sheetView>
  </sheetViews>
  <sheetFormatPr defaultColWidth="9.33203125" defaultRowHeight="9"/>
  <cols>
    <col min="1" max="1" width="28.83203125" style="279" customWidth="1"/>
    <col min="2" max="2" width="27.5" style="279" customWidth="1"/>
    <col min="3" max="3" width="17.6640625" style="279" customWidth="1"/>
    <col min="4" max="4" width="18" style="279" customWidth="1"/>
    <col min="5" max="5" width="18.83203125" style="279" customWidth="1"/>
    <col min="6" max="6" width="15.1640625" style="279" customWidth="1"/>
    <col min="7" max="7" width="9.33203125" style="279"/>
    <col min="8" max="8" width="15.6640625" style="279" customWidth="1"/>
    <col min="9" max="9" width="9.33203125" style="279"/>
    <col min="10" max="11" width="9.33203125" style="279" customWidth="1"/>
    <col min="12" max="16384" width="9.33203125" style="279"/>
  </cols>
  <sheetData>
    <row r="1" spans="1:12" ht="11.25" customHeight="1">
      <c r="A1" s="657" t="s">
        <v>353</v>
      </c>
      <c r="B1" s="658"/>
      <c r="C1" s="658"/>
      <c r="D1" s="658"/>
      <c r="E1" s="658"/>
      <c r="F1" s="658"/>
    </row>
    <row r="2" spans="1:12" s="336" customFormat="1" ht="11.25" customHeight="1">
      <c r="A2" s="989" t="s">
        <v>250</v>
      </c>
      <c r="B2" s="992" t="s">
        <v>54</v>
      </c>
      <c r="C2" s="992" t="s">
        <v>354</v>
      </c>
      <c r="D2" s="992"/>
      <c r="E2" s="992"/>
      <c r="F2" s="995"/>
      <c r="G2" s="444"/>
      <c r="H2" s="444"/>
      <c r="I2" s="444"/>
      <c r="J2" s="444"/>
      <c r="K2" s="444"/>
    </row>
    <row r="3" spans="1:12" s="336" customFormat="1" ht="11.25" customHeight="1">
      <c r="A3" s="990"/>
      <c r="B3" s="993"/>
      <c r="C3" s="505" t="str">
        <f>UPPER('1. Resumen'!Q4)&amp;" "&amp;'1. Resumen'!Q5</f>
        <v>JUNIO 2020</v>
      </c>
      <c r="D3" s="506" t="str">
        <f>UPPER('1. Resumen'!Q4)&amp;" "&amp;'1. Resumen'!Q5-1</f>
        <v>JUNIO 2019</v>
      </c>
      <c r="E3" s="506">
        <v>2020</v>
      </c>
      <c r="F3" s="649" t="s">
        <v>480</v>
      </c>
      <c r="G3" s="445"/>
      <c r="H3" s="445"/>
      <c r="I3" s="445"/>
      <c r="J3" s="445"/>
      <c r="K3" s="445"/>
      <c r="L3" s="444"/>
    </row>
    <row r="4" spans="1:12" s="336" customFormat="1" ht="11.25" customHeight="1">
      <c r="A4" s="990"/>
      <c r="B4" s="993"/>
      <c r="C4" s="508">
        <f>+'8. Max Potencia'!D8</f>
        <v>44011.8125</v>
      </c>
      <c r="D4" s="508">
        <f>+'8. Max Potencia'!E8</f>
        <v>43635.75</v>
      </c>
      <c r="E4" s="508">
        <f>+'8. Max Potencia'!G8</f>
        <v>43886.8125</v>
      </c>
      <c r="F4" s="650" t="s">
        <v>351</v>
      </c>
      <c r="G4" s="446"/>
      <c r="H4" s="446"/>
      <c r="I4" s="447"/>
      <c r="J4" s="447"/>
      <c r="K4" s="447"/>
      <c r="L4" s="444"/>
    </row>
    <row r="5" spans="1:12" s="336" customFormat="1" ht="11.25" customHeight="1">
      <c r="A5" s="991"/>
      <c r="B5" s="994"/>
      <c r="C5" s="652">
        <f>+'8. Max Potencia'!D9</f>
        <v>44011.8125</v>
      </c>
      <c r="D5" s="652">
        <f>+'8. Max Potencia'!E9</f>
        <v>43635.75</v>
      </c>
      <c r="E5" s="652">
        <f>+'8. Max Potencia'!G9</f>
        <v>43886.8125</v>
      </c>
      <c r="F5" s="653" t="s">
        <v>352</v>
      </c>
      <c r="G5" s="446"/>
      <c r="H5" s="446"/>
      <c r="I5" s="446"/>
      <c r="J5" s="446"/>
      <c r="K5" s="446"/>
      <c r="L5" s="448"/>
    </row>
    <row r="6" spans="1:12" s="336" customFormat="1" ht="9" customHeight="1">
      <c r="A6" s="699" t="s">
        <v>121</v>
      </c>
      <c r="B6" s="441" t="s">
        <v>86</v>
      </c>
      <c r="C6" s="449">
        <v>0</v>
      </c>
      <c r="D6" s="800">
        <v>17.947790000000001</v>
      </c>
      <c r="E6" s="803">
        <v>0</v>
      </c>
      <c r="F6" s="704">
        <f>+IF(D6=0,"",C6/D6-1)</f>
        <v>-1</v>
      </c>
      <c r="G6" s="446"/>
      <c r="H6" s="761"/>
      <c r="I6" s="761"/>
      <c r="J6" s="446"/>
      <c r="K6" s="446"/>
      <c r="L6" s="450"/>
    </row>
    <row r="7" spans="1:12" s="336" customFormat="1" ht="9" customHeight="1">
      <c r="A7" s="681" t="s">
        <v>493</v>
      </c>
      <c r="B7" s="517"/>
      <c r="C7" s="519">
        <v>0</v>
      </c>
      <c r="D7" s="801">
        <v>17.947790000000001</v>
      </c>
      <c r="E7" s="804">
        <v>0</v>
      </c>
      <c r="F7" s="682">
        <f t="shared" ref="F7:F70" si="0">+IF(D7=0,"",C7/D7-1)</f>
        <v>-1</v>
      </c>
      <c r="G7" s="446"/>
      <c r="H7" s="761"/>
      <c r="I7" s="761"/>
      <c r="J7" s="446"/>
      <c r="K7" s="446"/>
      <c r="L7" s="451"/>
    </row>
    <row r="8" spans="1:12" s="336" customFormat="1" ht="9" customHeight="1">
      <c r="A8" s="699" t="s">
        <v>120</v>
      </c>
      <c r="B8" s="441" t="s">
        <v>63</v>
      </c>
      <c r="C8" s="449">
        <v>3.1417199999999998</v>
      </c>
      <c r="D8" s="800">
        <v>0</v>
      </c>
      <c r="E8" s="803">
        <v>12.31569</v>
      </c>
      <c r="F8" s="705" t="str">
        <f t="shared" si="0"/>
        <v/>
      </c>
      <c r="G8" s="446"/>
      <c r="H8" s="761"/>
      <c r="I8" s="761"/>
      <c r="J8" s="446"/>
      <c r="K8" s="446"/>
      <c r="L8" s="452"/>
    </row>
    <row r="9" spans="1:12" s="336" customFormat="1" ht="9" customHeight="1">
      <c r="A9" s="681" t="s">
        <v>494</v>
      </c>
      <c r="B9" s="517"/>
      <c r="C9" s="519">
        <v>3.1417199999999998</v>
      </c>
      <c r="D9" s="801">
        <v>0</v>
      </c>
      <c r="E9" s="804">
        <v>12.31569</v>
      </c>
      <c r="F9" s="682" t="str">
        <f t="shared" si="0"/>
        <v/>
      </c>
      <c r="G9" s="446"/>
      <c r="H9" s="761"/>
      <c r="I9" s="761"/>
      <c r="J9" s="446"/>
      <c r="K9" s="446"/>
      <c r="L9" s="451"/>
    </row>
    <row r="10" spans="1:12" s="336" customFormat="1" ht="9" customHeight="1">
      <c r="A10" s="679" t="s">
        <v>106</v>
      </c>
      <c r="B10" s="631" t="s">
        <v>83</v>
      </c>
      <c r="C10" s="633">
        <v>0</v>
      </c>
      <c r="D10" s="802">
        <v>14.48222</v>
      </c>
      <c r="E10" s="805">
        <v>0</v>
      </c>
      <c r="F10" s="680">
        <f t="shared" si="0"/>
        <v>-1</v>
      </c>
      <c r="G10" s="446"/>
      <c r="H10" s="761"/>
      <c r="I10" s="761"/>
      <c r="J10" s="446"/>
      <c r="K10" s="446"/>
      <c r="L10" s="451"/>
    </row>
    <row r="11" spans="1:12" s="336" customFormat="1" ht="9" customHeight="1">
      <c r="A11" s="681" t="s">
        <v>495</v>
      </c>
      <c r="B11" s="517"/>
      <c r="C11" s="519">
        <v>0</v>
      </c>
      <c r="D11" s="801">
        <v>14.48222</v>
      </c>
      <c r="E11" s="804">
        <v>0</v>
      </c>
      <c r="F11" s="682">
        <f t="shared" si="0"/>
        <v>-1</v>
      </c>
      <c r="G11" s="446"/>
      <c r="H11" s="761"/>
      <c r="I11" s="761"/>
      <c r="J11" s="446"/>
      <c r="K11" s="446"/>
      <c r="L11" s="451"/>
    </row>
    <row r="12" spans="1:12" s="336" customFormat="1" ht="9" customHeight="1">
      <c r="A12" s="679" t="s">
        <v>418</v>
      </c>
      <c r="B12" s="631" t="s">
        <v>420</v>
      </c>
      <c r="C12" s="633">
        <v>0</v>
      </c>
      <c r="D12" s="802">
        <v>19.996739999999999</v>
      </c>
      <c r="E12" s="805">
        <v>20.564639999999997</v>
      </c>
      <c r="F12" s="680">
        <f t="shared" si="0"/>
        <v>-1</v>
      </c>
      <c r="G12" s="446"/>
      <c r="H12" s="761"/>
      <c r="I12" s="761"/>
      <c r="J12" s="446"/>
      <c r="K12" s="446"/>
      <c r="L12" s="451"/>
    </row>
    <row r="13" spans="1:12" s="336" customFormat="1" ht="9" customHeight="1">
      <c r="A13" s="681" t="s">
        <v>496</v>
      </c>
      <c r="B13" s="517"/>
      <c r="C13" s="519">
        <v>0</v>
      </c>
      <c r="D13" s="801">
        <v>19.996739999999999</v>
      </c>
      <c r="E13" s="804">
        <v>20.564639999999997</v>
      </c>
      <c r="F13" s="682">
        <f t="shared" si="0"/>
        <v>-1</v>
      </c>
      <c r="G13" s="446"/>
      <c r="H13" s="761"/>
      <c r="I13" s="761"/>
      <c r="J13" s="446"/>
      <c r="K13" s="446"/>
      <c r="L13" s="451"/>
    </row>
    <row r="14" spans="1:12" s="336" customFormat="1" ht="9" customHeight="1">
      <c r="A14" s="679" t="s">
        <v>457</v>
      </c>
      <c r="B14" s="631" t="s">
        <v>465</v>
      </c>
      <c r="C14" s="633">
        <v>8.875</v>
      </c>
      <c r="D14" s="802"/>
      <c r="E14" s="805">
        <v>9.125</v>
      </c>
      <c r="F14" s="680" t="str">
        <f t="shared" si="0"/>
        <v/>
      </c>
      <c r="G14" s="446"/>
      <c r="H14" s="761"/>
      <c r="I14" s="761"/>
      <c r="J14" s="446"/>
      <c r="K14" s="446"/>
      <c r="L14" s="451"/>
    </row>
    <row r="15" spans="1:12" s="336" customFormat="1" ht="9" customHeight="1">
      <c r="A15" s="681" t="s">
        <v>497</v>
      </c>
      <c r="B15" s="517"/>
      <c r="C15" s="519">
        <v>8.875</v>
      </c>
      <c r="D15" s="801"/>
      <c r="E15" s="804">
        <v>9.125</v>
      </c>
      <c r="F15" s="682" t="str">
        <f t="shared" si="0"/>
        <v/>
      </c>
      <c r="G15" s="446"/>
      <c r="H15" s="761"/>
      <c r="I15" s="761"/>
      <c r="J15" s="446"/>
      <c r="K15" s="446"/>
      <c r="L15" s="451"/>
    </row>
    <row r="16" spans="1:12" s="336" customFormat="1" ht="9" customHeight="1">
      <c r="A16" s="679" t="s">
        <v>94</v>
      </c>
      <c r="B16" s="631" t="s">
        <v>281</v>
      </c>
      <c r="C16" s="633">
        <v>203.70605999999998</v>
      </c>
      <c r="D16" s="802">
        <v>167.84417999999999</v>
      </c>
      <c r="E16" s="805">
        <v>209.33445999999998</v>
      </c>
      <c r="F16" s="680">
        <f t="shared" si="0"/>
        <v>0.21366174269492078</v>
      </c>
      <c r="G16" s="446"/>
      <c r="H16" s="761"/>
      <c r="I16" s="761"/>
      <c r="J16" s="446"/>
      <c r="K16" s="446"/>
      <c r="L16" s="451"/>
    </row>
    <row r="17" spans="1:16" s="336" customFormat="1" ht="9" customHeight="1">
      <c r="A17" s="681" t="s">
        <v>498</v>
      </c>
      <c r="B17" s="517"/>
      <c r="C17" s="519">
        <v>203.70605999999998</v>
      </c>
      <c r="D17" s="801">
        <v>167.84417999999999</v>
      </c>
      <c r="E17" s="804">
        <v>209.33445999999998</v>
      </c>
      <c r="F17" s="682">
        <f t="shared" si="0"/>
        <v>0.21366174269492078</v>
      </c>
      <c r="G17" s="446"/>
      <c r="H17" s="761"/>
      <c r="I17" s="761"/>
      <c r="J17" s="446"/>
      <c r="K17" s="446"/>
      <c r="L17" s="452"/>
    </row>
    <row r="18" spans="1:16" s="336" customFormat="1" ht="9" customHeight="1">
      <c r="A18" s="679" t="s">
        <v>236</v>
      </c>
      <c r="B18" s="631" t="s">
        <v>282</v>
      </c>
      <c r="C18" s="633">
        <v>0</v>
      </c>
      <c r="D18" s="802">
        <v>0</v>
      </c>
      <c r="E18" s="805">
        <v>0</v>
      </c>
      <c r="F18" s="680" t="str">
        <f t="shared" si="0"/>
        <v/>
      </c>
      <c r="G18" s="446"/>
      <c r="H18" s="761"/>
      <c r="I18" s="761"/>
      <c r="J18" s="446"/>
      <c r="K18" s="446"/>
      <c r="L18" s="452"/>
    </row>
    <row r="19" spans="1:16" s="336" customFormat="1" ht="9" customHeight="1">
      <c r="A19" s="681" t="s">
        <v>499</v>
      </c>
      <c r="B19" s="517"/>
      <c r="C19" s="519">
        <v>0</v>
      </c>
      <c r="D19" s="801">
        <v>0</v>
      </c>
      <c r="E19" s="804">
        <v>0</v>
      </c>
      <c r="F19" s="682" t="str">
        <f t="shared" si="0"/>
        <v/>
      </c>
      <c r="G19" s="446"/>
      <c r="H19" s="761"/>
      <c r="I19" s="761"/>
      <c r="J19" s="446"/>
      <c r="K19" s="446"/>
      <c r="L19" s="452"/>
    </row>
    <row r="20" spans="1:16" s="336" customFormat="1" ht="9" customHeight="1">
      <c r="A20" s="679" t="s">
        <v>93</v>
      </c>
      <c r="B20" s="631" t="s">
        <v>283</v>
      </c>
      <c r="C20" s="633">
        <v>126.67299</v>
      </c>
      <c r="D20" s="802">
        <v>105.97909</v>
      </c>
      <c r="E20" s="805">
        <v>152.27247</v>
      </c>
      <c r="F20" s="680">
        <f t="shared" si="0"/>
        <v>0.19526399028336616</v>
      </c>
      <c r="G20" s="446"/>
      <c r="H20" s="761"/>
      <c r="I20" s="761"/>
      <c r="J20" s="446"/>
      <c r="K20" s="446"/>
      <c r="L20" s="446"/>
      <c r="M20" s="446"/>
      <c r="N20" s="446"/>
      <c r="O20" s="446"/>
      <c r="P20" s="446"/>
    </row>
    <row r="21" spans="1:16" s="336" customFormat="1" ht="9" customHeight="1">
      <c r="A21" s="679"/>
      <c r="B21" s="631" t="s">
        <v>284</v>
      </c>
      <c r="C21" s="633">
        <v>17.533770000000001</v>
      </c>
      <c r="D21" s="802">
        <v>16.648289999999999</v>
      </c>
      <c r="E21" s="805">
        <v>42.53781</v>
      </c>
      <c r="F21" s="680">
        <f t="shared" si="0"/>
        <v>5.3187444476279655E-2</v>
      </c>
      <c r="G21" s="446"/>
      <c r="H21" s="761"/>
      <c r="I21" s="761"/>
      <c r="J21" s="446"/>
      <c r="K21" s="446"/>
      <c r="L21" s="446"/>
      <c r="M21" s="446"/>
      <c r="N21" s="446"/>
      <c r="O21" s="446"/>
      <c r="P21" s="446"/>
    </row>
    <row r="22" spans="1:16" s="336" customFormat="1" ht="9" customHeight="1">
      <c r="A22" s="681" t="s">
        <v>500</v>
      </c>
      <c r="B22" s="517"/>
      <c r="C22" s="519">
        <v>144.20676</v>
      </c>
      <c r="D22" s="801">
        <v>122.62738</v>
      </c>
      <c r="E22" s="804">
        <v>194.81028000000001</v>
      </c>
      <c r="F22" s="682">
        <f t="shared" si="0"/>
        <v>0.17597521858495213</v>
      </c>
      <c r="G22" s="446"/>
      <c r="H22" s="761"/>
      <c r="I22" s="761"/>
      <c r="J22" s="446"/>
      <c r="K22" s="446"/>
      <c r="L22" s="451"/>
    </row>
    <row r="23" spans="1:16" s="336" customFormat="1" ht="9" customHeight="1">
      <c r="A23" s="679" t="s">
        <v>91</v>
      </c>
      <c r="B23" s="631" t="s">
        <v>285</v>
      </c>
      <c r="C23" s="633">
        <v>1.6644000000000001</v>
      </c>
      <c r="D23" s="802">
        <v>1.6803699999999999</v>
      </c>
      <c r="E23" s="805">
        <v>1.5918999999999999</v>
      </c>
      <c r="F23" s="680">
        <f t="shared" si="0"/>
        <v>-9.5038592690894763E-3</v>
      </c>
      <c r="G23" s="446"/>
      <c r="H23" s="761"/>
      <c r="I23" s="761"/>
      <c r="J23" s="446"/>
      <c r="K23" s="446"/>
      <c r="L23" s="451"/>
    </row>
    <row r="24" spans="1:16" s="336" customFormat="1" ht="9" customHeight="1">
      <c r="A24" s="679"/>
      <c r="B24" s="631" t="s">
        <v>286</v>
      </c>
      <c r="C24" s="633">
        <v>0.56020000000000003</v>
      </c>
      <c r="D24" s="802">
        <v>0.56848999999999994</v>
      </c>
      <c r="E24" s="805">
        <v>0.38527999999999996</v>
      </c>
      <c r="F24" s="680">
        <f t="shared" si="0"/>
        <v>-1.4582490457175856E-2</v>
      </c>
      <c r="G24" s="446"/>
      <c r="H24" s="761"/>
      <c r="I24" s="761"/>
      <c r="J24" s="446"/>
      <c r="K24" s="446"/>
      <c r="L24" s="451"/>
    </row>
    <row r="25" spans="1:16" s="336" customFormat="1" ht="9" customHeight="1">
      <c r="A25" s="679"/>
      <c r="B25" s="631" t="s">
        <v>287</v>
      </c>
      <c r="C25" s="633">
        <v>4.6537100000000002</v>
      </c>
      <c r="D25" s="802">
        <v>4.54054</v>
      </c>
      <c r="E25" s="805">
        <v>4.6962299999999999</v>
      </c>
      <c r="F25" s="680">
        <f t="shared" si="0"/>
        <v>2.4924348205279667E-2</v>
      </c>
      <c r="G25" s="446"/>
      <c r="H25" s="761"/>
      <c r="I25" s="761"/>
      <c r="J25" s="446"/>
      <c r="K25" s="446"/>
      <c r="L25" s="451"/>
    </row>
    <row r="26" spans="1:16" s="336" customFormat="1" ht="9" customHeight="1">
      <c r="A26" s="679"/>
      <c r="B26" s="631" t="s">
        <v>288</v>
      </c>
      <c r="C26" s="633">
        <v>12.087350000000001</v>
      </c>
      <c r="D26" s="802">
        <v>10.358989999999999</v>
      </c>
      <c r="E26" s="805">
        <v>15.07926</v>
      </c>
      <c r="F26" s="680">
        <f t="shared" si="0"/>
        <v>0.16684638174184951</v>
      </c>
      <c r="G26" s="446"/>
      <c r="H26" s="761"/>
      <c r="I26" s="761"/>
      <c r="J26" s="446"/>
      <c r="K26" s="446"/>
      <c r="L26" s="451"/>
    </row>
    <row r="27" spans="1:16" s="336" customFormat="1" ht="9" customHeight="1">
      <c r="A27" s="679"/>
      <c r="B27" s="631" t="s">
        <v>289</v>
      </c>
      <c r="C27" s="633">
        <v>141.1986</v>
      </c>
      <c r="D27" s="802">
        <v>119.70899</v>
      </c>
      <c r="E27" s="805">
        <v>141.92739999999998</v>
      </c>
      <c r="F27" s="680">
        <f t="shared" si="0"/>
        <v>0.17951542319419778</v>
      </c>
      <c r="G27" s="446"/>
      <c r="H27" s="761"/>
      <c r="I27" s="761"/>
      <c r="J27" s="446"/>
      <c r="K27" s="446"/>
      <c r="L27" s="451"/>
    </row>
    <row r="28" spans="1:16" s="336" customFormat="1" ht="9" customHeight="1">
      <c r="A28" s="679"/>
      <c r="B28" s="631" t="s">
        <v>290</v>
      </c>
      <c r="C28" s="633">
        <v>7.2077299999999997</v>
      </c>
      <c r="D28" s="802">
        <v>6.3984100000000002</v>
      </c>
      <c r="E28" s="805">
        <v>7.5733499999999996</v>
      </c>
      <c r="F28" s="680">
        <f t="shared" si="0"/>
        <v>0.12648767428157925</v>
      </c>
      <c r="G28" s="446"/>
      <c r="H28" s="761"/>
      <c r="I28" s="761"/>
      <c r="J28" s="446"/>
      <c r="K28" s="446"/>
      <c r="L28" s="451"/>
    </row>
    <row r="29" spans="1:16" s="336" customFormat="1" ht="9" customHeight="1">
      <c r="A29" s="679"/>
      <c r="B29" s="631" t="s">
        <v>291</v>
      </c>
      <c r="C29" s="633">
        <v>0</v>
      </c>
      <c r="D29" s="802">
        <v>0</v>
      </c>
      <c r="E29" s="805">
        <v>0</v>
      </c>
      <c r="F29" s="680" t="str">
        <f t="shared" si="0"/>
        <v/>
      </c>
      <c r="G29" s="446"/>
      <c r="H29" s="761"/>
      <c r="I29" s="761"/>
      <c r="J29" s="446"/>
      <c r="K29" s="446"/>
      <c r="L29" s="453"/>
    </row>
    <row r="30" spans="1:16" s="336" customFormat="1" ht="9" customHeight="1">
      <c r="A30" s="679"/>
      <c r="B30" s="631" t="s">
        <v>292</v>
      </c>
      <c r="C30" s="633">
        <v>0</v>
      </c>
      <c r="D30" s="802">
        <v>0</v>
      </c>
      <c r="E30" s="805">
        <v>0</v>
      </c>
      <c r="F30" s="680" t="str">
        <f t="shared" si="0"/>
        <v/>
      </c>
      <c r="G30" s="446"/>
      <c r="H30" s="761"/>
      <c r="I30" s="761"/>
      <c r="J30" s="446"/>
      <c r="K30" s="446"/>
      <c r="L30" s="451"/>
    </row>
    <row r="31" spans="1:16" s="336" customFormat="1" ht="9" customHeight="1">
      <c r="A31" s="679"/>
      <c r="B31" s="631" t="s">
        <v>293</v>
      </c>
      <c r="C31" s="633">
        <v>0</v>
      </c>
      <c r="D31" s="802">
        <v>0</v>
      </c>
      <c r="E31" s="805">
        <v>0</v>
      </c>
      <c r="F31" s="680" t="str">
        <f t="shared" si="0"/>
        <v/>
      </c>
      <c r="G31" s="446"/>
      <c r="H31" s="761"/>
      <c r="I31" s="761"/>
      <c r="J31" s="446"/>
      <c r="K31" s="446"/>
      <c r="L31" s="451"/>
    </row>
    <row r="32" spans="1:16" s="336" customFormat="1" ht="9" customHeight="1">
      <c r="A32" s="681" t="s">
        <v>501</v>
      </c>
      <c r="B32" s="517"/>
      <c r="C32" s="519">
        <v>167.37199000000001</v>
      </c>
      <c r="D32" s="801">
        <v>143.25579000000002</v>
      </c>
      <c r="E32" s="804">
        <v>171.25341999999998</v>
      </c>
      <c r="F32" s="682">
        <f t="shared" si="0"/>
        <v>0.16834363204447089</v>
      </c>
      <c r="G32" s="446"/>
      <c r="H32" s="761"/>
      <c r="I32" s="761"/>
      <c r="J32" s="446"/>
      <c r="K32" s="446"/>
      <c r="L32" s="451"/>
    </row>
    <row r="33" spans="1:12" s="336" customFormat="1" ht="9" customHeight="1">
      <c r="A33" s="679" t="s">
        <v>114</v>
      </c>
      <c r="B33" s="631" t="s">
        <v>70</v>
      </c>
      <c r="C33" s="633">
        <v>2.31291</v>
      </c>
      <c r="D33" s="802">
        <v>0</v>
      </c>
      <c r="E33" s="805">
        <v>5.0030000000000001</v>
      </c>
      <c r="F33" s="680" t="str">
        <f t="shared" si="0"/>
        <v/>
      </c>
      <c r="G33" s="446"/>
      <c r="H33" s="761"/>
      <c r="I33" s="761"/>
      <c r="J33" s="446"/>
      <c r="K33" s="446"/>
      <c r="L33" s="453"/>
    </row>
    <row r="34" spans="1:12" s="336" customFormat="1" ht="9" customHeight="1">
      <c r="A34" s="681" t="s">
        <v>502</v>
      </c>
      <c r="B34" s="517"/>
      <c r="C34" s="519">
        <v>2.31291</v>
      </c>
      <c r="D34" s="801">
        <v>0</v>
      </c>
      <c r="E34" s="804">
        <v>5.0030000000000001</v>
      </c>
      <c r="F34" s="682" t="str">
        <f t="shared" si="0"/>
        <v/>
      </c>
      <c r="G34" s="446"/>
      <c r="H34" s="761"/>
      <c r="I34" s="761"/>
      <c r="J34" s="446"/>
      <c r="K34" s="446"/>
      <c r="L34" s="451"/>
    </row>
    <row r="35" spans="1:12" s="336" customFormat="1" ht="9" customHeight="1">
      <c r="A35" s="679" t="s">
        <v>92</v>
      </c>
      <c r="B35" s="631" t="s">
        <v>294</v>
      </c>
      <c r="C35" s="633">
        <v>139.61899</v>
      </c>
      <c r="D35" s="802">
        <v>136.76603</v>
      </c>
      <c r="E35" s="805">
        <v>163.44429</v>
      </c>
      <c r="F35" s="680">
        <f t="shared" si="0"/>
        <v>2.0860150726024651E-2</v>
      </c>
      <c r="G35" s="446"/>
      <c r="H35" s="761"/>
      <c r="I35" s="761"/>
      <c r="J35" s="446"/>
      <c r="K35" s="446"/>
      <c r="L35" s="451"/>
    </row>
    <row r="36" spans="1:12" s="336" customFormat="1" ht="9" customHeight="1">
      <c r="A36" s="681" t="s">
        <v>503</v>
      </c>
      <c r="B36" s="517"/>
      <c r="C36" s="519">
        <v>139.61899</v>
      </c>
      <c r="D36" s="801">
        <v>136.76603</v>
      </c>
      <c r="E36" s="804">
        <v>163.44429</v>
      </c>
      <c r="F36" s="682">
        <f t="shared" si="0"/>
        <v>2.0860150726024651E-2</v>
      </c>
      <c r="G36" s="446"/>
      <c r="H36" s="761"/>
      <c r="I36" s="761"/>
      <c r="J36" s="446"/>
      <c r="K36" s="446"/>
      <c r="L36" s="451"/>
    </row>
    <row r="37" spans="1:12" s="336" customFormat="1" ht="9" customHeight="1">
      <c r="A37" s="679" t="s">
        <v>101</v>
      </c>
      <c r="B37" s="631" t="s">
        <v>295</v>
      </c>
      <c r="C37" s="633">
        <v>16.206000000000003</v>
      </c>
      <c r="D37" s="802">
        <v>16.271999999999998</v>
      </c>
      <c r="E37" s="805">
        <v>7.4160000000000004</v>
      </c>
      <c r="F37" s="680">
        <f t="shared" si="0"/>
        <v>-4.056047197639856E-3</v>
      </c>
      <c r="G37" s="446"/>
      <c r="H37" s="761"/>
      <c r="I37" s="761"/>
      <c r="J37" s="446"/>
      <c r="K37" s="446"/>
      <c r="L37" s="451"/>
    </row>
    <row r="38" spans="1:12" s="336" customFormat="1" ht="9" customHeight="1">
      <c r="A38" s="679"/>
      <c r="B38" s="631" t="s">
        <v>296</v>
      </c>
      <c r="C38" s="633">
        <v>10.65</v>
      </c>
      <c r="D38" s="802">
        <v>9.9540000000000006</v>
      </c>
      <c r="E38" s="805">
        <v>4.2300000000000004</v>
      </c>
      <c r="F38" s="680">
        <f t="shared" si="0"/>
        <v>6.9921639541892677E-2</v>
      </c>
      <c r="G38" s="446"/>
      <c r="H38" s="761"/>
      <c r="I38" s="761"/>
      <c r="J38" s="446"/>
      <c r="K38" s="446"/>
      <c r="L38" s="451"/>
    </row>
    <row r="39" spans="1:12" s="336" customFormat="1" ht="9" customHeight="1">
      <c r="A39" s="679"/>
      <c r="B39" s="631" t="s">
        <v>297</v>
      </c>
      <c r="C39" s="633">
        <v>0</v>
      </c>
      <c r="D39" s="802">
        <v>15.039820000000001</v>
      </c>
      <c r="E39" s="805">
        <v>0</v>
      </c>
      <c r="F39" s="680">
        <f t="shared" si="0"/>
        <v>-1</v>
      </c>
      <c r="G39" s="446"/>
      <c r="H39" s="761"/>
      <c r="I39" s="761"/>
      <c r="J39" s="446"/>
      <c r="K39" s="446"/>
      <c r="L39" s="451"/>
    </row>
    <row r="40" spans="1:12" s="336" customFormat="1" ht="9" customHeight="1">
      <c r="A40" s="681" t="s">
        <v>504</v>
      </c>
      <c r="B40" s="517"/>
      <c r="C40" s="519">
        <v>26.856000000000002</v>
      </c>
      <c r="D40" s="801">
        <v>41.265819999999998</v>
      </c>
      <c r="E40" s="804">
        <v>11.646000000000001</v>
      </c>
      <c r="F40" s="682">
        <f t="shared" si="0"/>
        <v>-0.3491950481051872</v>
      </c>
      <c r="G40" s="446"/>
      <c r="H40" s="761"/>
      <c r="I40" s="761"/>
      <c r="J40" s="446"/>
      <c r="K40" s="446"/>
      <c r="L40" s="451"/>
    </row>
    <row r="41" spans="1:12" s="336" customFormat="1" ht="18" customHeight="1">
      <c r="A41" s="683" t="s">
        <v>453</v>
      </c>
      <c r="B41" s="641" t="s">
        <v>75</v>
      </c>
      <c r="C41" s="807">
        <v>0.82318000000000002</v>
      </c>
      <c r="D41" s="808">
        <v>0.23782</v>
      </c>
      <c r="E41" s="809">
        <v>0.71074000000000004</v>
      </c>
      <c r="F41" s="810">
        <f t="shared" si="0"/>
        <v>2.4613573290724076</v>
      </c>
      <c r="G41" s="446"/>
      <c r="H41" s="761"/>
      <c r="I41" s="761"/>
      <c r="J41" s="446"/>
      <c r="K41" s="446"/>
      <c r="L41" s="451"/>
    </row>
    <row r="42" spans="1:12" s="336" customFormat="1" ht="9" customHeight="1">
      <c r="A42" s="811" t="s">
        <v>505</v>
      </c>
      <c r="B42" s="812"/>
      <c r="C42" s="813">
        <v>0.82318000000000002</v>
      </c>
      <c r="D42" s="814">
        <v>0.23782</v>
      </c>
      <c r="E42" s="815">
        <v>0.71074000000000004</v>
      </c>
      <c r="F42" s="816">
        <f t="shared" si="0"/>
        <v>2.4613573290724076</v>
      </c>
      <c r="G42" s="446"/>
      <c r="H42" s="761"/>
      <c r="I42" s="761"/>
      <c r="J42" s="446"/>
      <c r="K42" s="446"/>
      <c r="L42" s="451"/>
    </row>
    <row r="43" spans="1:12" s="336" customFormat="1" ht="9" customHeight="1">
      <c r="A43" s="806" t="s">
        <v>115</v>
      </c>
      <c r="B43" s="641" t="s">
        <v>73</v>
      </c>
      <c r="C43" s="807">
        <v>2.42727</v>
      </c>
      <c r="D43" s="808">
        <v>2.7240599999999997</v>
      </c>
      <c r="E43" s="809">
        <v>3.7634700000000003</v>
      </c>
      <c r="F43" s="810">
        <f t="shared" si="0"/>
        <v>-0.10895134468403767</v>
      </c>
      <c r="G43" s="446"/>
      <c r="H43" s="761"/>
      <c r="I43" s="761"/>
      <c r="J43" s="446"/>
      <c r="K43" s="446"/>
      <c r="L43" s="451"/>
    </row>
    <row r="44" spans="1:12" s="336" customFormat="1" ht="9" customHeight="1">
      <c r="A44" s="811" t="s">
        <v>506</v>
      </c>
      <c r="B44" s="812"/>
      <c r="C44" s="813">
        <v>2.42727</v>
      </c>
      <c r="D44" s="814">
        <v>2.7240599999999997</v>
      </c>
      <c r="E44" s="815">
        <v>3.7634700000000003</v>
      </c>
      <c r="F44" s="816">
        <f t="shared" si="0"/>
        <v>-0.10895134468403767</v>
      </c>
      <c r="G44" s="446"/>
      <c r="H44" s="761"/>
      <c r="I44" s="761"/>
      <c r="J44" s="446"/>
      <c r="K44" s="446"/>
      <c r="L44" s="451"/>
    </row>
    <row r="45" spans="1:12" s="336" customFormat="1" ht="9" customHeight="1">
      <c r="A45" s="679" t="s">
        <v>421</v>
      </c>
      <c r="B45" s="631" t="s">
        <v>424</v>
      </c>
      <c r="C45" s="633">
        <v>6.9821400000000002</v>
      </c>
      <c r="D45" s="802">
        <v>10.28848</v>
      </c>
      <c r="E45" s="805">
        <v>6.8089000000000004</v>
      </c>
      <c r="F45" s="680">
        <f t="shared" si="0"/>
        <v>-0.32136331119854433</v>
      </c>
      <c r="G45" s="446"/>
      <c r="H45" s="761"/>
      <c r="I45" s="761"/>
      <c r="J45" s="446"/>
      <c r="K45" s="446"/>
      <c r="L45" s="451"/>
    </row>
    <row r="46" spans="1:12" s="336" customFormat="1" ht="9" customHeight="1">
      <c r="A46" s="681" t="s">
        <v>507</v>
      </c>
      <c r="B46" s="517"/>
      <c r="C46" s="519">
        <v>6.9821400000000002</v>
      </c>
      <c r="D46" s="801">
        <v>10.28848</v>
      </c>
      <c r="E46" s="804">
        <v>6.8089000000000004</v>
      </c>
      <c r="F46" s="682">
        <f t="shared" si="0"/>
        <v>-0.32136331119854433</v>
      </c>
      <c r="G46" s="446"/>
      <c r="H46" s="761"/>
      <c r="I46" s="761"/>
      <c r="J46" s="446"/>
      <c r="K46" s="446"/>
      <c r="L46" s="454"/>
    </row>
    <row r="47" spans="1:12" s="336" customFormat="1" ht="9" customHeight="1">
      <c r="A47" s="679" t="s">
        <v>89</v>
      </c>
      <c r="B47" s="631" t="s">
        <v>298</v>
      </c>
      <c r="C47" s="633">
        <v>652.96079999999995</v>
      </c>
      <c r="D47" s="802">
        <v>644.95679999999993</v>
      </c>
      <c r="E47" s="805">
        <v>608.46960000000001</v>
      </c>
      <c r="F47" s="680">
        <f t="shared" si="0"/>
        <v>1.2410133515919242E-2</v>
      </c>
      <c r="G47" s="446"/>
      <c r="H47" s="761"/>
      <c r="I47" s="761"/>
      <c r="J47" s="446"/>
      <c r="K47" s="446"/>
      <c r="L47" s="451"/>
    </row>
    <row r="48" spans="1:12" s="336" customFormat="1" ht="9" customHeight="1">
      <c r="A48" s="679"/>
      <c r="B48" s="631" t="s">
        <v>299</v>
      </c>
      <c r="C48" s="633">
        <v>216.20736000000002</v>
      </c>
      <c r="D48" s="802">
        <v>212.32128</v>
      </c>
      <c r="E48" s="805">
        <v>199.33823999999998</v>
      </c>
      <c r="F48" s="680">
        <f t="shared" si="0"/>
        <v>1.8302828618968592E-2</v>
      </c>
      <c r="G48" s="446"/>
      <c r="H48" s="761"/>
      <c r="I48" s="761"/>
      <c r="J48" s="446"/>
      <c r="K48" s="446"/>
      <c r="L48" s="451"/>
    </row>
    <row r="49" spans="1:12" s="336" customFormat="1" ht="9" customHeight="1">
      <c r="A49" s="679"/>
      <c r="B49" s="631" t="s">
        <v>300</v>
      </c>
      <c r="C49" s="633">
        <v>0</v>
      </c>
      <c r="D49" s="802">
        <v>8.2876899999999996</v>
      </c>
      <c r="E49" s="805">
        <v>0</v>
      </c>
      <c r="F49" s="680">
        <f t="shared" si="0"/>
        <v>-1</v>
      </c>
      <c r="G49" s="446"/>
      <c r="H49" s="761"/>
      <c r="I49" s="761"/>
      <c r="J49" s="446"/>
      <c r="K49" s="446"/>
      <c r="L49" s="451"/>
    </row>
    <row r="50" spans="1:12" s="336" customFormat="1" ht="9" customHeight="1">
      <c r="A50" s="681" t="s">
        <v>508</v>
      </c>
      <c r="B50" s="517"/>
      <c r="C50" s="519">
        <v>869.16815999999994</v>
      </c>
      <c r="D50" s="801">
        <v>865.56576999999993</v>
      </c>
      <c r="E50" s="804">
        <v>807.80783999999994</v>
      </c>
      <c r="F50" s="682">
        <f t="shared" si="0"/>
        <v>4.1618905516562776E-3</v>
      </c>
      <c r="G50" s="446"/>
      <c r="H50" s="761"/>
      <c r="I50" s="761"/>
      <c r="J50" s="446"/>
      <c r="K50" s="446"/>
      <c r="L50" s="451"/>
    </row>
    <row r="51" spans="1:12" s="336" customFormat="1" ht="9" customHeight="1">
      <c r="A51" s="679" t="s">
        <v>237</v>
      </c>
      <c r="B51" s="631" t="s">
        <v>301</v>
      </c>
      <c r="C51" s="633">
        <v>30.739879999999999</v>
      </c>
      <c r="D51" s="802">
        <v>226.4025</v>
      </c>
      <c r="E51" s="805">
        <v>456.96001999999999</v>
      </c>
      <c r="F51" s="680">
        <f t="shared" si="0"/>
        <v>-0.86422464416249822</v>
      </c>
      <c r="G51" s="446"/>
      <c r="H51" s="761"/>
      <c r="I51" s="761"/>
      <c r="J51" s="446"/>
      <c r="K51" s="446"/>
      <c r="L51" s="451"/>
    </row>
    <row r="52" spans="1:12" s="336" customFormat="1" ht="9" customHeight="1">
      <c r="A52" s="679"/>
      <c r="B52" s="631" t="s">
        <v>302</v>
      </c>
      <c r="C52" s="633">
        <v>0</v>
      </c>
      <c r="D52" s="802">
        <v>6.3468799999999996</v>
      </c>
      <c r="E52" s="805">
        <v>6.4402600000000003</v>
      </c>
      <c r="F52" s="680">
        <f t="shared" si="0"/>
        <v>-1</v>
      </c>
      <c r="G52" s="446"/>
      <c r="H52" s="761"/>
      <c r="I52" s="761"/>
      <c r="J52" s="446"/>
      <c r="K52" s="446"/>
      <c r="L52" s="451"/>
    </row>
    <row r="53" spans="1:12" s="336" customFormat="1" ht="9" customHeight="1">
      <c r="A53" s="681" t="s">
        <v>509</v>
      </c>
      <c r="B53" s="517"/>
      <c r="C53" s="519">
        <v>30.739879999999999</v>
      </c>
      <c r="D53" s="801">
        <v>232.74938</v>
      </c>
      <c r="E53" s="804">
        <v>463.40028000000001</v>
      </c>
      <c r="F53" s="682">
        <f t="shared" si="0"/>
        <v>-0.86792712401639904</v>
      </c>
      <c r="G53" s="446"/>
      <c r="H53" s="761"/>
      <c r="I53" s="761"/>
      <c r="J53" s="446"/>
      <c r="K53" s="446"/>
      <c r="L53" s="451"/>
    </row>
    <row r="54" spans="1:12" s="336" customFormat="1" ht="9" customHeight="1">
      <c r="A54" s="679" t="s">
        <v>238</v>
      </c>
      <c r="B54" s="631" t="s">
        <v>303</v>
      </c>
      <c r="C54" s="633">
        <v>94.074659999999994</v>
      </c>
      <c r="D54" s="802">
        <v>81.902439999999999</v>
      </c>
      <c r="E54" s="805">
        <v>82.054190000000006</v>
      </c>
      <c r="F54" s="680">
        <f t="shared" si="0"/>
        <v>0.14861852711591972</v>
      </c>
      <c r="G54" s="446"/>
      <c r="H54" s="761"/>
      <c r="I54" s="761"/>
      <c r="J54" s="446"/>
      <c r="K54" s="446"/>
      <c r="L54" s="451"/>
    </row>
    <row r="55" spans="1:12" s="336" customFormat="1" ht="9" customHeight="1">
      <c r="A55" s="681" t="s">
        <v>510</v>
      </c>
      <c r="B55" s="517"/>
      <c r="C55" s="519">
        <v>94.074659999999994</v>
      </c>
      <c r="D55" s="801">
        <v>81.902439999999999</v>
      </c>
      <c r="E55" s="804">
        <v>82.054190000000006</v>
      </c>
      <c r="F55" s="682">
        <f t="shared" si="0"/>
        <v>0.14861852711591972</v>
      </c>
      <c r="G55" s="446"/>
      <c r="H55" s="761"/>
      <c r="I55" s="761"/>
      <c r="J55" s="446"/>
      <c r="K55" s="446"/>
    </row>
    <row r="56" spans="1:12" s="336" customFormat="1" ht="9" customHeight="1">
      <c r="A56" s="679" t="s">
        <v>455</v>
      </c>
      <c r="B56" s="631" t="s">
        <v>65</v>
      </c>
      <c r="C56" s="633">
        <v>2.29331</v>
      </c>
      <c r="D56" s="802">
        <v>2.9266200000000002</v>
      </c>
      <c r="E56" s="805">
        <v>9.5708000000000002</v>
      </c>
      <c r="F56" s="680">
        <f t="shared" si="0"/>
        <v>-0.21639638900848079</v>
      </c>
      <c r="G56" s="446"/>
      <c r="H56" s="761"/>
      <c r="I56" s="761"/>
      <c r="J56" s="446"/>
      <c r="K56" s="446"/>
    </row>
    <row r="57" spans="1:12" s="336" customFormat="1" ht="9" customHeight="1">
      <c r="A57" s="679"/>
      <c r="B57" s="631" t="s">
        <v>64</v>
      </c>
      <c r="C57" s="633">
        <v>2.1327400000000001</v>
      </c>
      <c r="D57" s="802">
        <v>3.1834799999999999</v>
      </c>
      <c r="E57" s="805">
        <v>9.8802299999999992</v>
      </c>
      <c r="F57" s="680">
        <f t="shared" si="0"/>
        <v>-0.3300601857087212</v>
      </c>
      <c r="G57" s="446"/>
      <c r="H57" s="761"/>
      <c r="I57" s="761"/>
      <c r="J57" s="446"/>
      <c r="K57" s="446"/>
    </row>
    <row r="58" spans="1:12" s="336" customFormat="1" ht="9" customHeight="1">
      <c r="A58" s="679"/>
      <c r="B58" s="631" t="s">
        <v>60</v>
      </c>
      <c r="C58" s="633">
        <v>3.7833600000000001</v>
      </c>
      <c r="D58" s="802">
        <v>4.7589199999999998</v>
      </c>
      <c r="E58" s="805">
        <v>17.778849999999998</v>
      </c>
      <c r="F58" s="680">
        <f t="shared" si="0"/>
        <v>-0.20499609155018361</v>
      </c>
      <c r="G58" s="446"/>
      <c r="H58" s="761"/>
      <c r="I58" s="761"/>
      <c r="J58" s="446"/>
      <c r="K58" s="446"/>
    </row>
    <row r="59" spans="1:12" s="336" customFormat="1" ht="9" customHeight="1">
      <c r="A59" s="679"/>
      <c r="B59" s="631" t="s">
        <v>57</v>
      </c>
      <c r="C59" s="633">
        <v>4.4206000000000003</v>
      </c>
      <c r="D59" s="802">
        <v>7.28864</v>
      </c>
      <c r="E59" s="805">
        <v>19.972989999999999</v>
      </c>
      <c r="F59" s="680">
        <f t="shared" si="0"/>
        <v>-0.39349453395969614</v>
      </c>
      <c r="G59" s="446"/>
      <c r="H59" s="761"/>
      <c r="I59" s="761"/>
      <c r="J59" s="446"/>
      <c r="K59" s="446"/>
    </row>
    <row r="60" spans="1:12" s="336" customFormat="1" ht="9" customHeight="1">
      <c r="A60" s="679"/>
      <c r="B60" s="631" t="s">
        <v>68</v>
      </c>
      <c r="C60" s="633">
        <v>1.87758</v>
      </c>
      <c r="D60" s="802">
        <v>1.7680100000000001</v>
      </c>
      <c r="E60" s="805">
        <v>5.2609300000000001</v>
      </c>
      <c r="F60" s="680">
        <f t="shared" si="0"/>
        <v>6.1973631370863203E-2</v>
      </c>
      <c r="G60" s="446"/>
      <c r="H60" s="761"/>
      <c r="I60" s="761"/>
      <c r="J60" s="446"/>
      <c r="K60" s="446"/>
    </row>
    <row r="61" spans="1:12" s="336" customFormat="1" ht="9" customHeight="1">
      <c r="A61" s="679"/>
      <c r="B61" s="631" t="s">
        <v>67</v>
      </c>
      <c r="C61" s="633">
        <v>2.2353299999999998</v>
      </c>
      <c r="D61" s="802">
        <v>2.1034700000000002</v>
      </c>
      <c r="E61" s="805">
        <v>6.0351100000000004</v>
      </c>
      <c r="F61" s="680">
        <f t="shared" si="0"/>
        <v>6.2686893561590962E-2</v>
      </c>
      <c r="G61" s="446"/>
      <c r="H61" s="761"/>
      <c r="I61" s="761"/>
      <c r="J61" s="446"/>
      <c r="K61" s="446"/>
    </row>
    <row r="62" spans="1:12" s="336" customFormat="1" ht="9" customHeight="1">
      <c r="A62" s="681" t="s">
        <v>511</v>
      </c>
      <c r="B62" s="517"/>
      <c r="C62" s="519">
        <v>16.742920000000002</v>
      </c>
      <c r="D62" s="801">
        <v>22.029140000000002</v>
      </c>
      <c r="E62" s="804">
        <v>68.498909999999995</v>
      </c>
      <c r="F62" s="682">
        <f t="shared" si="0"/>
        <v>-0.23996488287786089</v>
      </c>
      <c r="G62" s="446"/>
      <c r="H62" s="761"/>
      <c r="I62" s="761"/>
      <c r="J62" s="446"/>
      <c r="K62" s="446"/>
    </row>
    <row r="63" spans="1:12" s="336" customFormat="1" ht="9" customHeight="1">
      <c r="A63" s="679" t="s">
        <v>88</v>
      </c>
      <c r="B63" s="631" t="s">
        <v>466</v>
      </c>
      <c r="C63" s="633">
        <v>69.841470000000001</v>
      </c>
      <c r="D63" s="802">
        <v>65.680019999999999</v>
      </c>
      <c r="E63" s="805">
        <v>77.121329999999986</v>
      </c>
      <c r="F63" s="680">
        <f t="shared" si="0"/>
        <v>6.3359450864966194E-2</v>
      </c>
      <c r="G63" s="446"/>
      <c r="H63" s="761"/>
      <c r="I63" s="761"/>
      <c r="J63" s="446"/>
      <c r="K63" s="446"/>
    </row>
    <row r="64" spans="1:12" s="336" customFormat="1" ht="9" customHeight="1">
      <c r="A64" s="679"/>
      <c r="B64" s="631" t="s">
        <v>304</v>
      </c>
      <c r="C64" s="633">
        <v>25.638249999999999</v>
      </c>
      <c r="D64" s="802">
        <v>28.44679</v>
      </c>
      <c r="E64" s="805">
        <v>29.280889999999999</v>
      </c>
      <c r="F64" s="680">
        <f t="shared" si="0"/>
        <v>-9.8729593040198904E-2</v>
      </c>
      <c r="G64" s="446"/>
      <c r="H64" s="761"/>
      <c r="I64" s="761"/>
      <c r="J64" s="446"/>
      <c r="K64" s="446"/>
    </row>
    <row r="65" spans="1:11" s="336" customFormat="1" ht="9" customHeight="1">
      <c r="A65" s="679"/>
      <c r="B65" s="631" t="s">
        <v>305</v>
      </c>
      <c r="C65" s="633">
        <v>148.20229999999998</v>
      </c>
      <c r="D65" s="802">
        <v>228.94097000000002</v>
      </c>
      <c r="E65" s="805">
        <v>143.52339000000001</v>
      </c>
      <c r="F65" s="680">
        <f t="shared" si="0"/>
        <v>-0.35266151794499712</v>
      </c>
      <c r="G65" s="446"/>
      <c r="H65" s="761"/>
      <c r="I65" s="761"/>
      <c r="J65" s="446"/>
      <c r="K65" s="446"/>
    </row>
    <row r="66" spans="1:11" s="336" customFormat="1" ht="9" customHeight="1">
      <c r="A66" s="679"/>
      <c r="B66" s="631" t="s">
        <v>306</v>
      </c>
      <c r="C66" s="633">
        <v>101.61524</v>
      </c>
      <c r="D66" s="802">
        <v>80.445030000000003</v>
      </c>
      <c r="E66" s="805">
        <v>129.2527</v>
      </c>
      <c r="F66" s="680">
        <f t="shared" si="0"/>
        <v>0.26316367835278331</v>
      </c>
      <c r="G66" s="446"/>
      <c r="H66" s="762"/>
      <c r="I66" s="761"/>
      <c r="J66" s="446"/>
      <c r="K66" s="446"/>
    </row>
    <row r="67" spans="1:11" s="336" customFormat="1" ht="9" customHeight="1">
      <c r="A67" s="679"/>
      <c r="B67" s="631" t="s">
        <v>307</v>
      </c>
      <c r="C67" s="633">
        <v>63.685849999999995</v>
      </c>
      <c r="D67" s="802">
        <v>44.73603</v>
      </c>
      <c r="E67" s="805">
        <v>65.20911000000001</v>
      </c>
      <c r="F67" s="680">
        <f t="shared" si="0"/>
        <v>0.42359190120357115</v>
      </c>
      <c r="G67" s="446"/>
      <c r="H67" s="762"/>
      <c r="I67" s="761"/>
      <c r="J67" s="446"/>
      <c r="K67" s="446"/>
    </row>
    <row r="68" spans="1:11" s="336" customFormat="1" ht="9" customHeight="1">
      <c r="A68" s="679"/>
      <c r="B68" s="631" t="s">
        <v>308</v>
      </c>
      <c r="C68" s="633">
        <v>0</v>
      </c>
      <c r="D68" s="802">
        <v>0</v>
      </c>
      <c r="E68" s="805">
        <v>0</v>
      </c>
      <c r="F68" s="680" t="str">
        <f t="shared" si="0"/>
        <v/>
      </c>
      <c r="G68" s="455"/>
      <c r="H68" s="762"/>
      <c r="I68" s="761"/>
      <c r="J68" s="446"/>
      <c r="K68" s="446"/>
    </row>
    <row r="69" spans="1:11" s="336" customFormat="1" ht="9" customHeight="1">
      <c r="A69" s="679"/>
      <c r="B69" s="631" t="s">
        <v>309</v>
      </c>
      <c r="C69" s="633">
        <v>0</v>
      </c>
      <c r="D69" s="802">
        <v>0</v>
      </c>
      <c r="E69" s="805">
        <v>0</v>
      </c>
      <c r="F69" s="680" t="str">
        <f t="shared" si="0"/>
        <v/>
      </c>
      <c r="G69" s="455"/>
      <c r="H69" s="762"/>
      <c r="I69" s="761"/>
      <c r="J69" s="446"/>
      <c r="K69" s="446"/>
    </row>
    <row r="70" spans="1:11" s="336" customFormat="1" ht="9" customHeight="1">
      <c r="A70" s="679"/>
      <c r="B70" s="631" t="s">
        <v>310</v>
      </c>
      <c r="C70" s="633">
        <v>463.23211000000003</v>
      </c>
      <c r="D70" s="802">
        <v>427.12313</v>
      </c>
      <c r="E70" s="805">
        <v>206.59643</v>
      </c>
      <c r="F70" s="680">
        <f t="shared" si="0"/>
        <v>8.4539977968413949E-2</v>
      </c>
      <c r="G70" s="455"/>
      <c r="H70" s="762"/>
      <c r="I70" s="761"/>
      <c r="J70" s="446"/>
      <c r="K70" s="446"/>
    </row>
    <row r="71" spans="1:11" s="336" customFormat="1" ht="9" customHeight="1">
      <c r="A71" s="679"/>
      <c r="B71" s="631" t="s">
        <v>416</v>
      </c>
      <c r="C71" s="633">
        <v>0.54369000000000001</v>
      </c>
      <c r="D71" s="802">
        <v>0.67954999999999999</v>
      </c>
      <c r="E71" s="805">
        <v>0.64692000000000005</v>
      </c>
      <c r="F71" s="680">
        <f t="shared" ref="F71:F79" si="1">+IF(D71=0,"",C71/D71-1)</f>
        <v>-0.19992642189684351</v>
      </c>
      <c r="G71" s="455"/>
      <c r="H71" s="761"/>
      <c r="I71" s="761"/>
      <c r="J71" s="446"/>
      <c r="K71" s="446"/>
    </row>
    <row r="72" spans="1:11" s="336" customFormat="1" ht="9" customHeight="1">
      <c r="A72" s="681" t="s">
        <v>512</v>
      </c>
      <c r="B72" s="517"/>
      <c r="C72" s="519">
        <v>872.75891000000001</v>
      </c>
      <c r="D72" s="801">
        <v>876.0515200000001</v>
      </c>
      <c r="E72" s="804">
        <v>651.6307700000001</v>
      </c>
      <c r="F72" s="682">
        <f t="shared" si="1"/>
        <v>-3.7584661687477539E-3</v>
      </c>
      <c r="G72" s="455"/>
      <c r="H72" s="761"/>
      <c r="I72" s="761"/>
      <c r="J72" s="446"/>
      <c r="K72" s="446"/>
    </row>
    <row r="73" spans="1:11" s="336" customFormat="1" ht="9" customHeight="1">
      <c r="A73" s="679" t="s">
        <v>96</v>
      </c>
      <c r="B73" s="631" t="s">
        <v>311</v>
      </c>
      <c r="C73" s="633">
        <v>0</v>
      </c>
      <c r="D73" s="802">
        <v>0</v>
      </c>
      <c r="E73" s="805">
        <v>0</v>
      </c>
      <c r="F73" s="680" t="str">
        <f t="shared" si="1"/>
        <v/>
      </c>
      <c r="G73" s="446"/>
      <c r="H73" s="761"/>
      <c r="I73" s="761"/>
      <c r="J73" s="446"/>
      <c r="K73" s="446"/>
    </row>
    <row r="74" spans="1:11" s="336" customFormat="1" ht="9" customHeight="1">
      <c r="A74" s="679"/>
      <c r="B74" s="631" t="s">
        <v>312</v>
      </c>
      <c r="C74" s="633">
        <v>91.338499999999996</v>
      </c>
      <c r="D74" s="802">
        <v>0</v>
      </c>
      <c r="E74" s="805">
        <v>0</v>
      </c>
      <c r="F74" s="680" t="str">
        <f t="shared" si="1"/>
        <v/>
      </c>
      <c r="G74" s="446"/>
      <c r="H74" s="761"/>
      <c r="I74" s="761"/>
      <c r="J74" s="446"/>
      <c r="K74" s="446"/>
    </row>
    <row r="75" spans="1:11" s="336" customFormat="1" ht="9" customHeight="1">
      <c r="A75" s="679"/>
      <c r="B75" s="631" t="s">
        <v>313</v>
      </c>
      <c r="C75" s="633">
        <v>0</v>
      </c>
      <c r="D75" s="802">
        <v>85.119879999999995</v>
      </c>
      <c r="E75" s="805">
        <v>85.36421</v>
      </c>
      <c r="F75" s="680">
        <f t="shared" si="1"/>
        <v>-1</v>
      </c>
      <c r="G75" s="446"/>
      <c r="H75" s="761"/>
      <c r="I75" s="761"/>
      <c r="J75" s="446"/>
      <c r="K75" s="446"/>
    </row>
    <row r="76" spans="1:11" s="336" customFormat="1" ht="9" customHeight="1">
      <c r="A76" s="681" t="s">
        <v>513</v>
      </c>
      <c r="B76" s="517"/>
      <c r="C76" s="519">
        <v>91.338499999999996</v>
      </c>
      <c r="D76" s="801">
        <v>85.119879999999995</v>
      </c>
      <c r="E76" s="804">
        <v>85.36421</v>
      </c>
      <c r="F76" s="682">
        <f t="shared" si="1"/>
        <v>7.3057198858833106E-2</v>
      </c>
      <c r="G76" s="456"/>
      <c r="H76" s="761"/>
      <c r="I76" s="761"/>
      <c r="J76" s="446"/>
      <c r="K76" s="446"/>
    </row>
    <row r="77" spans="1:11" s="336" customFormat="1" ht="9" customHeight="1">
      <c r="A77" s="679" t="s">
        <v>98</v>
      </c>
      <c r="B77" s="631" t="s">
        <v>427</v>
      </c>
      <c r="C77" s="633">
        <v>0</v>
      </c>
      <c r="D77" s="802">
        <v>0</v>
      </c>
      <c r="E77" s="805">
        <v>0</v>
      </c>
      <c r="F77" s="680" t="str">
        <f t="shared" si="1"/>
        <v/>
      </c>
      <c r="G77" s="456"/>
      <c r="H77" s="279"/>
      <c r="I77" s="761"/>
      <c r="J77" s="446"/>
      <c r="K77" s="446"/>
    </row>
    <row r="78" spans="1:11" s="336" customFormat="1" ht="9" customHeight="1">
      <c r="A78" s="679"/>
      <c r="B78" s="631" t="s">
        <v>426</v>
      </c>
      <c r="C78" s="633">
        <v>128.52634</v>
      </c>
      <c r="D78" s="802">
        <v>106.94519</v>
      </c>
      <c r="E78" s="805">
        <v>117.34313</v>
      </c>
      <c r="F78" s="680">
        <f t="shared" si="1"/>
        <v>0.20179635942486063</v>
      </c>
      <c r="G78" s="456"/>
      <c r="H78" s="279"/>
      <c r="I78" s="761"/>
      <c r="J78" s="446"/>
      <c r="K78" s="446"/>
    </row>
    <row r="79" spans="1:11" s="336" customFormat="1" ht="9" customHeight="1">
      <c r="A79" s="681" t="s">
        <v>514</v>
      </c>
      <c r="B79" s="517"/>
      <c r="C79" s="519">
        <v>128.52634</v>
      </c>
      <c r="D79" s="801">
        <v>106.94519</v>
      </c>
      <c r="E79" s="804">
        <v>117.34313</v>
      </c>
      <c r="F79" s="682">
        <f t="shared" si="1"/>
        <v>0.20179635942486063</v>
      </c>
      <c r="H79" s="279"/>
      <c r="I79" s="761"/>
      <c r="J79" s="446"/>
      <c r="K79" s="446"/>
    </row>
    <row r="80" spans="1:11" s="336" customFormat="1" ht="10.5" customHeight="1"/>
    <row r="81" s="336" customFormat="1" ht="10.5" customHeight="1"/>
    <row r="82" s="336" customFormat="1" ht="10.5" customHeight="1"/>
    <row r="83" s="336" customFormat="1" ht="10.5" customHeight="1"/>
    <row r="84" s="336" customFormat="1" ht="10.5" customHeight="1"/>
    <row r="85" s="336" customFormat="1" ht="10.5" customHeight="1"/>
    <row r="86" s="336" customFormat="1" ht="10.5" customHeight="1"/>
    <row r="87" s="336" customFormat="1" ht="10.5" customHeight="1"/>
    <row r="88" s="336" customFormat="1" ht="10.5" customHeight="1"/>
    <row r="89" s="336" customFormat="1" ht="10.5" customHeight="1"/>
    <row r="90" s="336" customFormat="1" ht="10.5" customHeight="1"/>
    <row r="91" s="336" customFormat="1" ht="10.5" customHeight="1"/>
    <row r="92" s="336" customFormat="1" ht="10.5" customHeight="1"/>
    <row r="93" s="336" customFormat="1" ht="10.5" customHeight="1"/>
    <row r="94" s="336" customFormat="1" ht="10.5" customHeight="1"/>
    <row r="95" s="336" customFormat="1" ht="10.5" customHeight="1"/>
    <row r="96" s="336" customFormat="1" ht="10.5" customHeight="1"/>
    <row r="97" s="336" customFormat="1" ht="10.5" customHeight="1"/>
    <row r="98" s="336" customFormat="1" ht="10.5" customHeight="1"/>
    <row r="99" s="336" customFormat="1" ht="10.5" customHeight="1"/>
    <row r="100" s="336" customFormat="1" ht="10.5" customHeight="1"/>
    <row r="101" s="336" customFormat="1" ht="10.5" customHeight="1"/>
    <row r="102" s="336" customFormat="1" ht="10.5" customHeight="1"/>
    <row r="103" s="336" customFormat="1" ht="10.5" customHeight="1"/>
    <row r="104" s="336" customFormat="1" ht="10.5" customHeight="1"/>
    <row r="105" s="336" customFormat="1" ht="10.5" customHeight="1"/>
    <row r="106" s="336" customFormat="1" ht="10.5" customHeight="1"/>
    <row r="107" s="336" customFormat="1" ht="10.5" customHeight="1"/>
    <row r="108" s="336" customFormat="1" ht="10.5" customHeight="1"/>
    <row r="109" s="336" customFormat="1" ht="10.5" customHeight="1"/>
    <row r="110" s="336" customFormat="1" ht="10.5" customHeight="1"/>
    <row r="111" s="336" customFormat="1" ht="10.5" customHeight="1"/>
    <row r="112" s="336" customFormat="1" ht="10.5" customHeight="1"/>
    <row r="113" s="336" customFormat="1" ht="10.5" customHeight="1"/>
    <row r="114" s="336" customFormat="1" ht="10.5" customHeight="1"/>
    <row r="115" s="336" customFormat="1" ht="10.5" customHeight="1"/>
    <row r="116" s="336" customFormat="1" ht="10.5" customHeight="1"/>
    <row r="117" s="336" customFormat="1" ht="10.5" customHeight="1"/>
    <row r="118" s="336" customFormat="1" ht="10.5" customHeight="1"/>
    <row r="119" s="336" customFormat="1" ht="10.5" customHeight="1"/>
    <row r="120" s="336" customFormat="1" ht="10.5" customHeight="1"/>
    <row r="121" s="336" customFormat="1" ht="10.5" customHeight="1"/>
    <row r="122" s="336" customFormat="1" ht="10.5" customHeight="1"/>
    <row r="123" s="336" customFormat="1" ht="10.5" customHeight="1"/>
    <row r="124" s="336" customFormat="1" ht="10.5" customHeight="1"/>
    <row r="125" s="336" customFormat="1" ht="10.5" customHeight="1"/>
    <row r="126" s="336" customFormat="1" ht="10.5" customHeight="1"/>
    <row r="127" s="336" customFormat="1" ht="10.5" customHeight="1"/>
    <row r="128" s="336" customFormat="1" ht="10.5" customHeight="1"/>
    <row r="129" s="336" customFormat="1" ht="10.5" customHeight="1"/>
    <row r="130" s="336" customFormat="1" ht="10.5" customHeight="1"/>
    <row r="131" s="336" customFormat="1" ht="10.5" customHeight="1"/>
    <row r="132" s="336" customFormat="1" ht="10.5" customHeight="1"/>
    <row r="133" s="336" customFormat="1" ht="10.5" customHeight="1"/>
    <row r="134" s="336" customFormat="1" ht="10.5" customHeight="1"/>
    <row r="135" s="336" customFormat="1" ht="10.5" customHeight="1"/>
    <row r="136" s="336" customFormat="1" ht="10.5" customHeight="1"/>
    <row r="137" s="336" customFormat="1" ht="10.5" customHeight="1"/>
    <row r="138" s="336" customFormat="1" ht="10.5" customHeight="1"/>
    <row r="139" s="336" customFormat="1" ht="10.5" customHeight="1"/>
    <row r="140" s="336" customFormat="1" ht="10.5" customHeight="1"/>
    <row r="141" s="336" customFormat="1" ht="10.5" customHeight="1"/>
    <row r="142" s="336" customFormat="1" ht="10.5" customHeight="1"/>
    <row r="143" s="336" customFormat="1" ht="10.5" customHeight="1"/>
    <row r="144" s="336" customFormat="1" ht="10.5" customHeight="1"/>
    <row r="145" s="336" customFormat="1" ht="10.5" customHeight="1"/>
    <row r="146" s="336" customFormat="1" ht="10.5" customHeight="1"/>
    <row r="147" s="336" customFormat="1" ht="10.5" customHeight="1"/>
    <row r="148" s="336" customFormat="1" ht="10.5" customHeight="1"/>
    <row r="149" s="336" customFormat="1" ht="10.5" customHeight="1"/>
    <row r="150" s="336" customFormat="1" ht="10.5" customHeight="1"/>
    <row r="151" s="336" customFormat="1" ht="10.5" customHeight="1"/>
    <row r="152" s="336" customFormat="1" ht="10.5" customHeight="1"/>
    <row r="153" s="336" customFormat="1" ht="10.5" customHeight="1"/>
    <row r="154" s="336" customFormat="1" ht="10.5" customHeight="1"/>
    <row r="155" s="336" customFormat="1" ht="10.5" customHeight="1"/>
    <row r="156" s="336" customFormat="1" ht="10.5" customHeight="1"/>
    <row r="157" s="336" customFormat="1" ht="10.5" customHeight="1"/>
    <row r="158" s="336" customFormat="1" ht="10.5" customHeight="1"/>
    <row r="159" s="336" customFormat="1" ht="10.5" customHeight="1"/>
    <row r="160" s="336" customFormat="1" ht="10.5" customHeight="1"/>
    <row r="161" s="336" customFormat="1" ht="10.5" customHeight="1"/>
    <row r="162" s="336" customFormat="1" ht="10.5" customHeight="1"/>
    <row r="163" s="336" customFormat="1" ht="10.5" customHeight="1"/>
    <row r="164" s="336" customFormat="1" ht="10.5" customHeight="1"/>
    <row r="165" s="336" customFormat="1" ht="10.5" customHeight="1"/>
    <row r="166" s="336" customFormat="1" ht="10.5" customHeight="1"/>
    <row r="167" s="336" customFormat="1" ht="10.5" customHeight="1"/>
    <row r="168" s="336" customFormat="1" ht="10.5" customHeight="1"/>
    <row r="169" s="336" customFormat="1" ht="8.25"/>
    <row r="170" s="336" customFormat="1" ht="8.25"/>
    <row r="171" s="336" customFormat="1" ht="8.25"/>
    <row r="172" s="336" customFormat="1" ht="8.25"/>
    <row r="173" s="336" customFormat="1" ht="8.25"/>
    <row r="174" s="336" customFormat="1" ht="8.25"/>
    <row r="175" s="336" customFormat="1" ht="8.25"/>
    <row r="176" s="336" customFormat="1" ht="8.25"/>
    <row r="177" s="336" customFormat="1" ht="8.25"/>
    <row r="178" s="336" customFormat="1" ht="8.25"/>
    <row r="179" s="336" customFormat="1" ht="8.25"/>
    <row r="180" s="336" customFormat="1" ht="8.25"/>
    <row r="181" s="336" customFormat="1" ht="8.25"/>
    <row r="182" s="336" customFormat="1" ht="8.25"/>
    <row r="183" s="336" customFormat="1" ht="8.25"/>
    <row r="184" s="336" customFormat="1" ht="8.25"/>
    <row r="185" s="336" customFormat="1" ht="8.25"/>
    <row r="186" s="336" customFormat="1" ht="8.25"/>
    <row r="187" s="336" customFormat="1" ht="8.25"/>
    <row r="188" s="336" customFormat="1" ht="8.25"/>
    <row r="189" s="336"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Junio 2020
INFSGI-MES-06-2020
13/07/2020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Normal="100" zoomScaleSheetLayoutView="100" zoomScalePageLayoutView="160" workbookViewId="0">
      <selection activeCell="D24" sqref="D24"/>
    </sheetView>
  </sheetViews>
  <sheetFormatPr defaultColWidth="9.33203125" defaultRowHeight="9"/>
  <cols>
    <col min="1" max="1" width="28.6640625" style="279" customWidth="1"/>
    <col min="2" max="2" width="22.1640625" style="279" customWidth="1"/>
    <col min="3" max="4" width="17.6640625" style="279" customWidth="1"/>
    <col min="5" max="5" width="15.1640625" style="279" customWidth="1"/>
    <col min="6" max="6" width="13.33203125" style="279" customWidth="1"/>
    <col min="7" max="7" width="6.33203125" style="279" customWidth="1"/>
    <col min="8" max="16384" width="9.33203125" style="279"/>
  </cols>
  <sheetData>
    <row r="1" spans="1:11" s="336" customFormat="1" ht="11.25" customHeight="1">
      <c r="A1" s="996" t="s">
        <v>250</v>
      </c>
      <c r="B1" s="998" t="s">
        <v>54</v>
      </c>
      <c r="C1" s="998" t="s">
        <v>354</v>
      </c>
      <c r="D1" s="998"/>
      <c r="E1" s="998"/>
      <c r="F1" s="1000"/>
      <c r="G1" s="444"/>
    </row>
    <row r="2" spans="1:11" s="336" customFormat="1" ht="11.25" customHeight="1">
      <c r="A2" s="990"/>
      <c r="B2" s="993"/>
      <c r="C2" s="505" t="str">
        <f>UPPER('1. Resumen'!Q4)&amp;" "&amp;'1. Resumen'!Q5</f>
        <v>JUNIO 2020</v>
      </c>
      <c r="D2" s="506" t="str">
        <f>UPPER('1. Resumen'!Q4)&amp;" "&amp;'1. Resumen'!Q5-1</f>
        <v>JUNIO 2019</v>
      </c>
      <c r="E2" s="507" t="str">
        <f>UPPER('1. Resumen'!Q4)&amp;" "&amp;'1. Resumen'!Q5</f>
        <v>JUNIO 2020</v>
      </c>
      <c r="F2" s="649" t="s">
        <v>480</v>
      </c>
      <c r="G2" s="445"/>
      <c r="H2" s="444"/>
    </row>
    <row r="3" spans="1:11" s="336" customFormat="1" ht="11.25" customHeight="1">
      <c r="A3" s="990"/>
      <c r="B3" s="993"/>
      <c r="C3" s="508">
        <f>'21. ANEXOII-1'!C4</f>
        <v>44011.8125</v>
      </c>
      <c r="D3" s="508">
        <f>'21. ANEXOII-1'!D4</f>
        <v>43635.75</v>
      </c>
      <c r="E3" s="508">
        <f>'21. ANEXOII-1'!E4</f>
        <v>43886.8125</v>
      </c>
      <c r="F3" s="650" t="s">
        <v>351</v>
      </c>
      <c r="G3" s="446"/>
      <c r="H3" s="444"/>
    </row>
    <row r="4" spans="1:11" s="336" customFormat="1" ht="9" customHeight="1">
      <c r="A4" s="997"/>
      <c r="B4" s="999"/>
      <c r="C4" s="509">
        <f>+'8. Max Potencia'!D9</f>
        <v>44011.8125</v>
      </c>
      <c r="D4" s="509">
        <f>+'8. Max Potencia'!E9</f>
        <v>43635.75</v>
      </c>
      <c r="E4" s="509">
        <f>+'21. ANEXOII-1'!E5</f>
        <v>43886.8125</v>
      </c>
      <c r="F4" s="651" t="s">
        <v>352</v>
      </c>
      <c r="G4" s="446"/>
      <c r="H4" s="448"/>
    </row>
    <row r="5" spans="1:11" s="336" customFormat="1" ht="9" customHeight="1">
      <c r="A5" s="679" t="s">
        <v>97</v>
      </c>
      <c r="B5" s="631" t="s">
        <v>77</v>
      </c>
      <c r="C5" s="633">
        <v>69.253270000000001</v>
      </c>
      <c r="D5" s="633">
        <v>34.53237</v>
      </c>
      <c r="E5" s="805">
        <v>55.955019999999998</v>
      </c>
      <c r="F5" s="680">
        <f t="shared" ref="F5:F72" si="0">+IF(D5=0,"",C5/D5-1)</f>
        <v>1.0054595152316508</v>
      </c>
      <c r="J5" s="535"/>
      <c r="K5" s="535"/>
    </row>
    <row r="6" spans="1:11" s="336" customFormat="1" ht="9" customHeight="1">
      <c r="A6" s="679"/>
      <c r="B6" s="631" t="s">
        <v>79</v>
      </c>
      <c r="C6" s="633">
        <v>19.12416</v>
      </c>
      <c r="D6" s="633">
        <v>26.919750000000001</v>
      </c>
      <c r="E6" s="805">
        <v>8.1275399999999998</v>
      </c>
      <c r="F6" s="680">
        <f t="shared" si="0"/>
        <v>-0.28958627030340178</v>
      </c>
      <c r="J6" s="535"/>
      <c r="K6" s="535"/>
    </row>
    <row r="7" spans="1:11" s="336" customFormat="1" ht="9" customHeight="1">
      <c r="A7" s="681" t="s">
        <v>515</v>
      </c>
      <c r="B7" s="517"/>
      <c r="C7" s="519">
        <v>88.377430000000004</v>
      </c>
      <c r="D7" s="519">
        <v>61.452120000000001</v>
      </c>
      <c r="E7" s="804">
        <v>64.082560000000001</v>
      </c>
      <c r="F7" s="682">
        <f t="shared" si="0"/>
        <v>0.43815103531009192</v>
      </c>
      <c r="J7" s="535"/>
      <c r="K7" s="535"/>
    </row>
    <row r="8" spans="1:11" s="336" customFormat="1" ht="9" customHeight="1">
      <c r="A8" s="679" t="s">
        <v>87</v>
      </c>
      <c r="B8" s="631" t="s">
        <v>314</v>
      </c>
      <c r="C8" s="633">
        <v>112.1328</v>
      </c>
      <c r="D8" s="633">
        <v>84.790220000000005</v>
      </c>
      <c r="E8" s="805">
        <v>110.29473</v>
      </c>
      <c r="F8" s="680">
        <f t="shared" si="0"/>
        <v>0.32247327580940355</v>
      </c>
      <c r="K8" s="535"/>
    </row>
    <row r="9" spans="1:11" s="336" customFormat="1" ht="9" customHeight="1">
      <c r="A9" s="679"/>
      <c r="B9" s="631" t="s">
        <v>315</v>
      </c>
      <c r="C9" s="633">
        <v>79.475610000000003</v>
      </c>
      <c r="D9" s="633">
        <v>92.695610000000002</v>
      </c>
      <c r="E9" s="805">
        <v>130.75458</v>
      </c>
      <c r="F9" s="680">
        <f t="shared" si="0"/>
        <v>-0.14261732567486207</v>
      </c>
      <c r="K9" s="535"/>
    </row>
    <row r="10" spans="1:11" s="336" customFormat="1" ht="9" customHeight="1">
      <c r="A10" s="679"/>
      <c r="B10" s="631" t="s">
        <v>316</v>
      </c>
      <c r="C10" s="633">
        <v>737.60181</v>
      </c>
      <c r="D10" s="633">
        <v>505.03524000000004</v>
      </c>
      <c r="E10" s="805">
        <v>723.90604000000008</v>
      </c>
      <c r="F10" s="680">
        <f t="shared" si="0"/>
        <v>0.46049572699124908</v>
      </c>
      <c r="K10" s="535"/>
    </row>
    <row r="11" spans="1:11" s="336" customFormat="1" ht="9" customHeight="1">
      <c r="A11" s="679"/>
      <c r="B11" s="631" t="s">
        <v>317</v>
      </c>
      <c r="C11" s="633">
        <v>0</v>
      </c>
      <c r="D11" s="633">
        <v>102.18021999999999</v>
      </c>
      <c r="E11" s="805">
        <v>0</v>
      </c>
      <c r="F11" s="680">
        <f t="shared" si="0"/>
        <v>-1</v>
      </c>
      <c r="J11" s="535"/>
      <c r="K11" s="535"/>
    </row>
    <row r="12" spans="1:11" s="336" customFormat="1" ht="9" customHeight="1">
      <c r="A12" s="679"/>
      <c r="B12" s="631" t="s">
        <v>318</v>
      </c>
      <c r="C12" s="633">
        <v>0</v>
      </c>
      <c r="D12" s="633">
        <v>0</v>
      </c>
      <c r="E12" s="805">
        <v>0</v>
      </c>
      <c r="F12" s="680" t="str">
        <f t="shared" si="0"/>
        <v/>
      </c>
      <c r="J12" s="535"/>
      <c r="K12" s="535"/>
    </row>
    <row r="13" spans="1:11" s="336" customFormat="1" ht="9" customHeight="1">
      <c r="A13" s="679"/>
      <c r="B13" s="631" t="s">
        <v>319</v>
      </c>
      <c r="C13" s="633">
        <v>0</v>
      </c>
      <c r="D13" s="633">
        <v>0</v>
      </c>
      <c r="E13" s="805">
        <v>0</v>
      </c>
      <c r="F13" s="680" t="str">
        <f t="shared" si="0"/>
        <v/>
      </c>
      <c r="J13" s="535"/>
      <c r="K13" s="535"/>
    </row>
    <row r="14" spans="1:11" s="336" customFormat="1" ht="9" customHeight="1">
      <c r="A14" s="679"/>
      <c r="B14" s="631" t="s">
        <v>320</v>
      </c>
      <c r="C14" s="633">
        <v>0</v>
      </c>
      <c r="D14" s="633">
        <v>0</v>
      </c>
      <c r="E14" s="805">
        <v>0</v>
      </c>
      <c r="F14" s="680" t="str">
        <f t="shared" si="0"/>
        <v/>
      </c>
      <c r="J14" s="535"/>
      <c r="K14" s="535"/>
    </row>
    <row r="15" spans="1:11" s="336" customFormat="1" ht="9" customHeight="1">
      <c r="A15" s="679"/>
      <c r="B15" s="631" t="s">
        <v>428</v>
      </c>
      <c r="C15" s="633">
        <v>0</v>
      </c>
      <c r="D15" s="633">
        <v>0</v>
      </c>
      <c r="E15" s="805">
        <v>0</v>
      </c>
      <c r="F15" s="680" t="str">
        <f t="shared" si="0"/>
        <v/>
      </c>
      <c r="J15" s="535"/>
      <c r="K15" s="535"/>
    </row>
    <row r="16" spans="1:11" s="336" customFormat="1" ht="9" customHeight="1">
      <c r="A16" s="681" t="s">
        <v>516</v>
      </c>
      <c r="B16" s="517"/>
      <c r="C16" s="519">
        <v>929.21021999999994</v>
      </c>
      <c r="D16" s="519">
        <v>784.70128999999997</v>
      </c>
      <c r="E16" s="804">
        <v>964.95535000000007</v>
      </c>
      <c r="F16" s="682">
        <f t="shared" si="0"/>
        <v>0.18415788509790776</v>
      </c>
      <c r="J16" s="535"/>
      <c r="K16" s="535"/>
    </row>
    <row r="17" spans="1:11" s="336" customFormat="1" ht="9" customHeight="1">
      <c r="A17" s="679" t="s">
        <v>239</v>
      </c>
      <c r="B17" s="631" t="s">
        <v>321</v>
      </c>
      <c r="C17" s="633">
        <v>546.11649</v>
      </c>
      <c r="D17" s="633">
        <v>543.88617999999997</v>
      </c>
      <c r="E17" s="805">
        <v>269.12878000000001</v>
      </c>
      <c r="F17" s="680">
        <f t="shared" si="0"/>
        <v>4.1006925382807147E-3</v>
      </c>
      <c r="J17" s="535"/>
      <c r="K17" s="535"/>
    </row>
    <row r="18" spans="1:11" s="336" customFormat="1" ht="9" customHeight="1">
      <c r="A18" s="681" t="s">
        <v>517</v>
      </c>
      <c r="B18" s="517"/>
      <c r="C18" s="519">
        <v>546.11649</v>
      </c>
      <c r="D18" s="519">
        <v>543.88617999999997</v>
      </c>
      <c r="E18" s="804">
        <v>269.12878000000001</v>
      </c>
      <c r="F18" s="682">
        <f t="shared" si="0"/>
        <v>4.1006925382807147E-3</v>
      </c>
      <c r="J18" s="535"/>
      <c r="K18" s="535"/>
    </row>
    <row r="19" spans="1:11" s="336" customFormat="1" ht="9" customHeight="1">
      <c r="A19" s="679" t="s">
        <v>458</v>
      </c>
      <c r="B19" s="631" t="s">
        <v>463</v>
      </c>
      <c r="C19" s="633">
        <v>4.8914400000000002</v>
      </c>
      <c r="D19" s="633"/>
      <c r="E19" s="805">
        <v>8.2661899999999999</v>
      </c>
      <c r="F19" s="680" t="str">
        <f t="shared" si="0"/>
        <v/>
      </c>
      <c r="J19" s="535"/>
      <c r="K19" s="535"/>
    </row>
    <row r="20" spans="1:11" s="336" customFormat="1" ht="9" customHeight="1">
      <c r="A20" s="679"/>
      <c r="B20" s="631" t="s">
        <v>459</v>
      </c>
      <c r="C20" s="633">
        <v>0</v>
      </c>
      <c r="D20" s="633"/>
      <c r="E20" s="805">
        <v>0</v>
      </c>
      <c r="F20" s="680"/>
      <c r="J20" s="535"/>
      <c r="K20" s="535"/>
    </row>
    <row r="21" spans="1:11" s="336" customFormat="1" ht="9" customHeight="1">
      <c r="A21" s="681" t="s">
        <v>518</v>
      </c>
      <c r="B21" s="517"/>
      <c r="C21" s="519">
        <v>4.8914400000000002</v>
      </c>
      <c r="D21" s="519"/>
      <c r="E21" s="804">
        <v>8.2661899999999999</v>
      </c>
      <c r="F21" s="682"/>
      <c r="J21" s="535"/>
      <c r="K21" s="535"/>
    </row>
    <row r="22" spans="1:11" s="336" customFormat="1" ht="9" customHeight="1">
      <c r="A22" s="679" t="s">
        <v>108</v>
      </c>
      <c r="B22" s="631" t="s">
        <v>66</v>
      </c>
      <c r="C22" s="633">
        <v>7.0190599999999996</v>
      </c>
      <c r="D22" s="633">
        <v>8.0090399999999988</v>
      </c>
      <c r="E22" s="805">
        <v>0</v>
      </c>
      <c r="F22" s="680"/>
      <c r="J22" s="535"/>
      <c r="K22" s="535"/>
    </row>
    <row r="23" spans="1:11" s="336" customFormat="1" ht="9" customHeight="1">
      <c r="A23" s="679"/>
      <c r="B23" s="631" t="s">
        <v>415</v>
      </c>
      <c r="C23" s="633">
        <v>4.9965200000000003</v>
      </c>
      <c r="D23" s="633">
        <v>5.7743000000000002</v>
      </c>
      <c r="E23" s="805">
        <v>20.355240000000002</v>
      </c>
      <c r="F23" s="680">
        <f t="shared" si="0"/>
        <v>-0.13469684637098867</v>
      </c>
      <c r="J23" s="535"/>
      <c r="K23" s="535"/>
    </row>
    <row r="24" spans="1:11" s="336" customFormat="1" ht="9" customHeight="1">
      <c r="A24" s="679"/>
      <c r="B24" s="631" t="s">
        <v>413</v>
      </c>
      <c r="C24" s="633">
        <v>7.2224000000000004</v>
      </c>
      <c r="D24" s="633">
        <v>8.2145699999999984</v>
      </c>
      <c r="E24" s="805">
        <v>20.30152</v>
      </c>
      <c r="F24" s="680">
        <f t="shared" si="0"/>
        <v>-0.12078173294524219</v>
      </c>
      <c r="J24" s="535"/>
      <c r="K24" s="535"/>
    </row>
    <row r="25" spans="1:11" s="336" customFormat="1" ht="9" customHeight="1">
      <c r="A25" s="679"/>
      <c r="B25" s="631" t="s">
        <v>414</v>
      </c>
      <c r="C25" s="633">
        <v>7.1738999999999997</v>
      </c>
      <c r="D25" s="633">
        <v>8.2927900000000001</v>
      </c>
      <c r="E25" s="805">
        <v>19.837339999999998</v>
      </c>
      <c r="F25" s="680">
        <f t="shared" si="0"/>
        <v>-0.13492322849125571</v>
      </c>
      <c r="J25" s="535"/>
      <c r="K25" s="535"/>
    </row>
    <row r="26" spans="1:11" s="336" customFormat="1" ht="9" customHeight="1">
      <c r="A26" s="681" t="s">
        <v>519</v>
      </c>
      <c r="B26" s="517"/>
      <c r="C26" s="519">
        <v>26.41188</v>
      </c>
      <c r="D26" s="519">
        <v>30.290699999999998</v>
      </c>
      <c r="E26" s="804">
        <v>60.494100000000003</v>
      </c>
      <c r="F26" s="682">
        <f t="shared" si="0"/>
        <v>-0.12805316483277041</v>
      </c>
      <c r="J26" s="535"/>
      <c r="K26" s="535"/>
    </row>
    <row r="27" spans="1:11" s="336" customFormat="1" ht="9" customHeight="1">
      <c r="A27" s="679" t="s">
        <v>111</v>
      </c>
      <c r="B27" s="631" t="s">
        <v>233</v>
      </c>
      <c r="C27" s="633">
        <v>0</v>
      </c>
      <c r="D27" s="633">
        <v>0</v>
      </c>
      <c r="E27" s="805">
        <v>0</v>
      </c>
      <c r="F27" s="680" t="str">
        <f t="shared" si="0"/>
        <v/>
      </c>
      <c r="J27" s="535"/>
      <c r="K27" s="535"/>
    </row>
    <row r="28" spans="1:11" s="336" customFormat="1" ht="9" customHeight="1">
      <c r="A28" s="681" t="s">
        <v>520</v>
      </c>
      <c r="B28" s="517"/>
      <c r="C28" s="519">
        <v>0</v>
      </c>
      <c r="D28" s="519">
        <v>0</v>
      </c>
      <c r="E28" s="804">
        <v>0</v>
      </c>
      <c r="F28" s="682" t="str">
        <f t="shared" si="0"/>
        <v/>
      </c>
      <c r="J28" s="535"/>
      <c r="K28" s="535"/>
    </row>
    <row r="29" spans="1:11" s="336" customFormat="1" ht="9" customHeight="1">
      <c r="A29" s="679" t="s">
        <v>112</v>
      </c>
      <c r="B29" s="631" t="s">
        <v>82</v>
      </c>
      <c r="C29" s="633">
        <v>0</v>
      </c>
      <c r="D29" s="633">
        <v>0</v>
      </c>
      <c r="E29" s="805">
        <v>0</v>
      </c>
      <c r="F29" s="680" t="str">
        <f t="shared" si="0"/>
        <v/>
      </c>
      <c r="J29" s="535"/>
      <c r="K29" s="535"/>
    </row>
    <row r="30" spans="1:11" s="336" customFormat="1" ht="9" customHeight="1">
      <c r="A30" s="681" t="s">
        <v>521</v>
      </c>
      <c r="B30" s="517"/>
      <c r="C30" s="519">
        <v>0</v>
      </c>
      <c r="D30" s="519">
        <v>0</v>
      </c>
      <c r="E30" s="804">
        <v>0</v>
      </c>
      <c r="F30" s="682" t="str">
        <f t="shared" si="0"/>
        <v/>
      </c>
      <c r="J30" s="535"/>
      <c r="K30" s="535"/>
    </row>
    <row r="31" spans="1:11" s="336" customFormat="1" ht="9" customHeight="1">
      <c r="A31" s="679" t="s">
        <v>116</v>
      </c>
      <c r="B31" s="631" t="s">
        <v>74</v>
      </c>
      <c r="C31" s="633">
        <v>2.4</v>
      </c>
      <c r="D31" s="633">
        <v>3.6</v>
      </c>
      <c r="E31" s="805">
        <v>2</v>
      </c>
      <c r="F31" s="680">
        <f t="shared" si="0"/>
        <v>-0.33333333333333337</v>
      </c>
      <c r="J31" s="535"/>
      <c r="K31" s="535"/>
    </row>
    <row r="32" spans="1:11" s="336" customFormat="1" ht="9" customHeight="1">
      <c r="A32" s="681" t="s">
        <v>522</v>
      </c>
      <c r="B32" s="517"/>
      <c r="C32" s="519">
        <v>2.4</v>
      </c>
      <c r="D32" s="519">
        <v>3.6</v>
      </c>
      <c r="E32" s="804">
        <v>2</v>
      </c>
      <c r="F32" s="682">
        <f t="shared" si="0"/>
        <v>-0.33333333333333337</v>
      </c>
      <c r="J32" s="535"/>
      <c r="K32" s="535"/>
    </row>
    <row r="33" spans="1:11" s="336" customFormat="1" ht="9" customHeight="1">
      <c r="A33" s="679" t="s">
        <v>103</v>
      </c>
      <c r="B33" s="631" t="s">
        <v>322</v>
      </c>
      <c r="C33" s="633">
        <v>15.61232</v>
      </c>
      <c r="D33" s="633">
        <v>16.555999999999997</v>
      </c>
      <c r="E33" s="805">
        <v>19.528590000000001</v>
      </c>
      <c r="F33" s="680">
        <f t="shared" si="0"/>
        <v>-5.6999275187243126E-2</v>
      </c>
      <c r="J33" s="535"/>
      <c r="K33" s="535"/>
    </row>
    <row r="34" spans="1:11" s="336" customFormat="1" ht="9" customHeight="1">
      <c r="A34" s="681" t="s">
        <v>523</v>
      </c>
      <c r="B34" s="517"/>
      <c r="C34" s="519">
        <v>15.61232</v>
      </c>
      <c r="D34" s="519">
        <v>16.555999999999997</v>
      </c>
      <c r="E34" s="804">
        <v>19.528590000000001</v>
      </c>
      <c r="F34" s="682">
        <f t="shared" si="0"/>
        <v>-5.6999275187243126E-2</v>
      </c>
      <c r="J34" s="535"/>
      <c r="K34" s="535"/>
    </row>
    <row r="35" spans="1:11" s="336" customFormat="1" ht="18.75" customHeight="1">
      <c r="A35" s="683" t="s">
        <v>425</v>
      </c>
      <c r="B35" s="641" t="s">
        <v>323</v>
      </c>
      <c r="C35" s="807">
        <v>17.854979999999998</v>
      </c>
      <c r="D35" s="807">
        <v>18.66602</v>
      </c>
      <c r="E35" s="809">
        <v>19.038879999999999</v>
      </c>
      <c r="F35" s="810">
        <f t="shared" si="0"/>
        <v>-4.3450076663370196E-2</v>
      </c>
      <c r="J35" s="535"/>
      <c r="K35" s="535"/>
    </row>
    <row r="36" spans="1:11" s="336" customFormat="1" ht="9" customHeight="1">
      <c r="A36" s="681" t="s">
        <v>524</v>
      </c>
      <c r="B36" s="517"/>
      <c r="C36" s="519">
        <v>17.854979999999998</v>
      </c>
      <c r="D36" s="519">
        <v>18.66602</v>
      </c>
      <c r="E36" s="804">
        <v>19.038879999999999</v>
      </c>
      <c r="F36" s="682">
        <f t="shared" si="0"/>
        <v>-4.3450076663370196E-2</v>
      </c>
      <c r="J36" s="535"/>
      <c r="K36" s="535"/>
    </row>
    <row r="37" spans="1:11" s="336" customFormat="1" ht="9" customHeight="1">
      <c r="A37" s="679" t="s">
        <v>240</v>
      </c>
      <c r="B37" s="631" t="s">
        <v>59</v>
      </c>
      <c r="C37" s="633">
        <v>15.024900000000001</v>
      </c>
      <c r="D37" s="633">
        <v>17.051090000000002</v>
      </c>
      <c r="E37" s="805">
        <v>19.104150000000001</v>
      </c>
      <c r="F37" s="680">
        <f t="shared" si="0"/>
        <v>-0.11883052637690616</v>
      </c>
      <c r="J37" s="535"/>
      <c r="K37" s="535"/>
    </row>
    <row r="38" spans="1:11" s="336" customFormat="1" ht="9" customHeight="1">
      <c r="A38" s="681" t="s">
        <v>525</v>
      </c>
      <c r="B38" s="517"/>
      <c r="C38" s="519">
        <v>15.024900000000001</v>
      </c>
      <c r="D38" s="519">
        <v>17.051090000000002</v>
      </c>
      <c r="E38" s="804">
        <v>19.104150000000001</v>
      </c>
      <c r="F38" s="682">
        <f t="shared" si="0"/>
        <v>-0.11883052637690616</v>
      </c>
      <c r="J38" s="535"/>
      <c r="K38" s="535"/>
    </row>
    <row r="39" spans="1:11" s="336" customFormat="1" ht="9" customHeight="1">
      <c r="A39" s="679" t="s">
        <v>412</v>
      </c>
      <c r="B39" s="631" t="s">
        <v>467</v>
      </c>
      <c r="C39" s="633">
        <v>0</v>
      </c>
      <c r="D39" s="633">
        <v>0</v>
      </c>
      <c r="E39" s="805">
        <v>0.72899999999999998</v>
      </c>
      <c r="F39" s="680" t="str">
        <f t="shared" si="0"/>
        <v/>
      </c>
      <c r="J39" s="535"/>
      <c r="K39" s="535"/>
    </row>
    <row r="40" spans="1:11" s="336" customFormat="1" ht="9" customHeight="1">
      <c r="A40" s="681" t="s">
        <v>526</v>
      </c>
      <c r="B40" s="517"/>
      <c r="C40" s="519">
        <v>0</v>
      </c>
      <c r="D40" s="519">
        <v>0</v>
      </c>
      <c r="E40" s="804">
        <v>0.72899999999999998</v>
      </c>
      <c r="F40" s="682" t="str">
        <f t="shared" si="0"/>
        <v/>
      </c>
      <c r="J40" s="535"/>
      <c r="K40" s="535"/>
    </row>
    <row r="41" spans="1:11" s="336" customFormat="1" ht="9" customHeight="1">
      <c r="A41" s="679" t="s">
        <v>430</v>
      </c>
      <c r="B41" s="631" t="s">
        <v>434</v>
      </c>
      <c r="C41" s="633">
        <v>74.079190000000011</v>
      </c>
      <c r="D41" s="633">
        <v>71.596620000000001</v>
      </c>
      <c r="E41" s="805">
        <v>90.813810000000004</v>
      </c>
      <c r="F41" s="680">
        <f t="shared" si="0"/>
        <v>3.4674402227367951E-2</v>
      </c>
      <c r="J41" s="535"/>
      <c r="K41" s="535"/>
    </row>
    <row r="42" spans="1:11" s="336" customFormat="1" ht="9" customHeight="1">
      <c r="A42" s="681" t="s">
        <v>527</v>
      </c>
      <c r="B42" s="517"/>
      <c r="C42" s="519">
        <v>74.079190000000011</v>
      </c>
      <c r="D42" s="519">
        <v>71.596620000000001</v>
      </c>
      <c r="E42" s="804">
        <v>90.813810000000004</v>
      </c>
      <c r="F42" s="682">
        <f t="shared" si="0"/>
        <v>3.4674402227367951E-2</v>
      </c>
      <c r="J42" s="535"/>
      <c r="K42" s="535"/>
    </row>
    <row r="43" spans="1:11" s="336" customFormat="1" ht="21" customHeight="1">
      <c r="A43" s="683" t="s">
        <v>492</v>
      </c>
      <c r="B43" s="641" t="s">
        <v>686</v>
      </c>
      <c r="C43" s="633">
        <v>0</v>
      </c>
      <c r="D43" s="633"/>
      <c r="E43" s="805"/>
      <c r="F43" s="680" t="str">
        <f t="shared" si="0"/>
        <v/>
      </c>
      <c r="J43" s="535"/>
      <c r="K43" s="535"/>
    </row>
    <row r="44" spans="1:11" s="336" customFormat="1" ht="9" customHeight="1">
      <c r="A44" s="681" t="s">
        <v>528</v>
      </c>
      <c r="B44" s="517"/>
      <c r="C44" s="519">
        <v>0</v>
      </c>
      <c r="D44" s="519"/>
      <c r="E44" s="804"/>
      <c r="F44" s="682" t="str">
        <f t="shared" si="0"/>
        <v/>
      </c>
      <c r="J44" s="535"/>
      <c r="K44" s="535"/>
    </row>
    <row r="45" spans="1:11" s="336" customFormat="1" ht="9" customHeight="1">
      <c r="A45" s="679" t="s">
        <v>118</v>
      </c>
      <c r="B45" s="631" t="s">
        <v>324</v>
      </c>
      <c r="C45" s="633">
        <v>0</v>
      </c>
      <c r="D45" s="633">
        <v>0</v>
      </c>
      <c r="E45" s="805">
        <v>0</v>
      </c>
      <c r="F45" s="680" t="str">
        <f t="shared" si="0"/>
        <v/>
      </c>
      <c r="J45" s="535"/>
      <c r="K45" s="535"/>
    </row>
    <row r="46" spans="1:11" s="336" customFormat="1" ht="9" customHeight="1">
      <c r="A46" s="679"/>
      <c r="B46" s="631" t="s">
        <v>325</v>
      </c>
      <c r="C46" s="633">
        <v>0</v>
      </c>
      <c r="D46" s="633">
        <v>0</v>
      </c>
      <c r="E46" s="805">
        <v>0</v>
      </c>
      <c r="F46" s="680" t="str">
        <f t="shared" si="0"/>
        <v/>
      </c>
      <c r="J46" s="535"/>
      <c r="K46" s="535"/>
    </row>
    <row r="47" spans="1:11" s="336" customFormat="1" ht="9" customHeight="1">
      <c r="A47" s="681" t="s">
        <v>529</v>
      </c>
      <c r="B47" s="517"/>
      <c r="C47" s="519">
        <v>0</v>
      </c>
      <c r="D47" s="519">
        <v>0</v>
      </c>
      <c r="E47" s="804">
        <v>0</v>
      </c>
      <c r="F47" s="682" t="str">
        <f t="shared" si="0"/>
        <v/>
      </c>
      <c r="J47" s="535"/>
      <c r="K47" s="535"/>
    </row>
    <row r="48" spans="1:11" s="336" customFormat="1" ht="9" customHeight="1">
      <c r="A48" s="679" t="s">
        <v>410</v>
      </c>
      <c r="B48" s="631" t="s">
        <v>326</v>
      </c>
      <c r="C48" s="633">
        <v>261.18277</v>
      </c>
      <c r="D48" s="633">
        <v>784.19304999999997</v>
      </c>
      <c r="E48" s="805">
        <v>490.61233999999996</v>
      </c>
      <c r="F48" s="680">
        <f t="shared" si="0"/>
        <v>-0.66694072333336796</v>
      </c>
      <c r="J48" s="535"/>
      <c r="K48" s="535"/>
    </row>
    <row r="49" spans="1:11" s="336" customFormat="1" ht="9" customHeight="1">
      <c r="A49" s="679"/>
      <c r="B49" s="631" t="s">
        <v>327</v>
      </c>
      <c r="C49" s="633">
        <v>184.59640999999999</v>
      </c>
      <c r="D49" s="633">
        <v>0</v>
      </c>
      <c r="E49" s="805">
        <v>154.80788000000001</v>
      </c>
      <c r="F49" s="680" t="str">
        <f t="shared" si="0"/>
        <v/>
      </c>
      <c r="J49" s="535"/>
      <c r="K49" s="535"/>
    </row>
    <row r="50" spans="1:11" s="336" customFormat="1" ht="9" customHeight="1">
      <c r="A50" s="679"/>
      <c r="B50" s="631" t="s">
        <v>432</v>
      </c>
      <c r="C50" s="633">
        <v>341.62626</v>
      </c>
      <c r="D50" s="633">
        <v>510.45877999999999</v>
      </c>
      <c r="E50" s="805">
        <v>539.21326999999997</v>
      </c>
      <c r="F50" s="680">
        <f t="shared" si="0"/>
        <v>-0.33074662757294526</v>
      </c>
      <c r="J50" s="535"/>
      <c r="K50" s="535"/>
    </row>
    <row r="51" spans="1:11" s="336" customFormat="1" ht="9" customHeight="1">
      <c r="A51" s="679"/>
      <c r="B51" s="631" t="s">
        <v>328</v>
      </c>
      <c r="C51" s="633">
        <v>4.4319499999999996</v>
      </c>
      <c r="D51" s="633">
        <v>4.5761099999999999</v>
      </c>
      <c r="E51" s="805">
        <v>10.12462</v>
      </c>
      <c r="F51" s="680">
        <f t="shared" si="0"/>
        <v>-3.1502739226111354E-2</v>
      </c>
      <c r="J51" s="535"/>
      <c r="K51" s="535"/>
    </row>
    <row r="52" spans="1:11" s="336" customFormat="1" ht="9" customHeight="1">
      <c r="A52" s="681" t="s">
        <v>530</v>
      </c>
      <c r="B52" s="517"/>
      <c r="C52" s="519">
        <v>791.83739000000003</v>
      </c>
      <c r="D52" s="519">
        <v>1299.22794</v>
      </c>
      <c r="E52" s="804">
        <v>1194.75811</v>
      </c>
      <c r="F52" s="682">
        <f t="shared" si="0"/>
        <v>-0.39053235723979274</v>
      </c>
      <c r="J52" s="535"/>
      <c r="K52" s="535"/>
    </row>
    <row r="53" spans="1:11" s="336" customFormat="1" ht="9" customHeight="1">
      <c r="A53" s="679" t="s">
        <v>117</v>
      </c>
      <c r="B53" s="631" t="s">
        <v>72</v>
      </c>
      <c r="C53" s="633">
        <v>1.3103199999999999</v>
      </c>
      <c r="D53" s="633">
        <v>1.6800600000000001</v>
      </c>
      <c r="E53" s="805">
        <v>3.3192300000000001</v>
      </c>
      <c r="F53" s="680">
        <f t="shared" si="0"/>
        <v>-0.22007547349499434</v>
      </c>
      <c r="J53" s="535"/>
      <c r="K53" s="535"/>
    </row>
    <row r="54" spans="1:11" s="336" customFormat="1" ht="9" customHeight="1">
      <c r="A54" s="681" t="s">
        <v>531</v>
      </c>
      <c r="B54" s="517"/>
      <c r="C54" s="519">
        <v>1.3103199999999999</v>
      </c>
      <c r="D54" s="519">
        <v>1.6800600000000001</v>
      </c>
      <c r="E54" s="804">
        <v>3.3192300000000001</v>
      </c>
      <c r="F54" s="682">
        <f t="shared" si="0"/>
        <v>-0.22007547349499434</v>
      </c>
      <c r="J54" s="535"/>
      <c r="K54" s="535"/>
    </row>
    <row r="55" spans="1:11" s="336" customFormat="1" ht="9" customHeight="1">
      <c r="A55" s="679" t="s">
        <v>110</v>
      </c>
      <c r="B55" s="631" t="s">
        <v>81</v>
      </c>
      <c r="C55" s="633">
        <v>0</v>
      </c>
      <c r="D55" s="633">
        <v>0</v>
      </c>
      <c r="E55" s="805">
        <v>0</v>
      </c>
      <c r="F55" s="680" t="str">
        <f t="shared" si="0"/>
        <v/>
      </c>
      <c r="J55" s="535"/>
      <c r="K55" s="535"/>
    </row>
    <row r="56" spans="1:11" s="336" customFormat="1" ht="9" customHeight="1">
      <c r="A56" s="681" t="s">
        <v>532</v>
      </c>
      <c r="B56" s="517"/>
      <c r="C56" s="519">
        <v>0</v>
      </c>
      <c r="D56" s="519">
        <v>0</v>
      </c>
      <c r="E56" s="804">
        <v>0</v>
      </c>
      <c r="F56" s="682" t="str">
        <f t="shared" si="0"/>
        <v/>
      </c>
      <c r="J56" s="535"/>
      <c r="K56" s="535"/>
    </row>
    <row r="57" spans="1:11" s="336" customFormat="1" ht="9" customHeight="1">
      <c r="A57" s="679" t="s">
        <v>241</v>
      </c>
      <c r="B57" s="631" t="s">
        <v>71</v>
      </c>
      <c r="C57" s="633">
        <v>5.4946099999999998</v>
      </c>
      <c r="D57" s="633">
        <v>5.4197300000000004</v>
      </c>
      <c r="E57" s="805">
        <v>4.2940100000000001</v>
      </c>
      <c r="F57" s="680">
        <f t="shared" si="0"/>
        <v>1.3816186415190224E-2</v>
      </c>
      <c r="J57" s="535"/>
      <c r="K57" s="535"/>
    </row>
    <row r="58" spans="1:11" s="336" customFormat="1" ht="9" customHeight="1">
      <c r="A58" s="679"/>
      <c r="B58" s="631" t="s">
        <v>329</v>
      </c>
      <c r="C58" s="633">
        <v>86.896360000000001</v>
      </c>
      <c r="D58" s="633">
        <v>122.69465</v>
      </c>
      <c r="E58" s="805">
        <v>250.73476000000002</v>
      </c>
      <c r="F58" s="680">
        <f t="shared" si="0"/>
        <v>-0.29176732644821923</v>
      </c>
      <c r="J58" s="535"/>
      <c r="K58" s="535"/>
    </row>
    <row r="59" spans="1:11" s="336" customFormat="1" ht="9" customHeight="1">
      <c r="A59" s="679"/>
      <c r="B59" s="631" t="s">
        <v>330</v>
      </c>
      <c r="C59" s="633">
        <v>76.757129999999989</v>
      </c>
      <c r="D59" s="633">
        <v>79.524430000000009</v>
      </c>
      <c r="E59" s="805">
        <v>76.953440000000001</v>
      </c>
      <c r="F59" s="680">
        <f t="shared" si="0"/>
        <v>-3.4798111724912983E-2</v>
      </c>
      <c r="J59" s="535"/>
      <c r="K59" s="535"/>
    </row>
    <row r="60" spans="1:11" s="336" customFormat="1" ht="9" customHeight="1">
      <c r="A60" s="679"/>
      <c r="B60" s="631" t="s">
        <v>62</v>
      </c>
      <c r="C60" s="633">
        <v>9.9293600000000009</v>
      </c>
      <c r="D60" s="633">
        <v>8.4721100000000007</v>
      </c>
      <c r="E60" s="805">
        <v>9.9297299999999993</v>
      </c>
      <c r="F60" s="680">
        <f t="shared" si="0"/>
        <v>0.17200555705721476</v>
      </c>
      <c r="J60" s="535"/>
      <c r="K60" s="535"/>
    </row>
    <row r="61" spans="1:11" s="336" customFormat="1" ht="9" customHeight="1">
      <c r="A61" s="681" t="s">
        <v>533</v>
      </c>
      <c r="B61" s="517"/>
      <c r="C61" s="519">
        <v>179.07746</v>
      </c>
      <c r="D61" s="519">
        <v>216.11091999999996</v>
      </c>
      <c r="E61" s="804">
        <v>341.91194000000002</v>
      </c>
      <c r="F61" s="682">
        <f t="shared" si="0"/>
        <v>-0.1713632055242742</v>
      </c>
      <c r="J61" s="535"/>
      <c r="K61" s="535"/>
    </row>
    <row r="62" spans="1:11" s="336" customFormat="1" ht="9" customHeight="1">
      <c r="A62" s="679" t="s">
        <v>242</v>
      </c>
      <c r="B62" s="631" t="s">
        <v>78</v>
      </c>
      <c r="C62" s="633">
        <v>31.261310000000002</v>
      </c>
      <c r="D62" s="633">
        <v>0</v>
      </c>
      <c r="E62" s="805">
        <v>18.001149999999999</v>
      </c>
      <c r="F62" s="680" t="str">
        <f t="shared" si="0"/>
        <v/>
      </c>
      <c r="J62" s="535"/>
      <c r="K62" s="535"/>
    </row>
    <row r="63" spans="1:11" s="336" customFormat="1" ht="9" customHeight="1">
      <c r="A63" s="681" t="s">
        <v>534</v>
      </c>
      <c r="B63" s="517"/>
      <c r="C63" s="519">
        <v>31.261310000000002</v>
      </c>
      <c r="D63" s="519">
        <v>0</v>
      </c>
      <c r="E63" s="804">
        <v>18.001149999999999</v>
      </c>
      <c r="F63" s="682" t="str">
        <f t="shared" si="0"/>
        <v/>
      </c>
      <c r="J63" s="535"/>
      <c r="K63" s="535"/>
    </row>
    <row r="64" spans="1:11" s="336" customFormat="1" ht="9" customHeight="1">
      <c r="A64" s="679" t="s">
        <v>99</v>
      </c>
      <c r="B64" s="631" t="s">
        <v>76</v>
      </c>
      <c r="C64" s="633">
        <v>92.051659999999998</v>
      </c>
      <c r="D64" s="633">
        <v>0</v>
      </c>
      <c r="E64" s="805">
        <v>55.79851</v>
      </c>
      <c r="F64" s="680" t="str">
        <f t="shared" si="0"/>
        <v/>
      </c>
      <c r="J64" s="535"/>
      <c r="K64" s="535"/>
    </row>
    <row r="65" spans="1:11" s="336" customFormat="1" ht="9" customHeight="1">
      <c r="A65" s="681" t="s">
        <v>535</v>
      </c>
      <c r="B65" s="517"/>
      <c r="C65" s="519">
        <v>92.051659999999998</v>
      </c>
      <c r="D65" s="519">
        <v>0</v>
      </c>
      <c r="E65" s="804">
        <v>55.79851</v>
      </c>
      <c r="F65" s="682" t="str">
        <f t="shared" si="0"/>
        <v/>
      </c>
      <c r="J65" s="535"/>
      <c r="K65" s="535"/>
    </row>
    <row r="66" spans="1:11" s="336" customFormat="1" ht="9" customHeight="1">
      <c r="A66" s="679" t="s">
        <v>107</v>
      </c>
      <c r="B66" s="631" t="s">
        <v>232</v>
      </c>
      <c r="C66" s="633">
        <v>0</v>
      </c>
      <c r="D66" s="633">
        <v>0</v>
      </c>
      <c r="E66" s="805">
        <v>0</v>
      </c>
      <c r="F66" s="680" t="str">
        <f t="shared" si="0"/>
        <v/>
      </c>
      <c r="J66" s="535"/>
      <c r="K66" s="535"/>
    </row>
    <row r="67" spans="1:11" s="336" customFormat="1" ht="9" customHeight="1">
      <c r="A67" s="681" t="s">
        <v>536</v>
      </c>
      <c r="B67" s="517"/>
      <c r="C67" s="519">
        <v>0</v>
      </c>
      <c r="D67" s="519">
        <v>0</v>
      </c>
      <c r="E67" s="804">
        <v>0</v>
      </c>
      <c r="F67" s="682" t="str">
        <f t="shared" si="0"/>
        <v/>
      </c>
      <c r="J67" s="535"/>
      <c r="K67" s="535"/>
    </row>
    <row r="68" spans="1:11" s="336" customFormat="1" ht="9" customHeight="1">
      <c r="A68" s="679" t="s">
        <v>411</v>
      </c>
      <c r="B68" s="631" t="s">
        <v>85</v>
      </c>
      <c r="C68" s="633">
        <v>2.4988999999999999</v>
      </c>
      <c r="D68" s="633">
        <v>0</v>
      </c>
      <c r="E68" s="805">
        <v>2.5987999999999998</v>
      </c>
      <c r="F68" s="680" t="str">
        <f t="shared" si="0"/>
        <v/>
      </c>
      <c r="J68" s="535"/>
      <c r="K68" s="535"/>
    </row>
    <row r="69" spans="1:11" s="336" customFormat="1" ht="9" customHeight="1">
      <c r="A69" s="679"/>
      <c r="B69" s="631" t="s">
        <v>84</v>
      </c>
      <c r="C69" s="633">
        <v>2.6596000000000002</v>
      </c>
      <c r="D69" s="633">
        <v>2.7343799999999998</v>
      </c>
      <c r="E69" s="805">
        <v>3.3125</v>
      </c>
      <c r="F69" s="680">
        <f t="shared" si="0"/>
        <v>-2.7348064277825213E-2</v>
      </c>
      <c r="J69" s="535"/>
      <c r="K69" s="535"/>
    </row>
    <row r="70" spans="1:11" s="336" customFormat="1" ht="9" customHeight="1">
      <c r="A70" s="679"/>
      <c r="B70" s="631" t="s">
        <v>429</v>
      </c>
      <c r="C70" s="633">
        <v>0</v>
      </c>
      <c r="D70" s="633">
        <v>1.03722</v>
      </c>
      <c r="E70" s="805">
        <v>2.403</v>
      </c>
      <c r="F70" s="680">
        <f t="shared" si="0"/>
        <v>-1</v>
      </c>
      <c r="J70" s="535"/>
      <c r="K70" s="535"/>
    </row>
    <row r="71" spans="1:11" s="336" customFormat="1" ht="9" customHeight="1">
      <c r="A71" s="679"/>
      <c r="B71" s="631" t="s">
        <v>687</v>
      </c>
      <c r="C71" s="633">
        <v>0</v>
      </c>
      <c r="D71" s="633"/>
      <c r="E71" s="805"/>
      <c r="F71" s="680" t="str">
        <f t="shared" si="0"/>
        <v/>
      </c>
      <c r="J71" s="535"/>
      <c r="K71" s="535"/>
    </row>
    <row r="72" spans="1:11" s="336" customFormat="1" ht="10.5" customHeight="1">
      <c r="A72" s="681" t="s">
        <v>537</v>
      </c>
      <c r="B72" s="517"/>
      <c r="C72" s="519">
        <v>5.1585000000000001</v>
      </c>
      <c r="D72" s="519">
        <v>3.7715999999999998</v>
      </c>
      <c r="E72" s="804">
        <v>8.3142999999999994</v>
      </c>
      <c r="F72" s="682">
        <f t="shared" si="0"/>
        <v>0.36772192173083051</v>
      </c>
    </row>
    <row r="73" spans="1:11" s="336" customFormat="1" ht="10.5" customHeight="1"/>
    <row r="74" spans="1:11" s="336" customFormat="1" ht="10.5" customHeight="1"/>
    <row r="75" spans="1:11" s="336" customFormat="1" ht="10.5" customHeight="1"/>
    <row r="76" spans="1:11" s="336" customFormat="1" ht="10.5" customHeight="1"/>
    <row r="77" spans="1:11" s="336" customFormat="1" ht="10.5" customHeight="1"/>
    <row r="78" spans="1:11" s="336" customFormat="1" ht="10.5" customHeight="1"/>
    <row r="79" spans="1:11" s="336" customFormat="1" ht="10.5" customHeight="1"/>
    <row r="80" spans="1:11" s="336" customFormat="1" ht="10.5" customHeight="1"/>
    <row r="81" s="336" customFormat="1" ht="8.25"/>
    <row r="82" s="336" customFormat="1" ht="8.25"/>
    <row r="83" s="336" customFormat="1" ht="8.25"/>
    <row r="84" s="336" customFormat="1" ht="8.25"/>
    <row r="85" s="336" customFormat="1" ht="8.25"/>
    <row r="86" s="336" customFormat="1" ht="8.25"/>
    <row r="87" s="336" customFormat="1" ht="8.25"/>
    <row r="88" s="336" customFormat="1" ht="8.25"/>
    <row r="89" s="336" customFormat="1" ht="8.25"/>
    <row r="90" s="336" customFormat="1" ht="8.25"/>
    <row r="91" s="336" customFormat="1" ht="8.25"/>
    <row r="92" s="336" customFormat="1" ht="8.25"/>
    <row r="93" s="336" customFormat="1" ht="8.25"/>
    <row r="94" s="336" customFormat="1" ht="8.25"/>
    <row r="95" s="336" customFormat="1" ht="8.25"/>
    <row r="96" s="336" customFormat="1" ht="8.25"/>
    <row r="97" s="336" customFormat="1" ht="8.25"/>
    <row r="98" s="336" customFormat="1" ht="8.25"/>
    <row r="99" s="336" customFormat="1" ht="8.25"/>
    <row r="100" s="336" customFormat="1" ht="8.25"/>
    <row r="101" s="336" customFormat="1" ht="8.25"/>
    <row r="102" s="336" customFormat="1" ht="8.25"/>
    <row r="103" s="336" customFormat="1" ht="8.25"/>
    <row r="104" s="336" customFormat="1" ht="8.25"/>
    <row r="105" s="336" customFormat="1" ht="8.25"/>
    <row r="106" s="336" customFormat="1" ht="8.25"/>
    <row r="107" s="336" customFormat="1" ht="8.25"/>
    <row r="108" s="336" customFormat="1" ht="8.25"/>
    <row r="109" s="336" customFormat="1" ht="8.25"/>
    <row r="110" s="336" customFormat="1" ht="8.25"/>
    <row r="111" s="336" customFormat="1" ht="8.25"/>
    <row r="112" s="336" customFormat="1" ht="8.25"/>
    <row r="113" s="336"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Junio 2020
INFSGI-MES-06-2020
13/07/2020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Normal="100" zoomScaleSheetLayoutView="100" zoomScalePageLayoutView="140" workbookViewId="0">
      <selection activeCell="N65" sqref="N65"/>
    </sheetView>
  </sheetViews>
  <sheetFormatPr defaultColWidth="9.33203125" defaultRowHeight="9"/>
  <cols>
    <col min="1" max="1" width="27" style="279" customWidth="1"/>
    <col min="2" max="2" width="19.5" style="279" customWidth="1"/>
    <col min="3" max="3" width="16.5" style="279" customWidth="1"/>
    <col min="4" max="4" width="17.6640625" style="279" customWidth="1"/>
    <col min="5" max="5" width="15.1640625" style="279" customWidth="1"/>
    <col min="6" max="6" width="12.83203125" style="279" customWidth="1"/>
    <col min="7" max="16384" width="9.33203125" style="279"/>
  </cols>
  <sheetData>
    <row r="1" spans="1:6" s="336" customFormat="1" ht="11.25" customHeight="1">
      <c r="A1" s="996" t="s">
        <v>250</v>
      </c>
      <c r="B1" s="998" t="s">
        <v>54</v>
      </c>
      <c r="C1" s="998" t="s">
        <v>354</v>
      </c>
      <c r="D1" s="998"/>
      <c r="E1" s="998"/>
      <c r="F1" s="1000"/>
    </row>
    <row r="2" spans="1:6" s="336" customFormat="1" ht="11.25" customHeight="1">
      <c r="A2" s="990"/>
      <c r="B2" s="993"/>
      <c r="C2" s="505" t="str">
        <f>UPPER('1. Resumen'!Q4)&amp;" "&amp;'1. Resumen'!Q5</f>
        <v>JUNIO 2020</v>
      </c>
      <c r="D2" s="506" t="str">
        <f>UPPER('1. Resumen'!Q4)&amp;" "&amp;'1. Resumen'!Q5-1</f>
        <v>JUNIO 2019</v>
      </c>
      <c r="E2" s="507" t="str">
        <f>UPPER('1. Resumen'!Q4)&amp;" "&amp;'1. Resumen'!Q5</f>
        <v>JUNIO 2020</v>
      </c>
      <c r="F2" s="649" t="s">
        <v>436</v>
      </c>
    </row>
    <row r="3" spans="1:6" s="336" customFormat="1" ht="11.25" customHeight="1">
      <c r="A3" s="990"/>
      <c r="B3" s="993"/>
      <c r="C3" s="508">
        <f>'21. ANEXOII-1'!C4</f>
        <v>44011.8125</v>
      </c>
      <c r="D3" s="508">
        <f>'21. ANEXOII-1'!D4</f>
        <v>43635.75</v>
      </c>
      <c r="E3" s="508">
        <f>'21. ANEXOII-1'!E4</f>
        <v>43886.8125</v>
      </c>
      <c r="F3" s="650" t="s">
        <v>351</v>
      </c>
    </row>
    <row r="4" spans="1:6" s="336" customFormat="1" ht="11.25" customHeight="1">
      <c r="A4" s="997"/>
      <c r="B4" s="999"/>
      <c r="C4" s="509">
        <f>+'8. Max Potencia'!D9</f>
        <v>44011.8125</v>
      </c>
      <c r="D4" s="509">
        <f>+'8. Max Potencia'!E9</f>
        <v>43635.75</v>
      </c>
      <c r="E4" s="509">
        <f>+'22. ANEXOII-2'!E4</f>
        <v>43886.8125</v>
      </c>
      <c r="F4" s="651" t="s">
        <v>352</v>
      </c>
    </row>
    <row r="5" spans="1:6" s="336" customFormat="1" ht="10.5" customHeight="1">
      <c r="A5" s="679" t="s">
        <v>243</v>
      </c>
      <c r="B5" s="631" t="s">
        <v>331</v>
      </c>
      <c r="C5" s="633">
        <v>0</v>
      </c>
      <c r="D5" s="633">
        <v>0</v>
      </c>
      <c r="E5" s="805">
        <v>0</v>
      </c>
      <c r="F5" s="680" t="str">
        <f t="shared" ref="F5:F44" si="0">+IF(D5=0,"",C5/D5-1)</f>
        <v/>
      </c>
    </row>
    <row r="6" spans="1:6" s="336" customFormat="1" ht="10.5" customHeight="1">
      <c r="A6" s="681" t="s">
        <v>538</v>
      </c>
      <c r="B6" s="517"/>
      <c r="C6" s="519">
        <v>0</v>
      </c>
      <c r="D6" s="519">
        <v>0</v>
      </c>
      <c r="E6" s="804">
        <v>0</v>
      </c>
      <c r="F6" s="682" t="str">
        <f t="shared" si="0"/>
        <v/>
      </c>
    </row>
    <row r="7" spans="1:6" s="336" customFormat="1" ht="10.5" customHeight="1">
      <c r="A7" s="679" t="s">
        <v>446</v>
      </c>
      <c r="B7" s="631" t="s">
        <v>460</v>
      </c>
      <c r="C7" s="633">
        <v>10.220700000000001</v>
      </c>
      <c r="D7" s="633">
        <v>10.07152</v>
      </c>
      <c r="E7" s="805">
        <v>19.940269999999998</v>
      </c>
      <c r="F7" s="680">
        <f t="shared" si="0"/>
        <v>1.48120641174323E-2</v>
      </c>
    </row>
    <row r="8" spans="1:6" s="336" customFormat="1" ht="10.5" customHeight="1">
      <c r="A8" s="681" t="s">
        <v>539</v>
      </c>
      <c r="B8" s="517"/>
      <c r="C8" s="519">
        <v>10.220700000000001</v>
      </c>
      <c r="D8" s="519">
        <v>10.07152</v>
      </c>
      <c r="E8" s="804">
        <v>19.940269999999998</v>
      </c>
      <c r="F8" s="682">
        <f t="shared" si="0"/>
        <v>1.48120641174323E-2</v>
      </c>
    </row>
    <row r="9" spans="1:6" s="336" customFormat="1" ht="10.5" customHeight="1">
      <c r="A9" s="679" t="s">
        <v>104</v>
      </c>
      <c r="B9" s="631" t="s">
        <v>61</v>
      </c>
      <c r="C9" s="633">
        <v>6.5880700000000001</v>
      </c>
      <c r="D9" s="633">
        <v>8.13354</v>
      </c>
      <c r="E9" s="805">
        <v>8.8928200000000004</v>
      </c>
      <c r="F9" s="680">
        <f t="shared" si="0"/>
        <v>-0.19001197510555057</v>
      </c>
    </row>
    <row r="10" spans="1:6" s="336" customFormat="1" ht="10.5" customHeight="1">
      <c r="A10" s="681" t="s">
        <v>540</v>
      </c>
      <c r="B10" s="517"/>
      <c r="C10" s="519">
        <v>6.5880700000000001</v>
      </c>
      <c r="D10" s="519">
        <v>8.13354</v>
      </c>
      <c r="E10" s="804">
        <v>8.8928200000000004</v>
      </c>
      <c r="F10" s="682">
        <f t="shared" si="0"/>
        <v>-0.19001197510555057</v>
      </c>
    </row>
    <row r="11" spans="1:6" s="336" customFormat="1" ht="10.5" customHeight="1">
      <c r="A11" s="679" t="s">
        <v>244</v>
      </c>
      <c r="B11" s="631" t="s">
        <v>332</v>
      </c>
      <c r="C11" s="633">
        <v>0</v>
      </c>
      <c r="D11" s="633">
        <v>0</v>
      </c>
      <c r="E11" s="805">
        <v>0</v>
      </c>
      <c r="F11" s="680" t="str">
        <f t="shared" si="0"/>
        <v/>
      </c>
    </row>
    <row r="12" spans="1:6" s="336" customFormat="1" ht="10.5" customHeight="1">
      <c r="A12" s="681" t="s">
        <v>541</v>
      </c>
      <c r="B12" s="517"/>
      <c r="C12" s="519">
        <v>0</v>
      </c>
      <c r="D12" s="519">
        <v>0</v>
      </c>
      <c r="E12" s="804">
        <v>0</v>
      </c>
      <c r="F12" s="682" t="str">
        <f t="shared" si="0"/>
        <v/>
      </c>
    </row>
    <row r="13" spans="1:6" s="336" customFormat="1" ht="10.5" customHeight="1">
      <c r="A13" s="679" t="s">
        <v>95</v>
      </c>
      <c r="B13" s="631" t="s">
        <v>333</v>
      </c>
      <c r="C13" s="633">
        <v>108.07562</v>
      </c>
      <c r="D13" s="633">
        <v>106.34021999999999</v>
      </c>
      <c r="E13" s="805">
        <v>110.13262</v>
      </c>
      <c r="F13" s="680">
        <f t="shared" si="0"/>
        <v>1.6319319256627551E-2</v>
      </c>
    </row>
    <row r="14" spans="1:6" s="336" customFormat="1" ht="10.5" customHeight="1">
      <c r="A14" s="681" t="s">
        <v>542</v>
      </c>
      <c r="B14" s="517"/>
      <c r="C14" s="519">
        <v>108.07562</v>
      </c>
      <c r="D14" s="519">
        <v>106.34021999999999</v>
      </c>
      <c r="E14" s="804">
        <v>110.13262</v>
      </c>
      <c r="F14" s="682">
        <f t="shared" si="0"/>
        <v>1.6319319256627551E-2</v>
      </c>
    </row>
    <row r="15" spans="1:6" s="336" customFormat="1" ht="10.5" customHeight="1">
      <c r="A15" s="679" t="s">
        <v>431</v>
      </c>
      <c r="B15" s="631" t="s">
        <v>468</v>
      </c>
      <c r="C15" s="633">
        <v>5.82</v>
      </c>
      <c r="D15" s="633">
        <v>4.6315499999999998</v>
      </c>
      <c r="E15" s="805">
        <v>8.3719999999999999</v>
      </c>
      <c r="F15" s="680">
        <f t="shared" si="0"/>
        <v>0.25659876283317695</v>
      </c>
    </row>
    <row r="16" spans="1:6" s="336" customFormat="1" ht="10.5" customHeight="1">
      <c r="A16" s="681" t="s">
        <v>543</v>
      </c>
      <c r="B16" s="517"/>
      <c r="C16" s="519">
        <v>5.82</v>
      </c>
      <c r="D16" s="519">
        <v>4.6315499999999998</v>
      </c>
      <c r="E16" s="804">
        <v>8.3719999999999999</v>
      </c>
      <c r="F16" s="682">
        <f t="shared" si="0"/>
        <v>0.25659876283317695</v>
      </c>
    </row>
    <row r="17" spans="1:6" s="336" customFormat="1" ht="10.5" customHeight="1">
      <c r="A17" s="679" t="s">
        <v>402</v>
      </c>
      <c r="B17" s="631" t="s">
        <v>406</v>
      </c>
      <c r="C17" s="633">
        <v>20.038219999999999</v>
      </c>
      <c r="D17" s="633">
        <v>19.914870000000001</v>
      </c>
      <c r="E17" s="805">
        <v>20.120570000000001</v>
      </c>
      <c r="F17" s="680">
        <f t="shared" si="0"/>
        <v>6.1938641828944707E-3</v>
      </c>
    </row>
    <row r="18" spans="1:6" s="336" customFormat="1" ht="10.5" customHeight="1">
      <c r="A18" s="681" t="s">
        <v>544</v>
      </c>
      <c r="B18" s="517"/>
      <c r="C18" s="519">
        <v>20.038219999999999</v>
      </c>
      <c r="D18" s="519">
        <v>19.914870000000001</v>
      </c>
      <c r="E18" s="804">
        <v>20.120570000000001</v>
      </c>
      <c r="F18" s="682">
        <f t="shared" si="0"/>
        <v>6.1938641828944707E-3</v>
      </c>
    </row>
    <row r="19" spans="1:6" s="336" customFormat="1" ht="10.5" customHeight="1">
      <c r="A19" s="679" t="s">
        <v>102</v>
      </c>
      <c r="B19" s="631" t="s">
        <v>334</v>
      </c>
      <c r="C19" s="633">
        <v>0</v>
      </c>
      <c r="D19" s="633">
        <v>28.782550000000001</v>
      </c>
      <c r="E19" s="805">
        <v>26.558800000000002</v>
      </c>
      <c r="F19" s="680">
        <f t="shared" si="0"/>
        <v>-1</v>
      </c>
    </row>
    <row r="20" spans="1:6" s="336" customFormat="1" ht="10.5" customHeight="1">
      <c r="A20" s="681" t="s">
        <v>545</v>
      </c>
      <c r="B20" s="517"/>
      <c r="C20" s="519">
        <v>0</v>
      </c>
      <c r="D20" s="519">
        <v>28.782550000000001</v>
      </c>
      <c r="E20" s="804">
        <v>26.558800000000002</v>
      </c>
      <c r="F20" s="682">
        <f t="shared" si="0"/>
        <v>-1</v>
      </c>
    </row>
    <row r="21" spans="1:6" s="336" customFormat="1" ht="10.5" customHeight="1">
      <c r="A21" s="679" t="s">
        <v>119</v>
      </c>
      <c r="B21" s="631" t="s">
        <v>335</v>
      </c>
      <c r="C21" s="633">
        <v>0</v>
      </c>
      <c r="D21" s="633">
        <v>0</v>
      </c>
      <c r="E21" s="805">
        <v>0</v>
      </c>
      <c r="F21" s="680" t="str">
        <f t="shared" si="0"/>
        <v/>
      </c>
    </row>
    <row r="22" spans="1:6" s="336" customFormat="1" ht="10.5" customHeight="1">
      <c r="A22" s="681" t="s">
        <v>546</v>
      </c>
      <c r="B22" s="517"/>
      <c r="C22" s="519">
        <v>0</v>
      </c>
      <c r="D22" s="519">
        <v>0</v>
      </c>
      <c r="E22" s="804">
        <v>0</v>
      </c>
      <c r="F22" s="682" t="str">
        <f t="shared" si="0"/>
        <v/>
      </c>
    </row>
    <row r="23" spans="1:6" s="336" customFormat="1" ht="10.5" customHeight="1">
      <c r="A23" s="679" t="s">
        <v>113</v>
      </c>
      <c r="B23" s="631" t="s">
        <v>461</v>
      </c>
      <c r="C23" s="633">
        <v>16.853449999999999</v>
      </c>
      <c r="D23" s="633">
        <v>16.940710000000003</v>
      </c>
      <c r="E23" s="805">
        <v>19.958759999999998</v>
      </c>
      <c r="F23" s="680">
        <f t="shared" si="0"/>
        <v>-5.1509057176473139E-3</v>
      </c>
    </row>
    <row r="24" spans="1:6" s="336" customFormat="1" ht="10.5" customHeight="1">
      <c r="A24" s="679"/>
      <c r="B24" s="631" t="s">
        <v>69</v>
      </c>
      <c r="C24" s="633">
        <v>5.7155199999999997</v>
      </c>
      <c r="D24" s="633">
        <v>7.5687800000000003</v>
      </c>
      <c r="E24" s="805">
        <v>8.2235600000000009</v>
      </c>
      <c r="F24" s="680">
        <f t="shared" si="0"/>
        <v>-0.24485584202473853</v>
      </c>
    </row>
    <row r="25" spans="1:6" s="336" customFormat="1" ht="10.5" customHeight="1">
      <c r="A25" s="681" t="s">
        <v>547</v>
      </c>
      <c r="B25" s="517"/>
      <c r="C25" s="519">
        <v>22.56897</v>
      </c>
      <c r="D25" s="519">
        <v>24.509490000000003</v>
      </c>
      <c r="E25" s="804">
        <v>28.182319999999997</v>
      </c>
      <c r="F25" s="682">
        <f t="shared" si="0"/>
        <v>-7.9174230063538742E-2</v>
      </c>
    </row>
    <row r="26" spans="1:6" s="336" customFormat="1" ht="10.5" customHeight="1">
      <c r="A26" s="679" t="s">
        <v>90</v>
      </c>
      <c r="B26" s="631" t="s">
        <v>336</v>
      </c>
      <c r="C26" s="633">
        <v>25.793559999999999</v>
      </c>
      <c r="D26" s="633">
        <v>29.908360000000002</v>
      </c>
      <c r="E26" s="805">
        <v>42.757599999999996</v>
      </c>
      <c r="F26" s="680">
        <f t="shared" si="0"/>
        <v>-0.13758026183983352</v>
      </c>
    </row>
    <row r="27" spans="1:6" s="336" customFormat="1" ht="10.5" customHeight="1">
      <c r="A27" s="679"/>
      <c r="B27" s="631" t="s">
        <v>337</v>
      </c>
      <c r="C27" s="633">
        <v>81.890280000000004</v>
      </c>
      <c r="D27" s="633">
        <v>103.59575000000001</v>
      </c>
      <c r="E27" s="805">
        <v>163.52692999999999</v>
      </c>
      <c r="F27" s="680"/>
    </row>
    <row r="28" spans="1:6" s="336" customFormat="1" ht="10.5" customHeight="1">
      <c r="A28" s="679"/>
      <c r="B28" s="631" t="s">
        <v>338</v>
      </c>
      <c r="C28" s="633">
        <v>12.89828</v>
      </c>
      <c r="D28" s="633">
        <v>11.37388</v>
      </c>
      <c r="E28" s="805">
        <v>23.855930000000001</v>
      </c>
      <c r="F28" s="680"/>
    </row>
    <row r="29" spans="1:6" s="336" customFormat="1" ht="10.5" customHeight="1">
      <c r="A29" s="679"/>
      <c r="B29" s="631" t="s">
        <v>339</v>
      </c>
      <c r="C29" s="633">
        <v>0</v>
      </c>
      <c r="D29" s="633">
        <v>0.20083000000000001</v>
      </c>
      <c r="E29" s="805">
        <v>0.22234999999999999</v>
      </c>
      <c r="F29" s="680"/>
    </row>
    <row r="30" spans="1:6" s="336" customFormat="1" ht="10.5" customHeight="1">
      <c r="A30" s="679"/>
      <c r="B30" s="631" t="s">
        <v>340</v>
      </c>
      <c r="C30" s="633">
        <v>32.845260000000003</v>
      </c>
      <c r="D30" s="633">
        <v>22.751529999999999</v>
      </c>
      <c r="E30" s="805">
        <v>45.267490000000002</v>
      </c>
      <c r="F30" s="680"/>
    </row>
    <row r="31" spans="1:6" s="336" customFormat="1" ht="10.5" customHeight="1">
      <c r="A31" s="679"/>
      <c r="B31" s="631" t="s">
        <v>341</v>
      </c>
      <c r="C31" s="633">
        <v>3.5108899999999998</v>
      </c>
      <c r="D31" s="633">
        <v>3.0224299999999999</v>
      </c>
      <c r="E31" s="805">
        <v>3.8410700000000002</v>
      </c>
      <c r="F31" s="680"/>
    </row>
    <row r="32" spans="1:6" s="336" customFormat="1" ht="10.5" customHeight="1">
      <c r="A32" s="679"/>
      <c r="B32" s="631" t="s">
        <v>342</v>
      </c>
      <c r="C32" s="633">
        <v>5.6703600000000005</v>
      </c>
      <c r="D32" s="633">
        <v>7.3994399999999994</v>
      </c>
      <c r="E32" s="805">
        <v>8.3933999999999997</v>
      </c>
      <c r="F32" s="680">
        <f t="shared" si="0"/>
        <v>-0.23367714313515608</v>
      </c>
    </row>
    <row r="33" spans="1:6" s="336" customFormat="1" ht="10.5" customHeight="1">
      <c r="A33" s="679"/>
      <c r="B33" s="631" t="s">
        <v>343</v>
      </c>
      <c r="C33" s="633">
        <v>3.6545700000000001</v>
      </c>
      <c r="D33" s="633">
        <v>3.98563</v>
      </c>
      <c r="E33" s="805">
        <v>0</v>
      </c>
      <c r="F33" s="680">
        <f t="shared" si="0"/>
        <v>-8.3063405283480884E-2</v>
      </c>
    </row>
    <row r="34" spans="1:6" s="336" customFormat="1" ht="10.5" customHeight="1">
      <c r="A34" s="679"/>
      <c r="B34" s="631" t="s">
        <v>344</v>
      </c>
      <c r="C34" s="633">
        <v>1.1615800000000001</v>
      </c>
      <c r="D34" s="633">
        <v>1.7236100000000001</v>
      </c>
      <c r="E34" s="805">
        <v>0.86190999999999995</v>
      </c>
      <c r="F34" s="680">
        <f t="shared" si="0"/>
        <v>-0.32607724485237377</v>
      </c>
    </row>
    <row r="35" spans="1:6" s="336" customFormat="1" ht="10.5" customHeight="1">
      <c r="A35" s="679"/>
      <c r="B35" s="631" t="s">
        <v>345</v>
      </c>
      <c r="C35" s="633">
        <v>0</v>
      </c>
      <c r="D35" s="633">
        <v>0.44070999999999999</v>
      </c>
      <c r="E35" s="805">
        <v>0.28194000000000002</v>
      </c>
      <c r="F35" s="680">
        <f t="shared" si="0"/>
        <v>-1</v>
      </c>
    </row>
    <row r="36" spans="1:6" s="336" customFormat="1" ht="10.5" customHeight="1">
      <c r="A36" s="679"/>
      <c r="B36" s="631" t="s">
        <v>346</v>
      </c>
      <c r="C36" s="633">
        <v>0</v>
      </c>
      <c r="D36" s="633">
        <v>0.33840999999999999</v>
      </c>
      <c r="E36" s="805">
        <v>0.23855999999999999</v>
      </c>
      <c r="F36" s="680">
        <f t="shared" si="0"/>
        <v>-1</v>
      </c>
    </row>
    <row r="37" spans="1:6" s="336" customFormat="1" ht="10.5" customHeight="1">
      <c r="A37" s="679"/>
      <c r="B37" s="631" t="s">
        <v>347</v>
      </c>
      <c r="C37" s="633">
        <v>91.853829999999988</v>
      </c>
      <c r="D37" s="633">
        <v>103.16712</v>
      </c>
      <c r="E37" s="805">
        <v>105.60454</v>
      </c>
      <c r="F37" s="680">
        <f t="shared" si="0"/>
        <v>-0.10965984123623895</v>
      </c>
    </row>
    <row r="38" spans="1:6" s="336" customFormat="1" ht="10.5" customHeight="1">
      <c r="A38" s="681" t="s">
        <v>548</v>
      </c>
      <c r="B38" s="517"/>
      <c r="C38" s="519">
        <v>259.27860999999996</v>
      </c>
      <c r="D38" s="519">
        <v>287.90769999999998</v>
      </c>
      <c r="E38" s="804">
        <v>394.85172</v>
      </c>
      <c r="F38" s="682">
        <f t="shared" si="0"/>
        <v>-9.9438431136089855E-2</v>
      </c>
    </row>
    <row r="39" spans="1:6" s="336" customFormat="1" ht="10.5" customHeight="1">
      <c r="A39" s="679" t="s">
        <v>109</v>
      </c>
      <c r="B39" s="631" t="s">
        <v>231</v>
      </c>
      <c r="C39" s="633">
        <v>0</v>
      </c>
      <c r="D39" s="633">
        <v>0</v>
      </c>
      <c r="E39" s="805">
        <v>0</v>
      </c>
      <c r="F39" s="680" t="str">
        <f t="shared" si="0"/>
        <v/>
      </c>
    </row>
    <row r="40" spans="1:6" s="336" customFormat="1" ht="10.5" customHeight="1">
      <c r="A40" s="681" t="s">
        <v>549</v>
      </c>
      <c r="B40" s="517"/>
      <c r="C40" s="519">
        <v>0</v>
      </c>
      <c r="D40" s="519">
        <v>0</v>
      </c>
      <c r="E40" s="804">
        <v>0</v>
      </c>
      <c r="F40" s="682" t="str">
        <f t="shared" si="0"/>
        <v/>
      </c>
    </row>
    <row r="41" spans="1:6" s="336" customFormat="1" ht="10.5" customHeight="1">
      <c r="A41" s="679" t="s">
        <v>100</v>
      </c>
      <c r="B41" s="631" t="s">
        <v>433</v>
      </c>
      <c r="C41" s="633">
        <v>0</v>
      </c>
      <c r="D41" s="633">
        <v>287.08664999999996</v>
      </c>
      <c r="E41" s="805">
        <v>283.12439000000001</v>
      </c>
      <c r="F41" s="680">
        <f t="shared" si="0"/>
        <v>-1</v>
      </c>
    </row>
    <row r="42" spans="1:6" s="336" customFormat="1" ht="10.5" customHeight="1">
      <c r="A42" s="681" t="s">
        <v>550</v>
      </c>
      <c r="B42" s="517"/>
      <c r="C42" s="519">
        <v>0</v>
      </c>
      <c r="D42" s="519">
        <v>287.08664999999996</v>
      </c>
      <c r="E42" s="804">
        <v>283.12439000000001</v>
      </c>
      <c r="F42" s="682">
        <f t="shared" si="0"/>
        <v>-1</v>
      </c>
    </row>
    <row r="43" spans="1:6" s="336" customFormat="1" ht="10.5" customHeight="1">
      <c r="A43" s="679" t="s">
        <v>105</v>
      </c>
      <c r="B43" s="631" t="s">
        <v>348</v>
      </c>
      <c r="C43" s="633">
        <v>0</v>
      </c>
      <c r="D43" s="633">
        <v>0</v>
      </c>
      <c r="E43" s="805">
        <v>0</v>
      </c>
      <c r="F43" s="680" t="str">
        <f t="shared" si="0"/>
        <v/>
      </c>
    </row>
    <row r="44" spans="1:6" s="336" customFormat="1" ht="10.5" customHeight="1">
      <c r="A44" s="681" t="s">
        <v>551</v>
      </c>
      <c r="B44" s="517"/>
      <c r="C44" s="519">
        <v>0</v>
      </c>
      <c r="D44" s="519">
        <v>0</v>
      </c>
      <c r="E44" s="804">
        <v>0</v>
      </c>
      <c r="F44" s="682" t="str">
        <f t="shared" si="0"/>
        <v/>
      </c>
    </row>
    <row r="45" spans="1:6" s="336" customFormat="1" ht="10.5" customHeight="1">
      <c r="A45" s="679"/>
      <c r="B45" s="631"/>
      <c r="C45" s="633"/>
      <c r="D45" s="817"/>
      <c r="E45" s="817"/>
      <c r="F45" s="818"/>
    </row>
    <row r="46" spans="1:6" s="416" customFormat="1" ht="12" customHeight="1">
      <c r="A46" s="502" t="s">
        <v>404</v>
      </c>
      <c r="B46" s="512"/>
      <c r="C46" s="625">
        <v>6062.9370700000009</v>
      </c>
      <c r="D46" s="501">
        <v>6793.7682599999998</v>
      </c>
      <c r="E46" s="501">
        <v>7125.2993800000013</v>
      </c>
      <c r="F46" s="654">
        <f>+IF(D46=0,"",C46/D46-1)</f>
        <v>-0.10757375907314193</v>
      </c>
    </row>
    <row r="47" spans="1:6" s="416" customFormat="1" ht="12" customHeight="1">
      <c r="A47" s="512" t="s">
        <v>349</v>
      </c>
      <c r="B47" s="502"/>
      <c r="C47" s="501">
        <f>+'8. Max Potencia'!D16</f>
        <v>38.844000000000001</v>
      </c>
      <c r="D47" s="501">
        <f>+'8. Max Potencia'!E16</f>
        <v>0</v>
      </c>
      <c r="E47" s="504">
        <v>0</v>
      </c>
      <c r="F47" s="655">
        <v>0</v>
      </c>
    </row>
    <row r="48" spans="1:6" s="416" customFormat="1" ht="12" customHeight="1">
      <c r="A48" s="656" t="s">
        <v>350</v>
      </c>
      <c r="B48" s="656"/>
      <c r="C48" s="501">
        <v>0</v>
      </c>
      <c r="D48" s="501">
        <v>0</v>
      </c>
      <c r="E48" s="504">
        <v>0</v>
      </c>
      <c r="F48" s="655">
        <v>0</v>
      </c>
    </row>
    <row r="49" spans="1:7" ht="12" customHeight="1">
      <c r="A49" s="763" t="s">
        <v>454</v>
      </c>
      <c r="B49" s="656"/>
      <c r="C49" s="501">
        <f>+C46+C47</f>
        <v>6101.7810700000009</v>
      </c>
      <c r="D49" s="501">
        <v>6793.7682599999998</v>
      </c>
      <c r="E49" s="501">
        <v>7125.2993800000013</v>
      </c>
      <c r="F49" s="654">
        <f>+IF(D49=0,"",C49/D49-1)</f>
        <v>-0.10185616634500849</v>
      </c>
    </row>
    <row r="50" spans="1:7" ht="12" customHeight="1">
      <c r="A50" s="631"/>
      <c r="B50" s="634"/>
      <c r="C50" s="634"/>
      <c r="D50" s="634"/>
      <c r="E50" s="634"/>
      <c r="F50" s="634"/>
    </row>
    <row r="51" spans="1:7" ht="27.75" customHeight="1">
      <c r="A51" s="988" t="s">
        <v>481</v>
      </c>
      <c r="B51" s="988"/>
      <c r="C51" s="988"/>
      <c r="D51" s="988"/>
      <c r="E51" s="988"/>
      <c r="F51" s="988"/>
    </row>
    <row r="52" spans="1:7" ht="15" customHeight="1">
      <c r="A52" s="1001"/>
      <c r="B52" s="1001"/>
      <c r="C52" s="1001"/>
      <c r="D52" s="1001"/>
      <c r="E52" s="1001"/>
      <c r="F52" s="1001"/>
      <c r="G52" s="711"/>
    </row>
    <row r="53" spans="1:7" ht="15" customHeight="1">
      <c r="A53" s="1001" t="s">
        <v>552</v>
      </c>
      <c r="B53" s="1001"/>
      <c r="C53" s="1001"/>
      <c r="D53" s="1001"/>
      <c r="E53" s="1001"/>
      <c r="F53" s="1001"/>
      <c r="G53" s="711"/>
    </row>
    <row r="54" spans="1:7" ht="15" customHeight="1">
      <c r="A54" s="1001" t="s">
        <v>683</v>
      </c>
      <c r="B54" s="1001"/>
      <c r="C54" s="1001"/>
      <c r="D54" s="1001"/>
      <c r="E54" s="1001"/>
      <c r="F54" s="1001"/>
      <c r="G54" s="711"/>
    </row>
    <row r="55" spans="1:7" ht="15" customHeight="1">
      <c r="A55" s="1001"/>
      <c r="B55" s="1001"/>
      <c r="C55" s="1001"/>
      <c r="D55" s="1001"/>
      <c r="E55" s="1001"/>
      <c r="F55" s="1001"/>
      <c r="G55" s="711"/>
    </row>
    <row r="56" spans="1:7" ht="15" customHeight="1">
      <c r="A56" s="1001"/>
      <c r="B56" s="1001"/>
      <c r="C56" s="1001"/>
      <c r="D56" s="1001"/>
      <c r="E56" s="1001"/>
      <c r="F56" s="1001"/>
      <c r="G56" s="46"/>
    </row>
    <row r="57" spans="1:7" ht="15" customHeight="1">
      <c r="A57" s="1001"/>
      <c r="B57" s="1001"/>
      <c r="C57" s="1001"/>
      <c r="D57" s="1001"/>
      <c r="E57" s="1001"/>
      <c r="F57" s="1001"/>
      <c r="G57" s="46"/>
    </row>
    <row r="58" spans="1:7" ht="22.5" customHeight="1">
      <c r="A58" s="987"/>
      <c r="B58" s="987"/>
      <c r="C58" s="987"/>
      <c r="D58" s="987"/>
      <c r="E58" s="987"/>
      <c r="F58" s="987"/>
      <c r="G58" s="773"/>
    </row>
    <row r="59" spans="1:7" ht="15.75" customHeight="1">
      <c r="A59" s="1001"/>
      <c r="B59" s="1001"/>
      <c r="C59" s="1001"/>
      <c r="D59" s="1001"/>
      <c r="E59" s="1001"/>
      <c r="F59" s="1001"/>
      <c r="G59" s="738"/>
    </row>
    <row r="60" spans="1:7" ht="12" customHeight="1">
      <c r="A60" s="1001"/>
      <c r="B60" s="1001"/>
      <c r="C60" s="1001"/>
      <c r="D60" s="1001"/>
      <c r="E60" s="1001"/>
      <c r="F60" s="1001"/>
      <c r="G60" s="738"/>
    </row>
    <row r="61" spans="1:7" ht="12" customHeight="1">
      <c r="A61" s="1001"/>
      <c r="B61" s="1001"/>
      <c r="C61" s="1001"/>
      <c r="D61" s="1001"/>
      <c r="E61" s="1001"/>
      <c r="F61" s="1001"/>
      <c r="G61" s="738"/>
    </row>
    <row r="62" spans="1:7" ht="12" customHeight="1">
      <c r="A62" s="336"/>
      <c r="G62" s="738"/>
    </row>
    <row r="63" spans="1:7" ht="12" customHeight="1">
      <c r="A63" s="336"/>
    </row>
    <row r="64" spans="1:7" ht="12" customHeight="1">
      <c r="A64" s="336"/>
    </row>
  </sheetData>
  <mergeCells count="14">
    <mergeCell ref="A59:F59"/>
    <mergeCell ref="A60:F60"/>
    <mergeCell ref="A61:F61"/>
    <mergeCell ref="A1:A4"/>
    <mergeCell ref="B1:B4"/>
    <mergeCell ref="C1:F1"/>
    <mergeCell ref="A51:F51"/>
    <mergeCell ref="A58:F58"/>
    <mergeCell ref="A52:F52"/>
    <mergeCell ref="A53:F53"/>
    <mergeCell ref="A54:F54"/>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2"/>
  <sheetViews>
    <sheetView showGridLines="0" view="pageBreakPreview" zoomScaleNormal="100" zoomScaleSheetLayoutView="100" zoomScalePageLayoutView="145" workbookViewId="0">
      <selection activeCell="J18" sqref="J18"/>
    </sheetView>
  </sheetViews>
  <sheetFormatPr defaultColWidth="9.33203125" defaultRowHeight="11.25"/>
  <cols>
    <col min="1" max="1" width="9.8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82" t="s">
        <v>362</v>
      </c>
      <c r="B3" s="280"/>
    </row>
    <row r="4" spans="1:13" ht="11.25" customHeight="1">
      <c r="B4" s="280"/>
    </row>
    <row r="5" spans="1:13" ht="11.25" customHeight="1">
      <c r="A5" s="281" t="s">
        <v>409</v>
      </c>
      <c r="C5" s="848">
        <v>6101.78107</v>
      </c>
    </row>
    <row r="6" spans="1:13" ht="11.25" customHeight="1">
      <c r="A6" s="281" t="s">
        <v>363</v>
      </c>
      <c r="C6" s="848" t="s">
        <v>671</v>
      </c>
    </row>
    <row r="7" spans="1:13" ht="11.25" customHeight="1">
      <c r="A7" s="281" t="s">
        <v>364</v>
      </c>
      <c r="C7" s="848" t="s">
        <v>450</v>
      </c>
    </row>
    <row r="8" spans="1:13" ht="11.25" customHeight="1"/>
    <row r="9" spans="1:13" ht="14.25" customHeight="1">
      <c r="A9" s="1002" t="s">
        <v>355</v>
      </c>
      <c r="B9" s="1003" t="s">
        <v>356</v>
      </c>
      <c r="C9" s="1003"/>
      <c r="D9" s="1003"/>
      <c r="E9" s="1003"/>
      <c r="F9" s="1003"/>
      <c r="G9" s="1003" t="s">
        <v>357</v>
      </c>
      <c r="H9" s="1003"/>
      <c r="I9" s="1003"/>
      <c r="J9" s="1003"/>
      <c r="K9" s="1003"/>
    </row>
    <row r="10" spans="1:13" ht="26.25" customHeight="1">
      <c r="A10" s="1002"/>
      <c r="B10" s="510" t="s">
        <v>358</v>
      </c>
      <c r="C10" s="510" t="s">
        <v>199</v>
      </c>
      <c r="D10" s="510" t="s">
        <v>349</v>
      </c>
      <c r="E10" s="510" t="s">
        <v>350</v>
      </c>
      <c r="F10" s="511" t="s">
        <v>361</v>
      </c>
      <c r="G10" s="510" t="s">
        <v>358</v>
      </c>
      <c r="H10" s="510" t="s">
        <v>199</v>
      </c>
      <c r="I10" s="510" t="s">
        <v>349</v>
      </c>
      <c r="J10" s="510" t="s">
        <v>350</v>
      </c>
      <c r="K10" s="511" t="s">
        <v>361</v>
      </c>
      <c r="L10" s="36"/>
      <c r="M10" s="46"/>
    </row>
    <row r="11" spans="1:13" ht="11.25" customHeight="1">
      <c r="A11" s="1002"/>
      <c r="B11" s="510" t="s">
        <v>359</v>
      </c>
      <c r="C11" s="510" t="s">
        <v>360</v>
      </c>
      <c r="D11" s="510" t="s">
        <v>360</v>
      </c>
      <c r="E11" s="510" t="s">
        <v>360</v>
      </c>
      <c r="F11" s="510" t="s">
        <v>360</v>
      </c>
      <c r="G11" s="510" t="s">
        <v>359</v>
      </c>
      <c r="H11" s="510" t="s">
        <v>360</v>
      </c>
      <c r="I11" s="510" t="s">
        <v>360</v>
      </c>
      <c r="J11" s="510" t="s">
        <v>360</v>
      </c>
      <c r="K11" s="510" t="s">
        <v>360</v>
      </c>
      <c r="L11" s="36"/>
      <c r="M11" s="46"/>
    </row>
    <row r="12" spans="1:13" ht="11.25" customHeight="1">
      <c r="A12" s="753" t="s">
        <v>636</v>
      </c>
      <c r="B12" s="754" t="s">
        <v>637</v>
      </c>
      <c r="C12" s="754">
        <v>5322.2531600000002</v>
      </c>
      <c r="D12" s="754">
        <v>0</v>
      </c>
      <c r="E12" s="754">
        <v>0</v>
      </c>
      <c r="F12" s="754">
        <v>5322.2531600000002</v>
      </c>
      <c r="G12" s="754" t="s">
        <v>488</v>
      </c>
      <c r="H12" s="754">
        <v>5627.2250400000003</v>
      </c>
      <c r="I12" s="754">
        <v>0</v>
      </c>
      <c r="J12" s="754">
        <v>0</v>
      </c>
      <c r="K12" s="754">
        <v>5627.2250400000003</v>
      </c>
      <c r="L12" s="205"/>
      <c r="M12" s="46"/>
    </row>
    <row r="13" spans="1:13" ht="11.25" customHeight="1">
      <c r="A13" s="753" t="s">
        <v>638</v>
      </c>
      <c r="B13" s="754" t="s">
        <v>554</v>
      </c>
      <c r="C13" s="754">
        <v>5328.4322099999999</v>
      </c>
      <c r="D13" s="754">
        <v>0</v>
      </c>
      <c r="E13" s="754">
        <v>0</v>
      </c>
      <c r="F13" s="754">
        <v>5328.4322099999999</v>
      </c>
      <c r="G13" s="754" t="s">
        <v>450</v>
      </c>
      <c r="H13" s="754">
        <v>5651.4543700000004</v>
      </c>
      <c r="I13" s="754">
        <v>0</v>
      </c>
      <c r="J13" s="754">
        <v>0</v>
      </c>
      <c r="K13" s="754">
        <v>5651.4543700000004</v>
      </c>
      <c r="L13" s="5"/>
    </row>
    <row r="14" spans="1:13" ht="11.25" customHeight="1">
      <c r="A14" s="753" t="s">
        <v>639</v>
      </c>
      <c r="B14" s="754" t="s">
        <v>490</v>
      </c>
      <c r="C14" s="754">
        <v>5511.3167899999999</v>
      </c>
      <c r="D14" s="754">
        <v>0</v>
      </c>
      <c r="E14" s="754">
        <v>0</v>
      </c>
      <c r="F14" s="754">
        <v>5511.3167899999999</v>
      </c>
      <c r="G14" s="754" t="s">
        <v>450</v>
      </c>
      <c r="H14" s="754">
        <v>5673.4316799999997</v>
      </c>
      <c r="I14" s="754">
        <v>0</v>
      </c>
      <c r="J14" s="754">
        <v>0</v>
      </c>
      <c r="K14" s="754">
        <v>5673.4316799999997</v>
      </c>
      <c r="L14" s="15"/>
    </row>
    <row r="15" spans="1:13" ht="11.25" customHeight="1">
      <c r="A15" s="753" t="s">
        <v>640</v>
      </c>
      <c r="B15" s="754" t="s">
        <v>490</v>
      </c>
      <c r="C15" s="754">
        <v>5403.1427999999996</v>
      </c>
      <c r="D15" s="754">
        <v>35.335320000000003</v>
      </c>
      <c r="E15" s="754">
        <v>0</v>
      </c>
      <c r="F15" s="754">
        <v>5438.4781199999998</v>
      </c>
      <c r="G15" s="754" t="s">
        <v>485</v>
      </c>
      <c r="H15" s="754">
        <v>5581.7910499999998</v>
      </c>
      <c r="I15" s="754">
        <v>40.527880000000003</v>
      </c>
      <c r="J15" s="754">
        <v>0</v>
      </c>
      <c r="K15" s="754">
        <v>5622.3189300000004</v>
      </c>
      <c r="L15" s="12"/>
    </row>
    <row r="16" spans="1:13" ht="11.25" customHeight="1">
      <c r="A16" s="753" t="s">
        <v>641</v>
      </c>
      <c r="B16" s="754" t="s">
        <v>489</v>
      </c>
      <c r="C16" s="754">
        <v>5716.0560699999996</v>
      </c>
      <c r="D16" s="754">
        <v>33.970840000000003</v>
      </c>
      <c r="E16" s="754">
        <v>0</v>
      </c>
      <c r="F16" s="754">
        <v>5750.0269099999996</v>
      </c>
      <c r="G16" s="754" t="s">
        <v>488</v>
      </c>
      <c r="H16" s="754">
        <v>5849.1060200000002</v>
      </c>
      <c r="I16" s="754">
        <v>42.269680000000001</v>
      </c>
      <c r="J16" s="754">
        <v>0</v>
      </c>
      <c r="K16" s="754">
        <v>5891.3756999999996</v>
      </c>
      <c r="L16" s="22"/>
    </row>
    <row r="17" spans="1:12" ht="11.25" customHeight="1">
      <c r="A17" s="753" t="s">
        <v>642</v>
      </c>
      <c r="B17" s="754" t="s">
        <v>643</v>
      </c>
      <c r="C17" s="754">
        <v>5392.1885499999999</v>
      </c>
      <c r="D17" s="754">
        <v>0</v>
      </c>
      <c r="E17" s="754">
        <v>0</v>
      </c>
      <c r="F17" s="754">
        <v>5392.1885499999999</v>
      </c>
      <c r="G17" s="754" t="s">
        <v>488</v>
      </c>
      <c r="H17" s="754">
        <v>5707.8468999999996</v>
      </c>
      <c r="I17" s="754">
        <v>0</v>
      </c>
      <c r="J17" s="754">
        <v>0</v>
      </c>
      <c r="K17" s="754">
        <v>5707.8468999999996</v>
      </c>
      <c r="L17" s="22"/>
    </row>
    <row r="18" spans="1:12" ht="11.25" customHeight="1">
      <c r="A18" s="753" t="s">
        <v>644</v>
      </c>
      <c r="B18" s="754" t="s">
        <v>491</v>
      </c>
      <c r="C18" s="754">
        <v>4976.4129000000003</v>
      </c>
      <c r="D18" s="754">
        <v>0</v>
      </c>
      <c r="E18" s="754">
        <v>0</v>
      </c>
      <c r="F18" s="754">
        <v>4976.4129000000003</v>
      </c>
      <c r="G18" s="754" t="s">
        <v>451</v>
      </c>
      <c r="H18" s="754">
        <v>5750.6078200000002</v>
      </c>
      <c r="I18" s="754">
        <v>0</v>
      </c>
      <c r="J18" s="754">
        <v>0</v>
      </c>
      <c r="K18" s="754">
        <v>5750.6078200000002</v>
      </c>
      <c r="L18" s="22"/>
    </row>
    <row r="19" spans="1:12" ht="11.25" customHeight="1">
      <c r="A19" s="753" t="s">
        <v>645</v>
      </c>
      <c r="B19" s="754" t="s">
        <v>553</v>
      </c>
      <c r="C19" s="754">
        <v>5662.88231</v>
      </c>
      <c r="D19" s="754">
        <v>0</v>
      </c>
      <c r="E19" s="754">
        <v>0</v>
      </c>
      <c r="F19" s="754">
        <v>5662.88231</v>
      </c>
      <c r="G19" s="754" t="s">
        <v>646</v>
      </c>
      <c r="H19" s="754">
        <v>5910.6569200000004</v>
      </c>
      <c r="I19" s="754">
        <v>0</v>
      </c>
      <c r="J19" s="754">
        <v>0</v>
      </c>
      <c r="K19" s="754">
        <v>5910.6569200000004</v>
      </c>
      <c r="L19" s="22"/>
    </row>
    <row r="20" spans="1:12" ht="11.25" customHeight="1">
      <c r="A20" s="753" t="s">
        <v>647</v>
      </c>
      <c r="B20" s="754" t="s">
        <v>489</v>
      </c>
      <c r="C20" s="754">
        <v>5523.2974000000004</v>
      </c>
      <c r="D20" s="754">
        <v>32.923999999999999</v>
      </c>
      <c r="E20" s="754">
        <v>0</v>
      </c>
      <c r="F20" s="754">
        <v>5556.2214000000004</v>
      </c>
      <c r="G20" s="754" t="s">
        <v>485</v>
      </c>
      <c r="H20" s="754">
        <v>5782.3159800000003</v>
      </c>
      <c r="I20" s="754">
        <v>43.603999999999999</v>
      </c>
      <c r="J20" s="754">
        <v>0</v>
      </c>
      <c r="K20" s="754">
        <v>5825.9199799999997</v>
      </c>
      <c r="L20" s="24"/>
    </row>
    <row r="21" spans="1:12" ht="11.25" customHeight="1">
      <c r="A21" s="753" t="s">
        <v>648</v>
      </c>
      <c r="B21" s="754" t="s">
        <v>554</v>
      </c>
      <c r="C21" s="754">
        <v>5654.1545999999998</v>
      </c>
      <c r="D21" s="754">
        <v>35.828000000000003</v>
      </c>
      <c r="E21" s="754">
        <v>0</v>
      </c>
      <c r="F21" s="754">
        <v>5689.9826000000003</v>
      </c>
      <c r="G21" s="754" t="s">
        <v>450</v>
      </c>
      <c r="H21" s="754">
        <v>5806.9749199999997</v>
      </c>
      <c r="I21" s="754">
        <v>43.792000000000002</v>
      </c>
      <c r="J21" s="754">
        <v>0</v>
      </c>
      <c r="K21" s="754">
        <v>5850.76692</v>
      </c>
      <c r="L21" s="22"/>
    </row>
    <row r="22" spans="1:12" ht="11.25" customHeight="1">
      <c r="A22" s="753" t="s">
        <v>649</v>
      </c>
      <c r="B22" s="754" t="s">
        <v>553</v>
      </c>
      <c r="C22" s="754">
        <v>5646.1998599999997</v>
      </c>
      <c r="D22" s="754">
        <v>37.448</v>
      </c>
      <c r="E22" s="754">
        <v>0</v>
      </c>
      <c r="F22" s="754">
        <v>5683.64786</v>
      </c>
      <c r="G22" s="754" t="s">
        <v>451</v>
      </c>
      <c r="H22" s="754">
        <v>5817.3822799999998</v>
      </c>
      <c r="I22" s="754">
        <v>41.915999999999997</v>
      </c>
      <c r="J22" s="754">
        <v>0</v>
      </c>
      <c r="K22" s="754">
        <v>5859.29828</v>
      </c>
      <c r="L22" s="22"/>
    </row>
    <row r="23" spans="1:12" ht="11.25" customHeight="1">
      <c r="A23" s="753" t="s">
        <v>650</v>
      </c>
      <c r="B23" s="754" t="s">
        <v>490</v>
      </c>
      <c r="C23" s="754">
        <v>5726.6530499999999</v>
      </c>
      <c r="D23" s="754">
        <v>38.18</v>
      </c>
      <c r="E23" s="754">
        <v>0</v>
      </c>
      <c r="F23" s="754">
        <v>5764.8330500000002</v>
      </c>
      <c r="G23" s="754" t="s">
        <v>488</v>
      </c>
      <c r="H23" s="754">
        <v>5867.2571099999996</v>
      </c>
      <c r="I23" s="754">
        <v>39.792000000000002</v>
      </c>
      <c r="J23" s="754">
        <v>0</v>
      </c>
      <c r="K23" s="754">
        <v>5907.0491099999999</v>
      </c>
      <c r="L23" s="22"/>
    </row>
    <row r="24" spans="1:12" ht="11.25" customHeight="1">
      <c r="A24" s="753" t="s">
        <v>651</v>
      </c>
      <c r="B24" s="754" t="s">
        <v>554</v>
      </c>
      <c r="C24" s="754">
        <v>5504.0290999999997</v>
      </c>
      <c r="D24" s="754">
        <v>39.520000000000003</v>
      </c>
      <c r="E24" s="754">
        <v>0</v>
      </c>
      <c r="F24" s="754">
        <v>5543.5491000000002</v>
      </c>
      <c r="G24" s="754" t="s">
        <v>488</v>
      </c>
      <c r="H24" s="754">
        <v>5708.2960499999999</v>
      </c>
      <c r="I24" s="754">
        <v>38.863999999999997</v>
      </c>
      <c r="J24" s="754">
        <v>0</v>
      </c>
      <c r="K24" s="754">
        <v>5747.1600500000004</v>
      </c>
      <c r="L24" s="22"/>
    </row>
    <row r="25" spans="1:12" ht="11.25" customHeight="1">
      <c r="A25" s="753" t="s">
        <v>652</v>
      </c>
      <c r="B25" s="754" t="s">
        <v>653</v>
      </c>
      <c r="C25" s="754">
        <v>4960.0863099999997</v>
      </c>
      <c r="D25" s="754">
        <v>35.450000000000003</v>
      </c>
      <c r="E25" s="754">
        <v>0</v>
      </c>
      <c r="F25" s="754">
        <v>4995.5363100000004</v>
      </c>
      <c r="G25" s="754" t="s">
        <v>450</v>
      </c>
      <c r="H25" s="754">
        <v>5668.53647</v>
      </c>
      <c r="I25" s="754">
        <v>37.295360000000002</v>
      </c>
      <c r="J25" s="754">
        <v>0</v>
      </c>
      <c r="K25" s="754">
        <v>5705.8318300000001</v>
      </c>
      <c r="L25" s="22"/>
    </row>
    <row r="26" spans="1:12" ht="11.25" customHeight="1">
      <c r="A26" s="753" t="s">
        <v>654</v>
      </c>
      <c r="B26" s="754" t="s">
        <v>491</v>
      </c>
      <c r="C26" s="754">
        <v>5768.3481000000002</v>
      </c>
      <c r="D26" s="754">
        <v>38.343800000000002</v>
      </c>
      <c r="E26" s="754">
        <v>0</v>
      </c>
      <c r="F26" s="754">
        <v>5806.6918999999998</v>
      </c>
      <c r="G26" s="754" t="s">
        <v>488</v>
      </c>
      <c r="H26" s="754">
        <v>5976.0175099999997</v>
      </c>
      <c r="I26" s="754">
        <v>38.41592</v>
      </c>
      <c r="J26" s="754">
        <v>0</v>
      </c>
      <c r="K26" s="754">
        <v>6014.43343</v>
      </c>
      <c r="L26" s="22"/>
    </row>
    <row r="27" spans="1:12" ht="11.25" customHeight="1">
      <c r="A27" s="753" t="s">
        <v>655</v>
      </c>
      <c r="B27" s="754" t="s">
        <v>656</v>
      </c>
      <c r="C27" s="754">
        <v>5789.3475900000003</v>
      </c>
      <c r="D27" s="754">
        <v>40.594560000000001</v>
      </c>
      <c r="E27" s="754">
        <v>0</v>
      </c>
      <c r="F27" s="754">
        <v>5829.9421499999999</v>
      </c>
      <c r="G27" s="754" t="s">
        <v>450</v>
      </c>
      <c r="H27" s="754">
        <v>5946.4316200000003</v>
      </c>
      <c r="I27" s="754">
        <v>38.512880000000003</v>
      </c>
      <c r="J27" s="754">
        <v>0</v>
      </c>
      <c r="K27" s="754">
        <v>5984.9444999999996</v>
      </c>
      <c r="L27" s="22"/>
    </row>
    <row r="28" spans="1:12" ht="11.25" customHeight="1">
      <c r="A28" s="753" t="s">
        <v>657</v>
      </c>
      <c r="B28" s="754" t="s">
        <v>490</v>
      </c>
      <c r="C28" s="754">
        <v>5760.2121100000004</v>
      </c>
      <c r="D28" s="754">
        <v>38.778280000000002</v>
      </c>
      <c r="E28" s="754">
        <v>0</v>
      </c>
      <c r="F28" s="754">
        <v>5798.9903899999999</v>
      </c>
      <c r="G28" s="754" t="s">
        <v>485</v>
      </c>
      <c r="H28" s="754">
        <v>5928.4794099999999</v>
      </c>
      <c r="I28" s="754">
        <v>38.27572</v>
      </c>
      <c r="J28" s="754">
        <v>0</v>
      </c>
      <c r="K28" s="754">
        <v>5966.7551299999996</v>
      </c>
      <c r="L28" s="30"/>
    </row>
    <row r="29" spans="1:12" ht="11.25" customHeight="1">
      <c r="A29" s="753" t="s">
        <v>658</v>
      </c>
      <c r="B29" s="754" t="s">
        <v>553</v>
      </c>
      <c r="C29" s="754">
        <v>5900.1127200000001</v>
      </c>
      <c r="D29" s="754">
        <v>36.62968</v>
      </c>
      <c r="E29" s="754">
        <v>0</v>
      </c>
      <c r="F29" s="754">
        <v>5936.7424000000001</v>
      </c>
      <c r="G29" s="754" t="s">
        <v>450</v>
      </c>
      <c r="H29" s="754">
        <v>6046.85563</v>
      </c>
      <c r="I29" s="754">
        <v>37.757159999999999</v>
      </c>
      <c r="J29" s="754">
        <v>0</v>
      </c>
      <c r="K29" s="754">
        <v>6084.6127900000001</v>
      </c>
      <c r="L29" s="22"/>
    </row>
    <row r="30" spans="1:12" ht="11.25" customHeight="1">
      <c r="A30" s="753" t="s">
        <v>659</v>
      </c>
      <c r="B30" s="754" t="s">
        <v>490</v>
      </c>
      <c r="C30" s="754">
        <v>5805.9094100000002</v>
      </c>
      <c r="D30" s="754">
        <v>35.571719999999999</v>
      </c>
      <c r="E30" s="754">
        <v>0</v>
      </c>
      <c r="F30" s="754">
        <v>5841.4811300000001</v>
      </c>
      <c r="G30" s="754" t="s">
        <v>485</v>
      </c>
      <c r="H30" s="754">
        <v>6020.6402600000001</v>
      </c>
      <c r="I30" s="754">
        <v>40.855879999999999</v>
      </c>
      <c r="J30" s="754">
        <v>0</v>
      </c>
      <c r="K30" s="754">
        <v>6061.4961400000002</v>
      </c>
      <c r="L30" s="22"/>
    </row>
    <row r="31" spans="1:12" ht="11.25" customHeight="1">
      <c r="A31" s="753" t="s">
        <v>660</v>
      </c>
      <c r="B31" s="754" t="s">
        <v>661</v>
      </c>
      <c r="C31" s="754">
        <v>5539.2078600000004</v>
      </c>
      <c r="D31" s="754">
        <v>30.816279999999999</v>
      </c>
      <c r="E31" s="754">
        <v>0</v>
      </c>
      <c r="F31" s="754">
        <v>5570.0241400000004</v>
      </c>
      <c r="G31" s="754" t="s">
        <v>646</v>
      </c>
      <c r="H31" s="754">
        <v>5687.37727</v>
      </c>
      <c r="I31" s="754">
        <v>41.320599999999999</v>
      </c>
      <c r="J31" s="754">
        <v>0</v>
      </c>
      <c r="K31" s="754">
        <v>5728.69787</v>
      </c>
      <c r="L31" s="15"/>
    </row>
    <row r="32" spans="1:12" ht="11.25" customHeight="1">
      <c r="A32" s="753" t="s">
        <v>662</v>
      </c>
      <c r="B32" s="754" t="s">
        <v>464</v>
      </c>
      <c r="C32" s="754">
        <v>5063.9131799999996</v>
      </c>
      <c r="D32" s="754">
        <v>0</v>
      </c>
      <c r="E32" s="754">
        <v>0</v>
      </c>
      <c r="F32" s="754">
        <v>5063.9131799999996</v>
      </c>
      <c r="G32" s="754" t="s">
        <v>451</v>
      </c>
      <c r="H32" s="754">
        <v>5648.1508400000002</v>
      </c>
      <c r="I32" s="754">
        <v>0</v>
      </c>
      <c r="J32" s="754">
        <v>0</v>
      </c>
      <c r="K32" s="754">
        <v>5648.1508400000002</v>
      </c>
      <c r="L32" s="16"/>
    </row>
    <row r="33" spans="1:12" ht="11.25" customHeight="1">
      <c r="A33" s="753" t="s">
        <v>663</v>
      </c>
      <c r="B33" s="754" t="s">
        <v>490</v>
      </c>
      <c r="C33" s="754">
        <v>5779.1052200000004</v>
      </c>
      <c r="D33" s="754">
        <v>32.762880000000003</v>
      </c>
      <c r="E33" s="754">
        <v>0</v>
      </c>
      <c r="F33" s="754">
        <v>5811.8680999999997</v>
      </c>
      <c r="G33" s="754" t="s">
        <v>450</v>
      </c>
      <c r="H33" s="754">
        <v>5972.59584</v>
      </c>
      <c r="I33" s="754">
        <v>42.956519999999998</v>
      </c>
      <c r="J33" s="754">
        <v>0</v>
      </c>
      <c r="K33" s="754">
        <v>6015.5523599999997</v>
      </c>
      <c r="L33" s="15"/>
    </row>
    <row r="34" spans="1:12" ht="11.25" customHeight="1">
      <c r="A34" s="753" t="s">
        <v>664</v>
      </c>
      <c r="B34" s="754" t="s">
        <v>553</v>
      </c>
      <c r="C34" s="754">
        <v>5796.3411500000002</v>
      </c>
      <c r="D34" s="754">
        <v>33.661439999999999</v>
      </c>
      <c r="E34" s="754">
        <v>0</v>
      </c>
      <c r="F34" s="754">
        <v>5830.0025900000001</v>
      </c>
      <c r="G34" s="754" t="s">
        <v>485</v>
      </c>
      <c r="H34" s="754">
        <v>5839.32197</v>
      </c>
      <c r="I34" s="754">
        <v>45.051000000000002</v>
      </c>
      <c r="J34" s="754">
        <v>0</v>
      </c>
      <c r="K34" s="754">
        <v>5884.3729700000004</v>
      </c>
      <c r="L34" s="15"/>
    </row>
    <row r="35" spans="1:12" ht="11.25" customHeight="1">
      <c r="A35" s="753" t="s">
        <v>665</v>
      </c>
      <c r="B35" s="754" t="s">
        <v>666</v>
      </c>
      <c r="C35" s="754">
        <v>5769.7796500000004</v>
      </c>
      <c r="D35" s="754">
        <v>33.06664</v>
      </c>
      <c r="E35" s="754">
        <v>0</v>
      </c>
      <c r="F35" s="754">
        <v>5802.8462900000004</v>
      </c>
      <c r="G35" s="754" t="s">
        <v>488</v>
      </c>
      <c r="H35" s="754">
        <v>5846.6916000000001</v>
      </c>
      <c r="I35" s="754">
        <v>42.871040000000001</v>
      </c>
      <c r="J35" s="754">
        <v>0</v>
      </c>
      <c r="K35" s="754">
        <v>5889.5626400000001</v>
      </c>
      <c r="L35" s="22"/>
    </row>
    <row r="36" spans="1:12" ht="11.25" customHeight="1">
      <c r="A36" s="753" t="s">
        <v>667</v>
      </c>
      <c r="B36" s="754" t="s">
        <v>553</v>
      </c>
      <c r="C36" s="754">
        <v>5766.6569799999997</v>
      </c>
      <c r="D36" s="754">
        <v>34.204000000000001</v>
      </c>
      <c r="E36" s="754">
        <v>0</v>
      </c>
      <c r="F36" s="754">
        <v>5800.8609800000004</v>
      </c>
      <c r="G36" s="754" t="s">
        <v>450</v>
      </c>
      <c r="H36" s="754">
        <v>5925.73614</v>
      </c>
      <c r="I36" s="754">
        <v>43.344000000000001</v>
      </c>
      <c r="J36" s="754">
        <v>0</v>
      </c>
      <c r="K36" s="754">
        <v>5969.08014</v>
      </c>
      <c r="L36" s="22"/>
    </row>
    <row r="37" spans="1:12" ht="11.25" customHeight="1">
      <c r="A37" s="753" t="s">
        <v>668</v>
      </c>
      <c r="B37" s="754" t="s">
        <v>491</v>
      </c>
      <c r="C37" s="754">
        <v>5851.0633200000002</v>
      </c>
      <c r="D37" s="754">
        <v>32.829920000000001</v>
      </c>
      <c r="E37" s="754">
        <v>0</v>
      </c>
      <c r="F37" s="754">
        <v>5883.8932400000003</v>
      </c>
      <c r="G37" s="754" t="s">
        <v>451</v>
      </c>
      <c r="H37" s="754">
        <v>5962.6210700000001</v>
      </c>
      <c r="I37" s="754">
        <v>44.185279999999999</v>
      </c>
      <c r="J37" s="754">
        <v>0</v>
      </c>
      <c r="K37" s="754">
        <v>6006.8063499999998</v>
      </c>
      <c r="L37" s="22"/>
    </row>
    <row r="38" spans="1:12" ht="11.25" customHeight="1">
      <c r="A38" s="753" t="s">
        <v>669</v>
      </c>
      <c r="B38" s="754" t="s">
        <v>553</v>
      </c>
      <c r="C38" s="754">
        <v>5775.4044800000001</v>
      </c>
      <c r="D38" s="754">
        <v>38.732399999999998</v>
      </c>
      <c r="E38" s="754">
        <v>0</v>
      </c>
      <c r="F38" s="754">
        <v>5814.13688</v>
      </c>
      <c r="G38" s="754" t="s">
        <v>485</v>
      </c>
      <c r="H38" s="754">
        <v>5801.1661100000001</v>
      </c>
      <c r="I38" s="754">
        <v>41.566400000000002</v>
      </c>
      <c r="J38" s="754">
        <v>0</v>
      </c>
      <c r="K38" s="754">
        <v>5842.7325099999998</v>
      </c>
      <c r="L38" s="22"/>
    </row>
    <row r="39" spans="1:12" ht="11.25" customHeight="1">
      <c r="A39" s="753" t="s">
        <v>670</v>
      </c>
      <c r="B39" s="754" t="s">
        <v>653</v>
      </c>
      <c r="C39" s="754">
        <v>5065.6061799999998</v>
      </c>
      <c r="D39" s="754">
        <v>0</v>
      </c>
      <c r="E39" s="754">
        <v>0</v>
      </c>
      <c r="F39" s="754">
        <v>5065.6061799999998</v>
      </c>
      <c r="G39" s="754" t="s">
        <v>450</v>
      </c>
      <c r="H39" s="754">
        <v>5684.9976299999998</v>
      </c>
      <c r="I39" s="754">
        <v>38.835680000000004</v>
      </c>
      <c r="J39" s="754">
        <v>0</v>
      </c>
      <c r="K39" s="754">
        <v>5723.83331</v>
      </c>
      <c r="L39" s="22"/>
    </row>
    <row r="40" spans="1:12" ht="11.25" customHeight="1">
      <c r="A40" s="753" t="s">
        <v>671</v>
      </c>
      <c r="B40" s="754" t="s">
        <v>490</v>
      </c>
      <c r="C40" s="754">
        <v>5364.6601300000002</v>
      </c>
      <c r="D40" s="754">
        <v>38.531999999999996</v>
      </c>
      <c r="E40" s="754">
        <v>0</v>
      </c>
      <c r="F40" s="754">
        <v>5403.1921300000004</v>
      </c>
      <c r="G40" s="861" t="s">
        <v>450</v>
      </c>
      <c r="H40" s="861">
        <v>6062.9370699999999</v>
      </c>
      <c r="I40" s="861">
        <v>38.844000000000001</v>
      </c>
      <c r="J40" s="861">
        <v>0</v>
      </c>
      <c r="K40" s="861">
        <v>6101.78107</v>
      </c>
      <c r="L40" s="22"/>
    </row>
    <row r="41" spans="1:12" s="738" customFormat="1" ht="11.25" customHeight="1">
      <c r="A41" s="753" t="s">
        <v>672</v>
      </c>
      <c r="B41" s="861" t="s">
        <v>673</v>
      </c>
      <c r="C41" s="861">
        <v>5964.2307799999999</v>
      </c>
      <c r="D41" s="861">
        <v>37.08</v>
      </c>
      <c r="E41" s="861">
        <v>0</v>
      </c>
      <c r="F41" s="861">
        <v>6001.3107799999998</v>
      </c>
      <c r="G41" s="754" t="s">
        <v>485</v>
      </c>
      <c r="H41" s="754">
        <v>6014.62853</v>
      </c>
      <c r="I41" s="754">
        <v>38.904000000000003</v>
      </c>
      <c r="J41" s="754">
        <v>0</v>
      </c>
      <c r="K41" s="754">
        <v>6053.5325300000004</v>
      </c>
      <c r="L41" s="22"/>
    </row>
    <row r="42" spans="1:12" ht="11.25" customHeight="1">
      <c r="A42" s="196"/>
      <c r="B42" s="196"/>
      <c r="C42" s="196"/>
      <c r="D42" s="196"/>
      <c r="E42" s="196"/>
      <c r="F42" s="196"/>
      <c r="G42" s="196"/>
      <c r="H42" s="196"/>
      <c r="I42" s="196"/>
      <c r="J42" s="196"/>
      <c r="K42" s="199"/>
      <c r="L42" s="11"/>
    </row>
    <row r="43" spans="1:12" ht="11.25" customHeight="1">
      <c r="A43" s="196"/>
      <c r="B43" s="196"/>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8"/>
    </row>
    <row r="46" spans="1:12" ht="11.25" customHeight="1">
      <c r="A46" s="196"/>
      <c r="B46" s="196"/>
      <c r="C46" s="196"/>
      <c r="D46" s="196"/>
      <c r="E46" s="196"/>
      <c r="F46" s="196"/>
      <c r="G46" s="196"/>
      <c r="H46" s="196"/>
      <c r="I46" s="196"/>
      <c r="J46" s="196"/>
      <c r="K46" s="198"/>
    </row>
    <row r="47" spans="1:12" ht="12.75">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11"/>
      <c r="C52" s="111"/>
      <c r="D52" s="111"/>
      <c r="E52" s="111"/>
      <c r="F52" s="111"/>
      <c r="G52" s="111"/>
      <c r="H52" s="111"/>
      <c r="I52" s="111"/>
      <c r="J52" s="111"/>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97"/>
      <c r="C57" s="197"/>
      <c r="D57" s="197"/>
      <c r="E57" s="197"/>
      <c r="F57" s="197"/>
      <c r="G57" s="197"/>
      <c r="H57" s="197"/>
      <c r="I57" s="197"/>
      <c r="J57" s="197"/>
      <c r="K57" s="198"/>
    </row>
    <row r="58" spans="1:11" ht="12.75">
      <c r="A58" s="196"/>
      <c r="B58" s="197"/>
      <c r="C58" s="197"/>
      <c r="D58" s="197"/>
      <c r="E58" s="197"/>
      <c r="F58" s="197"/>
      <c r="G58" s="197"/>
      <c r="H58" s="197"/>
      <c r="I58" s="197"/>
      <c r="J58" s="197"/>
      <c r="K58" s="198"/>
    </row>
    <row r="59" spans="1:11" ht="12.75">
      <c r="A59" s="196"/>
      <c r="B59" s="200"/>
      <c r="C59" s="198"/>
      <c r="D59" s="198"/>
      <c r="E59" s="198"/>
      <c r="F59" s="198"/>
      <c r="G59" s="197"/>
      <c r="H59" s="197"/>
      <c r="I59" s="197"/>
      <c r="J59" s="197"/>
      <c r="K59" s="198"/>
    </row>
    <row r="60" spans="1:11" ht="12.75">
      <c r="A60" s="201"/>
      <c r="B60" s="202"/>
      <c r="C60" s="202"/>
      <c r="D60" s="202"/>
      <c r="E60" s="202"/>
      <c r="F60" s="202"/>
      <c r="G60" s="202"/>
      <c r="H60" s="197"/>
      <c r="I60" s="197"/>
      <c r="J60" s="197"/>
      <c r="K60" s="198"/>
    </row>
    <row r="61" spans="1:11" ht="12.75">
      <c r="A61" s="201"/>
      <c r="B61" s="202"/>
      <c r="C61" s="202"/>
      <c r="D61" s="202"/>
      <c r="E61" s="202"/>
      <c r="F61" s="202"/>
      <c r="G61" s="202"/>
      <c r="H61" s="197"/>
      <c r="I61" s="197"/>
      <c r="J61" s="197"/>
      <c r="K61" s="197"/>
    </row>
    <row r="62" spans="1:11" ht="12.75">
      <c r="A62" s="201"/>
      <c r="B62" s="202"/>
      <c r="C62" s="202"/>
      <c r="D62" s="202"/>
      <c r="E62" s="202"/>
      <c r="F62" s="202"/>
      <c r="G62" s="202"/>
      <c r="H62" s="197"/>
      <c r="I62" s="197"/>
      <c r="J62" s="197"/>
      <c r="K62"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110" zoomScaleNormal="100" zoomScaleSheetLayoutView="110" workbookViewId="0">
      <selection activeCell="N65" sqref="N65"/>
    </sheetView>
  </sheetViews>
  <sheetFormatPr defaultColWidth="9.33203125" defaultRowHeight="9"/>
  <cols>
    <col min="1" max="1" width="16.1640625" style="822" customWidth="1"/>
    <col min="2" max="2" width="19.6640625" style="822" customWidth="1"/>
    <col min="3" max="3" width="12.83203125" style="822" bestFit="1" customWidth="1"/>
    <col min="4" max="4" width="57.5" style="822" customWidth="1"/>
    <col min="5" max="5" width="12.5" style="822" customWidth="1"/>
    <col min="6" max="6" width="10.5" style="822" customWidth="1"/>
    <col min="7" max="8" width="9.33203125" style="822" customWidth="1"/>
    <col min="9" max="16384" width="9.33203125" style="822"/>
  </cols>
  <sheetData>
    <row r="1" spans="1:9" ht="11.25" customHeight="1">
      <c r="A1" s="820" t="s">
        <v>365</v>
      </c>
      <c r="B1" s="821"/>
      <c r="C1" s="821"/>
      <c r="D1" s="821"/>
      <c r="E1" s="821"/>
      <c r="F1" s="821"/>
    </row>
    <row r="2" spans="1:9" ht="30" customHeight="1">
      <c r="A2" s="823" t="s">
        <v>250</v>
      </c>
      <c r="B2" s="824" t="s">
        <v>366</v>
      </c>
      <c r="C2" s="823" t="s">
        <v>355</v>
      </c>
      <c r="D2" s="825" t="s">
        <v>367</v>
      </c>
      <c r="E2" s="826" t="s">
        <v>368</v>
      </c>
      <c r="F2" s="826" t="s">
        <v>369</v>
      </c>
      <c r="G2" s="827"/>
      <c r="H2" s="828"/>
      <c r="I2" s="829"/>
    </row>
    <row r="3" spans="1:9" ht="84.75" customHeight="1">
      <c r="A3" s="832" t="s">
        <v>486</v>
      </c>
      <c r="B3" s="832" t="s">
        <v>559</v>
      </c>
      <c r="C3" s="830">
        <v>43984.240277777775</v>
      </c>
      <c r="D3" s="831" t="s">
        <v>560</v>
      </c>
      <c r="E3" s="832" t="s">
        <v>561</v>
      </c>
      <c r="F3" s="832"/>
      <c r="H3" s="827"/>
      <c r="I3" s="829"/>
    </row>
    <row r="4" spans="1:9" ht="41.25" customHeight="1">
      <c r="A4" s="832" t="s">
        <v>562</v>
      </c>
      <c r="B4" s="832" t="s">
        <v>563</v>
      </c>
      <c r="C4" s="830">
        <v>43985.005555555559</v>
      </c>
      <c r="D4" s="831" t="s">
        <v>564</v>
      </c>
      <c r="E4" s="832" t="s">
        <v>565</v>
      </c>
      <c r="F4" s="832"/>
      <c r="G4" s="833"/>
      <c r="H4" s="833"/>
      <c r="I4" s="834"/>
    </row>
    <row r="5" spans="1:9" ht="73.5" customHeight="1">
      <c r="A5" s="832" t="s">
        <v>566</v>
      </c>
      <c r="B5" s="832" t="s">
        <v>567</v>
      </c>
      <c r="C5" s="830">
        <v>43985.463194444441</v>
      </c>
      <c r="D5" s="831" t="s">
        <v>568</v>
      </c>
      <c r="E5" s="832">
        <v>10</v>
      </c>
      <c r="F5" s="832"/>
      <c r="G5" s="833"/>
      <c r="H5" s="833"/>
      <c r="I5" s="835"/>
    </row>
    <row r="6" spans="1:9" ht="72" customHeight="1">
      <c r="A6" s="832" t="s">
        <v>569</v>
      </c>
      <c r="B6" s="832" t="s">
        <v>570</v>
      </c>
      <c r="C6" s="830">
        <v>43987.345138888886</v>
      </c>
      <c r="D6" s="831" t="s">
        <v>571</v>
      </c>
      <c r="E6" s="832" t="s">
        <v>572</v>
      </c>
      <c r="F6" s="832"/>
      <c r="G6" s="833"/>
      <c r="H6" s="833"/>
      <c r="I6" s="836"/>
    </row>
    <row r="7" spans="1:9" ht="48" customHeight="1">
      <c r="A7" s="832" t="s">
        <v>573</v>
      </c>
      <c r="B7" s="832" t="s">
        <v>574</v>
      </c>
      <c r="C7" s="830">
        <v>43990.324999999997</v>
      </c>
      <c r="D7" s="831" t="s">
        <v>575</v>
      </c>
      <c r="E7" s="832" t="s">
        <v>576</v>
      </c>
      <c r="F7" s="832"/>
      <c r="G7" s="833"/>
      <c r="H7" s="833"/>
      <c r="I7" s="837"/>
    </row>
    <row r="8" spans="1:9" ht="54.75" customHeight="1">
      <c r="A8" s="832" t="s">
        <v>486</v>
      </c>
      <c r="B8" s="832" t="s">
        <v>577</v>
      </c>
      <c r="C8" s="830">
        <v>43991.15347222222</v>
      </c>
      <c r="D8" s="831" t="s">
        <v>578</v>
      </c>
      <c r="E8" s="832" t="s">
        <v>579</v>
      </c>
      <c r="F8" s="832"/>
      <c r="G8" s="833"/>
      <c r="H8" s="833"/>
      <c r="I8" s="836"/>
    </row>
    <row r="9" spans="1:9" ht="60" customHeight="1">
      <c r="A9" s="832" t="s">
        <v>486</v>
      </c>
      <c r="B9" s="832" t="s">
        <v>577</v>
      </c>
      <c r="C9" s="830">
        <v>43991.285416666666</v>
      </c>
      <c r="D9" s="831" t="s">
        <v>580</v>
      </c>
      <c r="E9" s="839" t="s">
        <v>579</v>
      </c>
      <c r="F9" s="839"/>
      <c r="G9" s="833"/>
      <c r="H9" s="833"/>
      <c r="I9" s="836"/>
    </row>
    <row r="10" spans="1:9" ht="63" customHeight="1">
      <c r="A10" s="832" t="s">
        <v>569</v>
      </c>
      <c r="B10" s="832" t="s">
        <v>581</v>
      </c>
      <c r="C10" s="830">
        <v>43997.46597222222</v>
      </c>
      <c r="D10" s="831" t="s">
        <v>582</v>
      </c>
      <c r="E10" s="839" t="s">
        <v>583</v>
      </c>
      <c r="F10" s="839"/>
    </row>
    <row r="11" spans="1:9" ht="96" customHeight="1">
      <c r="A11" s="832" t="s">
        <v>486</v>
      </c>
      <c r="B11" s="832" t="s">
        <v>584</v>
      </c>
      <c r="C11" s="830">
        <v>43998.261111111111</v>
      </c>
      <c r="D11" s="831" t="s">
        <v>585</v>
      </c>
      <c r="E11" s="832" t="s">
        <v>586</v>
      </c>
      <c r="F11" s="832"/>
    </row>
    <row r="12" spans="1:9" ht="60.75" customHeight="1">
      <c r="A12" s="832" t="s">
        <v>587</v>
      </c>
      <c r="B12" s="832" t="s">
        <v>588</v>
      </c>
      <c r="C12" s="830">
        <v>43998.332638888889</v>
      </c>
      <c r="D12" s="831" t="s">
        <v>589</v>
      </c>
      <c r="E12" s="832" t="s">
        <v>590</v>
      </c>
      <c r="F12" s="832"/>
    </row>
    <row r="13" spans="1:9" ht="79.5" customHeight="1">
      <c r="A13" s="832" t="s">
        <v>487</v>
      </c>
      <c r="B13" s="832" t="s">
        <v>591</v>
      </c>
      <c r="C13" s="830">
        <v>43999.553472222222</v>
      </c>
      <c r="D13" s="831" t="s">
        <v>592</v>
      </c>
      <c r="E13" s="832"/>
      <c r="F13" s="832" t="s">
        <v>593</v>
      </c>
    </row>
    <row r="14" spans="1:9" ht="70.5" customHeight="1">
      <c r="A14" s="832" t="s">
        <v>594</v>
      </c>
      <c r="B14" s="832" t="s">
        <v>595</v>
      </c>
      <c r="C14" s="830">
        <v>44001.491666666669</v>
      </c>
      <c r="D14" s="831" t="s">
        <v>596</v>
      </c>
      <c r="E14" s="832"/>
      <c r="F14" s="832" t="s">
        <v>597</v>
      </c>
    </row>
    <row r="15" spans="1:9" ht="76.5" customHeight="1">
      <c r="A15" s="832" t="s">
        <v>598</v>
      </c>
      <c r="B15" s="832" t="s">
        <v>599</v>
      </c>
      <c r="C15" s="830">
        <v>44004.55</v>
      </c>
      <c r="D15" s="831" t="s">
        <v>600</v>
      </c>
      <c r="E15" s="832" t="s">
        <v>601</v>
      </c>
      <c r="F15" s="832"/>
    </row>
    <row r="16" spans="1:9">
      <c r="C16" s="840"/>
      <c r="E16" s="841"/>
      <c r="F16" s="841"/>
    </row>
    <row r="17" spans="3:6">
      <c r="C17" s="840"/>
      <c r="E17" s="841"/>
      <c r="F17" s="841"/>
    </row>
    <row r="18" spans="3:6">
      <c r="C18" s="840"/>
      <c r="E18" s="841"/>
      <c r="F18" s="841"/>
    </row>
    <row r="19" spans="3:6">
      <c r="C19" s="840"/>
      <c r="E19" s="841"/>
      <c r="F19" s="841"/>
    </row>
    <row r="20" spans="3:6">
      <c r="C20" s="840"/>
      <c r="E20" s="841"/>
      <c r="F20" s="841"/>
    </row>
    <row r="21" spans="3:6">
      <c r="C21" s="840"/>
      <c r="E21" s="841"/>
      <c r="F21" s="841"/>
    </row>
    <row r="22" spans="3:6">
      <c r="C22" s="840"/>
      <c r="E22" s="841"/>
      <c r="F22" s="841"/>
    </row>
    <row r="23" spans="3:6">
      <c r="C23" s="840"/>
      <c r="E23" s="841"/>
      <c r="F23" s="841"/>
    </row>
    <row r="24" spans="3:6">
      <c r="C24" s="840"/>
      <c r="E24" s="841"/>
      <c r="F24" s="841"/>
    </row>
    <row r="25" spans="3:6">
      <c r="C25" s="840"/>
      <c r="E25" s="841"/>
      <c r="F25" s="841"/>
    </row>
    <row r="26" spans="3:6">
      <c r="C26" s="840"/>
      <c r="E26" s="841"/>
      <c r="F26" s="841"/>
    </row>
    <row r="27" spans="3:6">
      <c r="C27" s="840"/>
      <c r="E27" s="841"/>
      <c r="F27" s="841"/>
    </row>
    <row r="28" spans="3:6">
      <c r="C28" s="840"/>
      <c r="E28" s="841"/>
      <c r="F28" s="841"/>
    </row>
    <row r="29" spans="3:6">
      <c r="C29" s="840"/>
      <c r="E29" s="841"/>
      <c r="F29" s="841"/>
    </row>
    <row r="30" spans="3:6">
      <c r="C30" s="840"/>
      <c r="E30" s="841"/>
      <c r="F30" s="841"/>
    </row>
    <row r="31" spans="3:6">
      <c r="C31" s="840"/>
      <c r="E31" s="841"/>
      <c r="F31" s="841"/>
    </row>
    <row r="32" spans="3:6">
      <c r="C32" s="840"/>
      <c r="E32" s="841"/>
      <c r="F32" s="841"/>
    </row>
    <row r="33" spans="3:6">
      <c r="C33" s="840"/>
      <c r="E33" s="841"/>
      <c r="F33" s="841"/>
    </row>
    <row r="34" spans="3:6">
      <c r="C34" s="840"/>
      <c r="E34" s="841"/>
      <c r="F34" s="841"/>
    </row>
    <row r="35" spans="3:6">
      <c r="C35" s="840"/>
      <c r="E35" s="841"/>
      <c r="F35" s="841"/>
    </row>
    <row r="36" spans="3:6">
      <c r="C36" s="840"/>
      <c r="E36" s="841"/>
      <c r="F36" s="841"/>
    </row>
    <row r="37" spans="3:6">
      <c r="C37" s="840"/>
      <c r="E37" s="841"/>
      <c r="F37" s="841"/>
    </row>
    <row r="38" spans="3:6">
      <c r="C38" s="840"/>
      <c r="E38" s="841"/>
      <c r="F38" s="841"/>
    </row>
    <row r="39" spans="3:6">
      <c r="C39" s="840"/>
      <c r="E39" s="841"/>
      <c r="F39" s="841"/>
    </row>
    <row r="40" spans="3:6">
      <c r="C40" s="840"/>
      <c r="E40" s="841"/>
      <c r="F40" s="841"/>
    </row>
    <row r="41" spans="3:6">
      <c r="E41" s="841"/>
      <c r="F41" s="841"/>
    </row>
    <row r="42" spans="3:6">
      <c r="E42" s="841"/>
      <c r="F42" s="841"/>
    </row>
    <row r="43" spans="3:6">
      <c r="E43" s="841"/>
      <c r="F43" s="841"/>
    </row>
    <row r="44" spans="3:6">
      <c r="E44" s="841"/>
      <c r="F44" s="841"/>
    </row>
    <row r="45" spans="3:6">
      <c r="E45" s="841"/>
      <c r="F45" s="841"/>
    </row>
    <row r="46" spans="3:6">
      <c r="E46" s="841"/>
      <c r="F46" s="841"/>
    </row>
    <row r="47" spans="3:6">
      <c r="E47" s="841"/>
      <c r="F47" s="841"/>
    </row>
    <row r="48" spans="3:6">
      <c r="E48" s="841"/>
      <c r="F48" s="841"/>
    </row>
    <row r="49" spans="5:6">
      <c r="E49" s="841"/>
      <c r="F49" s="841"/>
    </row>
    <row r="50" spans="5:6">
      <c r="E50" s="841"/>
      <c r="F50" s="841"/>
    </row>
    <row r="51" spans="5:6">
      <c r="E51" s="841"/>
      <c r="F51" s="841"/>
    </row>
    <row r="52" spans="5:6">
      <c r="E52" s="841"/>
      <c r="F52" s="841"/>
    </row>
    <row r="53" spans="5:6">
      <c r="E53" s="841"/>
      <c r="F53" s="841"/>
    </row>
    <row r="54" spans="5:6">
      <c r="E54" s="841"/>
      <c r="F54" s="841"/>
    </row>
    <row r="55" spans="5:6">
      <c r="E55" s="841"/>
      <c r="F55" s="841"/>
    </row>
    <row r="56" spans="5:6">
      <c r="E56" s="841"/>
      <c r="F56" s="841"/>
    </row>
    <row r="57" spans="5:6">
      <c r="E57" s="841"/>
      <c r="F57" s="841"/>
    </row>
    <row r="58" spans="5:6">
      <c r="E58" s="841"/>
      <c r="F58" s="841"/>
    </row>
    <row r="59" spans="5:6">
      <c r="E59" s="841"/>
      <c r="F59" s="841"/>
    </row>
    <row r="60" spans="5:6">
      <c r="E60" s="841"/>
      <c r="F60" s="841"/>
    </row>
    <row r="61" spans="5:6">
      <c r="E61" s="841"/>
      <c r="F61" s="841"/>
    </row>
    <row r="62" spans="5:6">
      <c r="E62" s="841"/>
      <c r="F62" s="841"/>
    </row>
    <row r="63" spans="5:6">
      <c r="E63" s="841"/>
      <c r="F63" s="841"/>
    </row>
    <row r="64" spans="5:6">
      <c r="E64" s="841"/>
      <c r="F64" s="841"/>
    </row>
    <row r="65" spans="5:6">
      <c r="E65" s="841"/>
      <c r="F65" s="841"/>
    </row>
    <row r="66" spans="5:6">
      <c r="E66" s="841"/>
      <c r="F66" s="841"/>
    </row>
    <row r="67" spans="5:6">
      <c r="E67" s="841"/>
      <c r="F67" s="841"/>
    </row>
    <row r="68" spans="5:6">
      <c r="E68" s="841"/>
      <c r="F68" s="841"/>
    </row>
    <row r="69" spans="5:6">
      <c r="E69" s="841"/>
      <c r="F69" s="841"/>
    </row>
    <row r="70" spans="5:6">
      <c r="E70" s="841"/>
      <c r="F70" s="841"/>
    </row>
    <row r="71" spans="5:6">
      <c r="E71" s="841"/>
      <c r="F71" s="841"/>
    </row>
    <row r="72" spans="5:6">
      <c r="E72" s="841"/>
      <c r="F72" s="841"/>
    </row>
    <row r="73" spans="5:6">
      <c r="E73" s="841"/>
      <c r="F73" s="841"/>
    </row>
    <row r="74" spans="5:6">
      <c r="E74" s="841"/>
      <c r="F74" s="841"/>
    </row>
    <row r="75" spans="5:6">
      <c r="E75" s="841"/>
      <c r="F75" s="841"/>
    </row>
    <row r="76" spans="5:6">
      <c r="E76" s="841"/>
      <c r="F76" s="841"/>
    </row>
    <row r="77" spans="5:6">
      <c r="E77" s="841"/>
      <c r="F77" s="841"/>
    </row>
    <row r="78" spans="5:6">
      <c r="E78" s="841"/>
      <c r="F78" s="841"/>
    </row>
    <row r="79" spans="5:6">
      <c r="E79" s="841"/>
      <c r="F79" s="841"/>
    </row>
    <row r="80" spans="5:6">
      <c r="E80" s="841"/>
      <c r="F80" s="841"/>
    </row>
    <row r="81" spans="5:6">
      <c r="E81" s="841"/>
      <c r="F81" s="841"/>
    </row>
    <row r="82" spans="5:6">
      <c r="E82" s="841"/>
      <c r="F82" s="841"/>
    </row>
    <row r="83" spans="5:6">
      <c r="E83" s="841"/>
      <c r="F83" s="841"/>
    </row>
    <row r="84" spans="5:6">
      <c r="E84" s="841"/>
      <c r="F84" s="841"/>
    </row>
    <row r="85" spans="5:6">
      <c r="E85" s="841"/>
      <c r="F85" s="841"/>
    </row>
    <row r="86" spans="5:6">
      <c r="E86" s="841"/>
      <c r="F86" s="841"/>
    </row>
    <row r="87" spans="5:6">
      <c r="E87" s="841"/>
      <c r="F87" s="841"/>
    </row>
    <row r="88" spans="5:6">
      <c r="E88" s="841"/>
      <c r="F88" s="841"/>
    </row>
    <row r="89" spans="5:6">
      <c r="E89" s="841"/>
      <c r="F89" s="841"/>
    </row>
    <row r="90" spans="5:6">
      <c r="E90" s="841"/>
      <c r="F90" s="841"/>
    </row>
    <row r="91" spans="5:6">
      <c r="E91" s="841"/>
      <c r="F91" s="841"/>
    </row>
    <row r="92" spans="5:6">
      <c r="E92" s="841"/>
      <c r="F92" s="841"/>
    </row>
    <row r="93" spans="5:6">
      <c r="E93" s="841"/>
      <c r="F93" s="841"/>
    </row>
    <row r="94" spans="5:6">
      <c r="E94" s="841"/>
      <c r="F94" s="841"/>
    </row>
    <row r="95" spans="5:6">
      <c r="E95" s="841"/>
      <c r="F95" s="841"/>
    </row>
    <row r="96" spans="5:6">
      <c r="E96" s="841"/>
      <c r="F96" s="841"/>
    </row>
    <row r="97" spans="5:6">
      <c r="E97" s="841"/>
      <c r="F97" s="841"/>
    </row>
    <row r="98" spans="5:6">
      <c r="E98" s="841"/>
      <c r="F98" s="841"/>
    </row>
    <row r="99" spans="5:6">
      <c r="E99" s="841"/>
      <c r="F99" s="841"/>
    </row>
    <row r="100" spans="5:6">
      <c r="E100" s="841"/>
      <c r="F100" s="841"/>
    </row>
    <row r="101" spans="5:6">
      <c r="E101" s="841"/>
      <c r="F101" s="841"/>
    </row>
    <row r="102" spans="5:6">
      <c r="E102" s="841"/>
      <c r="F102" s="841"/>
    </row>
    <row r="103" spans="5:6">
      <c r="E103" s="841"/>
      <c r="F103" s="841"/>
    </row>
    <row r="104" spans="5:6">
      <c r="E104" s="841"/>
      <c r="F104" s="841"/>
    </row>
    <row r="105" spans="5:6">
      <c r="E105" s="841"/>
      <c r="F105" s="841"/>
    </row>
    <row r="106" spans="5:6">
      <c r="E106" s="841"/>
      <c r="F106" s="841"/>
    </row>
    <row r="107" spans="5:6">
      <c r="E107" s="841"/>
      <c r="F107" s="841"/>
    </row>
    <row r="108" spans="5:6">
      <c r="E108" s="841"/>
      <c r="F108" s="841"/>
    </row>
    <row r="109" spans="5:6">
      <c r="E109" s="841"/>
      <c r="F109" s="841"/>
    </row>
    <row r="110" spans="5:6">
      <c r="E110" s="841"/>
      <c r="F110" s="841"/>
    </row>
    <row r="111" spans="5:6">
      <c r="E111" s="841"/>
      <c r="F111" s="841"/>
    </row>
    <row r="112" spans="5:6">
      <c r="E112" s="841"/>
      <c r="F112" s="841"/>
    </row>
    <row r="113" spans="5:6">
      <c r="E113" s="841"/>
      <c r="F113" s="841"/>
    </row>
    <row r="114" spans="5:6">
      <c r="E114" s="841"/>
      <c r="F114" s="841"/>
    </row>
    <row r="115" spans="5:6">
      <c r="E115" s="841"/>
      <c r="F115" s="841"/>
    </row>
    <row r="116" spans="5:6">
      <c r="E116" s="841"/>
      <c r="F116" s="841"/>
    </row>
    <row r="117" spans="5:6">
      <c r="E117" s="841"/>
      <c r="F117" s="841"/>
    </row>
    <row r="118" spans="5:6">
      <c r="E118" s="841"/>
      <c r="F118" s="841"/>
    </row>
    <row r="119" spans="5:6">
      <c r="E119" s="841"/>
      <c r="F119" s="841"/>
    </row>
    <row r="120" spans="5:6">
      <c r="E120" s="841"/>
      <c r="F120" s="841"/>
    </row>
    <row r="121" spans="5:6">
      <c r="E121" s="841"/>
      <c r="F121" s="841"/>
    </row>
    <row r="122" spans="5:6">
      <c r="E122" s="841"/>
      <c r="F122" s="841"/>
    </row>
    <row r="123" spans="5:6">
      <c r="E123" s="841"/>
      <c r="F123" s="841"/>
    </row>
    <row r="124" spans="5:6">
      <c r="E124" s="841"/>
      <c r="F124" s="841"/>
    </row>
    <row r="125" spans="5:6">
      <c r="E125" s="841"/>
      <c r="F125" s="841"/>
    </row>
    <row r="126" spans="5:6">
      <c r="E126" s="841"/>
      <c r="F126" s="841"/>
    </row>
    <row r="127" spans="5:6">
      <c r="E127" s="841"/>
      <c r="F127" s="841"/>
    </row>
    <row r="128" spans="5:6">
      <c r="E128" s="841"/>
      <c r="F128" s="841"/>
    </row>
    <row r="129" spans="5:6">
      <c r="E129" s="841"/>
      <c r="F129" s="841"/>
    </row>
    <row r="130" spans="5:6">
      <c r="E130" s="841"/>
      <c r="F130" s="841"/>
    </row>
    <row r="131" spans="5:6">
      <c r="E131" s="841"/>
      <c r="F131" s="841"/>
    </row>
    <row r="132" spans="5:6">
      <c r="E132" s="841"/>
      <c r="F132" s="841"/>
    </row>
    <row r="133" spans="5:6">
      <c r="E133" s="841"/>
      <c r="F133" s="84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Junio 2020
INFSGI-MES-06-2020
13/07/2020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1"/>
  <sheetViews>
    <sheetView showGridLines="0" view="pageBreakPreview" zoomScale="130" zoomScaleNormal="100" zoomScaleSheetLayoutView="130" workbookViewId="0">
      <selection activeCell="N65" sqref="N65"/>
    </sheetView>
  </sheetViews>
  <sheetFormatPr defaultColWidth="9.33203125" defaultRowHeight="9"/>
  <cols>
    <col min="1" max="1" width="16.1640625" style="822" customWidth="1"/>
    <col min="2" max="2" width="19.6640625" style="822" customWidth="1"/>
    <col min="3" max="3" width="12.83203125" style="822" bestFit="1" customWidth="1"/>
    <col min="4" max="4" width="59.83203125" style="822" customWidth="1"/>
    <col min="5" max="5" width="11.6640625" style="822" customWidth="1"/>
    <col min="6" max="6" width="10.5" style="822" customWidth="1"/>
    <col min="7" max="8" width="9.33203125" style="822" customWidth="1"/>
    <col min="9" max="16384" width="9.33203125" style="822"/>
  </cols>
  <sheetData>
    <row r="1" spans="1:9" ht="11.25" customHeight="1">
      <c r="A1" s="820" t="s">
        <v>365</v>
      </c>
      <c r="B1" s="821"/>
      <c r="C1" s="821"/>
      <c r="D1" s="821"/>
      <c r="E1" s="821"/>
      <c r="F1" s="821"/>
    </row>
    <row r="2" spans="1:9" ht="30" customHeight="1">
      <c r="A2" s="823" t="s">
        <v>250</v>
      </c>
      <c r="B2" s="824" t="s">
        <v>366</v>
      </c>
      <c r="C2" s="823" t="s">
        <v>355</v>
      </c>
      <c r="D2" s="825" t="s">
        <v>367</v>
      </c>
      <c r="E2" s="826" t="s">
        <v>368</v>
      </c>
      <c r="F2" s="826" t="s">
        <v>369</v>
      </c>
      <c r="G2" s="827"/>
      <c r="H2" s="828"/>
      <c r="I2" s="829"/>
    </row>
    <row r="3" spans="1:9" ht="87" customHeight="1">
      <c r="A3" s="832" t="s">
        <v>602</v>
      </c>
      <c r="B3" s="832" t="s">
        <v>603</v>
      </c>
      <c r="C3" s="830">
        <v>44005.166666666664</v>
      </c>
      <c r="D3" s="831" t="s">
        <v>604</v>
      </c>
      <c r="E3" s="832"/>
      <c r="F3" s="832" t="s">
        <v>597</v>
      </c>
      <c r="G3" s="833"/>
      <c r="H3" s="833"/>
      <c r="I3" s="835"/>
    </row>
    <row r="4" spans="1:9" ht="68.25" customHeight="1">
      <c r="A4" s="832" t="s">
        <v>605</v>
      </c>
      <c r="B4" s="832" t="s">
        <v>606</v>
      </c>
      <c r="C4" s="830">
        <v>44006.40902777778</v>
      </c>
      <c r="D4" s="831" t="s">
        <v>607</v>
      </c>
      <c r="E4" s="832" t="s">
        <v>608</v>
      </c>
      <c r="F4" s="832"/>
      <c r="G4" s="833"/>
      <c r="H4" s="833"/>
      <c r="I4" s="836"/>
    </row>
    <row r="5" spans="1:9" ht="51.75" customHeight="1">
      <c r="A5" s="832" t="s">
        <v>609</v>
      </c>
      <c r="B5" s="832" t="s">
        <v>610</v>
      </c>
      <c r="C5" s="830">
        <v>44008.29583333333</v>
      </c>
      <c r="D5" s="831" t="s">
        <v>611</v>
      </c>
      <c r="E5" s="832" t="s">
        <v>612</v>
      </c>
      <c r="F5" s="832"/>
      <c r="G5" s="833"/>
      <c r="H5" s="833"/>
      <c r="I5" s="837"/>
    </row>
    <row r="6" spans="1:9" ht="74.25" customHeight="1">
      <c r="A6" s="832" t="s">
        <v>613</v>
      </c>
      <c r="B6" s="832" t="s">
        <v>614</v>
      </c>
      <c r="C6" s="830">
        <v>44008.536111111112</v>
      </c>
      <c r="D6" s="831" t="s">
        <v>615</v>
      </c>
      <c r="E6" s="832" t="s">
        <v>616</v>
      </c>
      <c r="F6" s="832"/>
      <c r="G6" s="833"/>
      <c r="H6" s="833"/>
      <c r="I6" s="836"/>
    </row>
    <row r="7" spans="1:9" ht="82.5" customHeight="1">
      <c r="A7" s="832" t="s">
        <v>487</v>
      </c>
      <c r="B7" s="832" t="s">
        <v>617</v>
      </c>
      <c r="C7" s="830">
        <v>44009.530555555553</v>
      </c>
      <c r="D7" s="831" t="s">
        <v>618</v>
      </c>
      <c r="E7" s="832" t="s">
        <v>619</v>
      </c>
      <c r="F7" s="832"/>
      <c r="G7" s="833"/>
      <c r="H7" s="833"/>
      <c r="I7" s="836"/>
    </row>
    <row r="8" spans="1:9" ht="87" customHeight="1">
      <c r="A8" s="832" t="s">
        <v>620</v>
      </c>
      <c r="B8" s="832" t="s">
        <v>621</v>
      </c>
      <c r="C8" s="830">
        <v>44009.722916666666</v>
      </c>
      <c r="D8" s="831" t="s">
        <v>622</v>
      </c>
      <c r="E8" s="832"/>
      <c r="F8" s="832" t="s">
        <v>623</v>
      </c>
      <c r="G8" s="833"/>
      <c r="H8" s="833"/>
      <c r="I8" s="836"/>
    </row>
    <row r="9" spans="1:9" ht="85.5" customHeight="1">
      <c r="A9" s="832" t="s">
        <v>101</v>
      </c>
      <c r="B9" s="832" t="s">
        <v>624</v>
      </c>
      <c r="C9" s="830">
        <v>44011.03402777778</v>
      </c>
      <c r="D9" s="831" t="s">
        <v>625</v>
      </c>
      <c r="E9" s="832" t="s">
        <v>626</v>
      </c>
      <c r="F9" s="832"/>
      <c r="G9" s="833"/>
      <c r="H9" s="833"/>
      <c r="I9" s="836"/>
    </row>
    <row r="10" spans="1:9" ht="87.75" customHeight="1">
      <c r="A10" s="839" t="s">
        <v>627</v>
      </c>
      <c r="B10" s="839" t="s">
        <v>628</v>
      </c>
      <c r="C10" s="838">
        <v>44011.106944444444</v>
      </c>
      <c r="D10" s="831" t="s">
        <v>629</v>
      </c>
      <c r="E10" s="839" t="s">
        <v>630</v>
      </c>
      <c r="F10" s="839"/>
      <c r="G10" s="833"/>
      <c r="H10" s="833"/>
      <c r="I10" s="836"/>
    </row>
    <row r="11" spans="1:9">
      <c r="E11" s="841"/>
      <c r="F11" s="841"/>
    </row>
    <row r="12" spans="1:9">
      <c r="E12" s="841"/>
      <c r="F12" s="841"/>
    </row>
    <row r="13" spans="1:9">
      <c r="E13" s="841"/>
      <c r="F13" s="841"/>
    </row>
    <row r="14" spans="1:9">
      <c r="E14" s="841"/>
      <c r="F14" s="841"/>
    </row>
    <row r="15" spans="1:9">
      <c r="E15" s="841"/>
      <c r="F15" s="841"/>
    </row>
    <row r="16" spans="1:9">
      <c r="E16" s="841"/>
      <c r="F16" s="841"/>
    </row>
    <row r="17" spans="5:6">
      <c r="E17" s="841"/>
      <c r="F17" s="841"/>
    </row>
    <row r="18" spans="5:6">
      <c r="E18" s="841"/>
      <c r="F18" s="841"/>
    </row>
    <row r="19" spans="5:6">
      <c r="E19" s="841"/>
      <c r="F19" s="841"/>
    </row>
    <row r="20" spans="5:6">
      <c r="E20" s="841"/>
      <c r="F20" s="841"/>
    </row>
    <row r="21" spans="5:6">
      <c r="E21" s="841"/>
      <c r="F21" s="841"/>
    </row>
    <row r="22" spans="5:6">
      <c r="E22" s="841"/>
      <c r="F22" s="841"/>
    </row>
    <row r="23" spans="5:6">
      <c r="E23" s="841"/>
      <c r="F23" s="841"/>
    </row>
    <row r="24" spans="5:6">
      <c r="E24" s="841"/>
      <c r="F24" s="841"/>
    </row>
    <row r="25" spans="5:6">
      <c r="E25" s="841"/>
      <c r="F25" s="841"/>
    </row>
    <row r="26" spans="5:6">
      <c r="E26" s="841"/>
      <c r="F26" s="841"/>
    </row>
    <row r="27" spans="5:6">
      <c r="E27" s="841"/>
      <c r="F27" s="841"/>
    </row>
    <row r="28" spans="5:6">
      <c r="E28" s="841"/>
      <c r="F28" s="841"/>
    </row>
    <row r="29" spans="5:6">
      <c r="E29" s="841"/>
      <c r="F29" s="841"/>
    </row>
    <row r="30" spans="5:6">
      <c r="E30" s="841"/>
      <c r="F30" s="841"/>
    </row>
    <row r="31" spans="5:6">
      <c r="E31" s="841"/>
      <c r="F31" s="841"/>
    </row>
    <row r="32" spans="5:6">
      <c r="E32" s="841"/>
      <c r="F32" s="841"/>
    </row>
    <row r="33" spans="5:6">
      <c r="E33" s="841"/>
      <c r="F33" s="841"/>
    </row>
    <row r="34" spans="5:6">
      <c r="E34" s="841"/>
      <c r="F34" s="841"/>
    </row>
    <row r="35" spans="5:6">
      <c r="E35" s="841"/>
      <c r="F35" s="841"/>
    </row>
    <row r="36" spans="5:6">
      <c r="E36" s="841"/>
      <c r="F36" s="841"/>
    </row>
    <row r="37" spans="5:6">
      <c r="E37" s="841"/>
      <c r="F37" s="841"/>
    </row>
    <row r="38" spans="5:6">
      <c r="E38" s="841"/>
      <c r="F38" s="841"/>
    </row>
    <row r="39" spans="5:6">
      <c r="E39" s="841"/>
      <c r="F39" s="841"/>
    </row>
    <row r="40" spans="5:6">
      <c r="E40" s="841"/>
      <c r="F40" s="841"/>
    </row>
    <row r="41" spans="5:6">
      <c r="E41" s="841"/>
      <c r="F41" s="841"/>
    </row>
    <row r="42" spans="5:6">
      <c r="E42" s="841"/>
      <c r="F42" s="841"/>
    </row>
    <row r="43" spans="5:6">
      <c r="E43" s="841"/>
      <c r="F43" s="841"/>
    </row>
    <row r="44" spans="5:6">
      <c r="E44" s="841"/>
      <c r="F44" s="841"/>
    </row>
    <row r="45" spans="5:6">
      <c r="E45" s="841"/>
      <c r="F45" s="841"/>
    </row>
    <row r="46" spans="5:6">
      <c r="E46" s="841"/>
      <c r="F46" s="841"/>
    </row>
    <row r="47" spans="5:6">
      <c r="E47" s="841"/>
      <c r="F47" s="841"/>
    </row>
    <row r="48" spans="5:6">
      <c r="E48" s="841"/>
      <c r="F48" s="841"/>
    </row>
    <row r="49" spans="5:6">
      <c r="E49" s="841"/>
      <c r="F49" s="841"/>
    </row>
    <row r="50" spans="5:6">
      <c r="E50" s="841"/>
      <c r="F50" s="841"/>
    </row>
    <row r="51" spans="5:6">
      <c r="E51" s="841"/>
      <c r="F51" s="841"/>
    </row>
    <row r="52" spans="5:6">
      <c r="E52" s="841"/>
      <c r="F52" s="841"/>
    </row>
    <row r="53" spans="5:6">
      <c r="E53" s="841"/>
      <c r="F53" s="841"/>
    </row>
    <row r="54" spans="5:6">
      <c r="E54" s="841"/>
      <c r="F54" s="841"/>
    </row>
    <row r="55" spans="5:6">
      <c r="E55" s="841"/>
      <c r="F55" s="841"/>
    </row>
    <row r="56" spans="5:6">
      <c r="E56" s="841"/>
      <c r="F56" s="841"/>
    </row>
    <row r="57" spans="5:6">
      <c r="E57" s="841"/>
      <c r="F57" s="841"/>
    </row>
    <row r="58" spans="5:6">
      <c r="E58" s="841"/>
      <c r="F58" s="841"/>
    </row>
    <row r="59" spans="5:6">
      <c r="E59" s="841"/>
      <c r="F59" s="841"/>
    </row>
    <row r="60" spans="5:6">
      <c r="E60" s="841"/>
      <c r="F60" s="841"/>
    </row>
    <row r="61" spans="5:6">
      <c r="E61" s="841"/>
      <c r="F61" s="841"/>
    </row>
    <row r="62" spans="5:6">
      <c r="E62" s="841"/>
      <c r="F62" s="841"/>
    </row>
    <row r="63" spans="5:6">
      <c r="E63" s="841"/>
      <c r="F63" s="841"/>
    </row>
    <row r="64" spans="5:6">
      <c r="E64" s="841"/>
      <c r="F64" s="841"/>
    </row>
    <row r="65" spans="5:6">
      <c r="E65" s="841"/>
      <c r="F65" s="841"/>
    </row>
    <row r="66" spans="5:6">
      <c r="E66" s="841"/>
      <c r="F66" s="841"/>
    </row>
    <row r="67" spans="5:6">
      <c r="E67" s="841"/>
      <c r="F67" s="841"/>
    </row>
    <row r="68" spans="5:6">
      <c r="E68" s="841"/>
      <c r="F68" s="841"/>
    </row>
    <row r="69" spans="5:6">
      <c r="E69" s="841"/>
      <c r="F69" s="841"/>
    </row>
    <row r="70" spans="5:6">
      <c r="E70" s="841"/>
      <c r="F70" s="841"/>
    </row>
    <row r="71" spans="5:6">
      <c r="E71" s="841"/>
      <c r="F71" s="841"/>
    </row>
    <row r="72" spans="5:6">
      <c r="E72" s="841"/>
      <c r="F72" s="841"/>
    </row>
    <row r="73" spans="5:6">
      <c r="E73" s="841"/>
      <c r="F73" s="841"/>
    </row>
    <row r="74" spans="5:6">
      <c r="E74" s="841"/>
      <c r="F74" s="841"/>
    </row>
    <row r="75" spans="5:6">
      <c r="E75" s="841"/>
      <c r="F75" s="841"/>
    </row>
    <row r="76" spans="5:6">
      <c r="E76" s="841"/>
      <c r="F76" s="841"/>
    </row>
    <row r="77" spans="5:6">
      <c r="E77" s="841"/>
      <c r="F77" s="841"/>
    </row>
    <row r="78" spans="5:6">
      <c r="E78" s="841"/>
      <c r="F78" s="841"/>
    </row>
    <row r="79" spans="5:6">
      <c r="E79" s="841"/>
      <c r="F79" s="841"/>
    </row>
    <row r="80" spans="5:6">
      <c r="E80" s="841"/>
      <c r="F80" s="841"/>
    </row>
    <row r="81" spans="5:6">
      <c r="E81" s="841"/>
      <c r="F81" s="841"/>
    </row>
    <row r="82" spans="5:6">
      <c r="E82" s="841"/>
      <c r="F82" s="841"/>
    </row>
    <row r="83" spans="5:6">
      <c r="E83" s="841"/>
      <c r="F83" s="841"/>
    </row>
    <row r="84" spans="5:6">
      <c r="E84" s="841"/>
      <c r="F84" s="841"/>
    </row>
    <row r="85" spans="5:6">
      <c r="E85" s="841"/>
      <c r="F85" s="841"/>
    </row>
    <row r="86" spans="5:6">
      <c r="E86" s="841"/>
      <c r="F86" s="841"/>
    </row>
    <row r="87" spans="5:6">
      <c r="E87" s="841"/>
      <c r="F87" s="841"/>
    </row>
    <row r="88" spans="5:6">
      <c r="E88" s="841"/>
      <c r="F88" s="841"/>
    </row>
    <row r="89" spans="5:6">
      <c r="E89" s="841"/>
      <c r="F89" s="841"/>
    </row>
    <row r="90" spans="5:6">
      <c r="E90" s="841"/>
      <c r="F90" s="841"/>
    </row>
    <row r="91" spans="5:6">
      <c r="E91" s="841"/>
      <c r="F91" s="841"/>
    </row>
    <row r="92" spans="5:6">
      <c r="E92" s="841"/>
      <c r="F92" s="841"/>
    </row>
    <row r="93" spans="5:6">
      <c r="E93" s="841"/>
      <c r="F93" s="841"/>
    </row>
    <row r="94" spans="5:6">
      <c r="E94" s="841"/>
      <c r="F94" s="841"/>
    </row>
    <row r="95" spans="5:6">
      <c r="E95" s="841"/>
      <c r="F95" s="841"/>
    </row>
    <row r="96" spans="5:6">
      <c r="E96" s="841"/>
      <c r="F96" s="841"/>
    </row>
    <row r="97" spans="5:6">
      <c r="E97" s="841"/>
      <c r="F97" s="841"/>
    </row>
    <row r="98" spans="5:6">
      <c r="E98" s="841"/>
      <c r="F98" s="841"/>
    </row>
    <row r="99" spans="5:6">
      <c r="E99" s="841"/>
      <c r="F99" s="841"/>
    </row>
    <row r="100" spans="5:6">
      <c r="E100" s="841"/>
      <c r="F100" s="841"/>
    </row>
    <row r="101" spans="5:6">
      <c r="E101" s="841"/>
      <c r="F101" s="841"/>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Junio 2020
INFSGI-MES-06-2020
13/07/2020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130" zoomScaleNormal="100" zoomScaleSheetLayoutView="130" workbookViewId="0">
      <selection activeCell="N65" sqref="N65"/>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9"/>
      <c r="C7" s="25"/>
      <c r="D7" s="25"/>
      <c r="E7" s="25"/>
      <c r="F7" s="25"/>
      <c r="G7" s="25"/>
      <c r="H7" s="25"/>
      <c r="I7" s="25"/>
      <c r="J7" s="25"/>
      <c r="K7" s="25"/>
      <c r="L7" s="25"/>
      <c r="M7" s="25"/>
      <c r="N7" s="25"/>
      <c r="O7" s="25"/>
    </row>
    <row r="8" spans="2:15">
      <c r="B8" s="219"/>
      <c r="C8" s="25"/>
      <c r="D8" s="25"/>
      <c r="E8" s="25"/>
      <c r="F8" s="25"/>
      <c r="G8" s="25"/>
      <c r="H8" s="25"/>
      <c r="I8" s="25"/>
      <c r="J8" s="25"/>
      <c r="K8" s="25"/>
      <c r="L8" s="25"/>
      <c r="M8" s="25"/>
      <c r="N8" s="25"/>
      <c r="O8" s="25"/>
    </row>
    <row r="9" spans="2:15">
      <c r="B9" s="219"/>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84"/>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15" workbookViewId="0">
      <selection activeCell="N65" sqref="N65"/>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6"/>
    <col min="15" max="16" width="10.1640625" style="312" bestFit="1" customWidth="1"/>
    <col min="17" max="17" width="11.5" style="312" customWidth="1"/>
    <col min="18" max="23" width="9.33203125" style="312"/>
    <col min="24" max="16384" width="9.33203125" style="46"/>
  </cols>
  <sheetData>
    <row r="1" spans="1:17" ht="27.75" customHeight="1">
      <c r="A1" s="877" t="s">
        <v>22</v>
      </c>
      <c r="B1" s="877"/>
      <c r="C1" s="877"/>
      <c r="D1" s="877"/>
      <c r="E1" s="877"/>
      <c r="F1" s="877"/>
      <c r="G1" s="877"/>
      <c r="H1" s="877"/>
      <c r="I1" s="877"/>
      <c r="J1" s="877"/>
      <c r="K1" s="877"/>
      <c r="L1" s="877"/>
      <c r="M1" s="877"/>
      <c r="N1" s="285"/>
      <c r="O1" s="311"/>
      <c r="P1" s="311"/>
      <c r="Q1" s="311"/>
    </row>
    <row r="2" spans="1:17" ht="11.25" customHeight="1">
      <c r="A2" s="41"/>
      <c r="B2" s="40"/>
      <c r="C2" s="65"/>
      <c r="D2" s="65"/>
      <c r="E2" s="65"/>
      <c r="F2" s="65"/>
      <c r="G2" s="65"/>
      <c r="H2" s="65"/>
      <c r="I2" s="65"/>
      <c r="J2" s="65"/>
      <c r="K2" s="40"/>
      <c r="L2" s="40"/>
      <c r="M2" s="40"/>
      <c r="N2" s="285"/>
      <c r="O2" s="311"/>
      <c r="P2" s="311"/>
      <c r="Q2" s="311"/>
    </row>
    <row r="3" spans="1:17" ht="21.75" customHeight="1">
      <c r="A3" s="40"/>
      <c r="B3" s="42"/>
      <c r="C3" s="884" t="str">
        <f>+UPPER(Q4)&amp;" "&amp;Q5</f>
        <v>JUNIO 2020</v>
      </c>
      <c r="D3" s="877"/>
      <c r="E3" s="877"/>
      <c r="F3" s="877"/>
      <c r="G3" s="877"/>
      <c r="H3" s="877"/>
      <c r="I3" s="877"/>
      <c r="J3" s="877"/>
      <c r="K3" s="40"/>
      <c r="L3" s="40"/>
      <c r="M3" s="40"/>
      <c r="N3" s="285"/>
      <c r="O3" s="311"/>
      <c r="P3" s="311"/>
      <c r="Q3" s="311"/>
    </row>
    <row r="4" spans="1:17" ht="11.25" customHeight="1">
      <c r="A4" s="40"/>
      <c r="B4" s="42"/>
      <c r="C4" s="40"/>
      <c r="D4" s="40"/>
      <c r="E4" s="40"/>
      <c r="F4" s="40"/>
      <c r="G4" s="40"/>
      <c r="H4" s="40"/>
      <c r="I4" s="40"/>
      <c r="J4" s="40"/>
      <c r="K4" s="40"/>
      <c r="L4" s="40"/>
      <c r="M4" s="40"/>
      <c r="N4" s="287"/>
      <c r="O4" s="313"/>
      <c r="P4" s="311" t="s">
        <v>212</v>
      </c>
      <c r="Q4" s="314" t="s">
        <v>558</v>
      </c>
    </row>
    <row r="5" spans="1:17" ht="11.25" customHeight="1">
      <c r="A5" s="47"/>
      <c r="B5" s="48"/>
      <c r="C5" s="49"/>
      <c r="D5" s="49"/>
      <c r="E5" s="49"/>
      <c r="F5" s="49"/>
      <c r="G5" s="49"/>
      <c r="H5" s="49"/>
      <c r="I5" s="49"/>
      <c r="J5" s="49"/>
      <c r="K5" s="49"/>
      <c r="L5" s="49"/>
      <c r="M5" s="40"/>
      <c r="N5" s="287"/>
      <c r="O5" s="313"/>
      <c r="P5" s="311" t="s">
        <v>213</v>
      </c>
      <c r="Q5" s="313">
        <v>2020</v>
      </c>
    </row>
    <row r="6" spans="1:17" ht="17.25" customHeight="1">
      <c r="A6" s="60" t="s">
        <v>401</v>
      </c>
      <c r="B6" s="40"/>
      <c r="C6" s="40"/>
      <c r="D6" s="40"/>
      <c r="E6" s="40"/>
      <c r="F6" s="40"/>
      <c r="G6" s="40"/>
      <c r="H6" s="40"/>
      <c r="I6" s="40"/>
      <c r="J6" s="40"/>
      <c r="K6" s="40"/>
      <c r="L6" s="40"/>
      <c r="M6" s="40"/>
      <c r="N6" s="285"/>
      <c r="O6" s="311"/>
      <c r="P6" s="311"/>
      <c r="Q6" s="320">
        <v>43983</v>
      </c>
    </row>
    <row r="7" spans="1:17" ht="11.25" customHeight="1">
      <c r="A7" s="40"/>
      <c r="B7" s="40"/>
      <c r="C7" s="40"/>
      <c r="D7" s="40"/>
      <c r="E7" s="40"/>
      <c r="F7" s="40"/>
      <c r="G7" s="40"/>
      <c r="H7" s="40"/>
      <c r="I7" s="40"/>
      <c r="J7" s="40"/>
      <c r="K7" s="40"/>
      <c r="L7" s="40"/>
      <c r="M7" s="40"/>
      <c r="N7" s="285"/>
      <c r="O7" s="311"/>
      <c r="P7" s="311"/>
      <c r="Q7" s="311">
        <v>30</v>
      </c>
    </row>
    <row r="8" spans="1:17" ht="11.25" customHeight="1">
      <c r="A8" s="43"/>
      <c r="B8" s="43"/>
      <c r="C8" s="43"/>
      <c r="D8" s="43"/>
      <c r="E8" s="43"/>
      <c r="F8" s="43"/>
      <c r="G8" s="43"/>
      <c r="H8" s="43"/>
      <c r="I8" s="43"/>
      <c r="J8" s="43"/>
      <c r="K8" s="43"/>
      <c r="L8" s="43"/>
      <c r="M8" s="43"/>
      <c r="N8" s="288"/>
      <c r="O8" s="315"/>
      <c r="P8" s="315"/>
      <c r="Q8" s="315"/>
    </row>
    <row r="9" spans="1:17" ht="14.25" customHeight="1">
      <c r="A9" s="40" t="str">
        <f>"1.1. Producción de energía eléctrica en "&amp;LOWER(Q4)&amp;" "&amp;Q5&amp;" en comparación al mismo mes del año anterior"</f>
        <v>1.1. Producción de energía eléctrica en junio 2020 en comparación al mismo mes del año anterior</v>
      </c>
      <c r="B9" s="40"/>
      <c r="C9" s="40"/>
      <c r="D9" s="40"/>
      <c r="E9" s="40"/>
      <c r="F9" s="40"/>
      <c r="G9" s="40"/>
      <c r="H9" s="40"/>
      <c r="I9" s="40"/>
      <c r="J9" s="40"/>
      <c r="K9" s="40"/>
      <c r="L9" s="40"/>
      <c r="M9" s="40"/>
      <c r="N9" s="285"/>
      <c r="O9" s="311"/>
      <c r="P9" s="311"/>
      <c r="Q9" s="311"/>
    </row>
    <row r="10" spans="1:17" ht="11.25" customHeight="1">
      <c r="A10" s="47"/>
      <c r="B10" s="44"/>
      <c r="C10" s="44"/>
      <c r="D10" s="44"/>
      <c r="E10" s="44"/>
      <c r="F10" s="44"/>
      <c r="G10" s="44"/>
      <c r="H10" s="44"/>
      <c r="I10" s="44"/>
      <c r="J10" s="44"/>
      <c r="K10" s="44"/>
      <c r="L10" s="44"/>
      <c r="M10" s="44"/>
      <c r="N10" s="287"/>
      <c r="O10" s="313"/>
      <c r="P10" s="313"/>
      <c r="Q10" s="313"/>
    </row>
    <row r="11" spans="1:17" ht="11.25" customHeight="1">
      <c r="A11" s="50"/>
      <c r="B11" s="50"/>
      <c r="C11" s="50"/>
      <c r="D11" s="50"/>
      <c r="E11" s="50"/>
      <c r="F11" s="50"/>
      <c r="G11" s="50"/>
      <c r="H11" s="50"/>
      <c r="I11" s="50"/>
      <c r="J11" s="50"/>
      <c r="K11" s="50"/>
      <c r="L11" s="50"/>
      <c r="M11" s="50"/>
      <c r="N11" s="289"/>
      <c r="O11" s="316"/>
      <c r="P11" s="316"/>
      <c r="Q11" s="316"/>
    </row>
    <row r="12" spans="1:17" ht="26.25" customHeight="1">
      <c r="A12" s="62" t="s">
        <v>23</v>
      </c>
      <c r="B12" s="883" t="s">
        <v>688</v>
      </c>
      <c r="C12" s="883"/>
      <c r="D12" s="883"/>
      <c r="E12" s="883"/>
      <c r="F12" s="883"/>
      <c r="G12" s="883"/>
      <c r="H12" s="883"/>
      <c r="I12" s="883"/>
      <c r="J12" s="883"/>
      <c r="K12" s="883"/>
      <c r="L12" s="883"/>
      <c r="M12" s="883"/>
      <c r="N12" s="287"/>
      <c r="O12" s="313"/>
      <c r="P12" s="313"/>
      <c r="Q12" s="313"/>
    </row>
    <row r="13" spans="1:17" ht="12.75" customHeight="1">
      <c r="A13" s="40"/>
      <c r="B13" s="64"/>
      <c r="C13" s="64"/>
      <c r="D13" s="64"/>
      <c r="E13" s="64"/>
      <c r="F13" s="64"/>
      <c r="G13" s="64"/>
      <c r="H13" s="64"/>
      <c r="I13" s="64"/>
      <c r="J13" s="64"/>
      <c r="K13" s="64"/>
      <c r="L13" s="64"/>
      <c r="M13" s="44"/>
      <c r="N13" s="287"/>
      <c r="O13" s="313"/>
      <c r="P13" s="313"/>
      <c r="Q13" s="313"/>
    </row>
    <row r="14" spans="1:17" ht="28.5" customHeight="1">
      <c r="A14" s="62" t="s">
        <v>23</v>
      </c>
      <c r="B14" s="883" t="s">
        <v>689</v>
      </c>
      <c r="C14" s="883"/>
      <c r="D14" s="883"/>
      <c r="E14" s="883"/>
      <c r="F14" s="883"/>
      <c r="G14" s="883"/>
      <c r="H14" s="883"/>
      <c r="I14" s="883"/>
      <c r="J14" s="883"/>
      <c r="K14" s="883"/>
      <c r="L14" s="883"/>
      <c r="M14" s="883"/>
      <c r="N14" s="287"/>
      <c r="O14" s="313"/>
      <c r="P14" s="313"/>
      <c r="Q14" s="313"/>
    </row>
    <row r="15" spans="1:17" ht="15" customHeight="1">
      <c r="A15" s="63"/>
      <c r="B15" s="64"/>
      <c r="C15" s="64"/>
      <c r="D15" s="64"/>
      <c r="E15" s="64"/>
      <c r="F15" s="64"/>
      <c r="G15" s="64"/>
      <c r="H15" s="64"/>
      <c r="I15" s="64"/>
      <c r="J15" s="64"/>
      <c r="K15" s="64"/>
      <c r="L15" s="64"/>
      <c r="M15" s="44"/>
      <c r="N15" s="287"/>
      <c r="O15" s="313"/>
      <c r="P15" s="313"/>
      <c r="Q15" s="313"/>
    </row>
    <row r="16" spans="1:17" ht="59.25" customHeight="1">
      <c r="A16" s="62" t="s">
        <v>23</v>
      </c>
      <c r="B16" s="883" t="s">
        <v>690</v>
      </c>
      <c r="C16" s="883"/>
      <c r="D16" s="883"/>
      <c r="E16" s="883"/>
      <c r="F16" s="883"/>
      <c r="G16" s="883"/>
      <c r="H16" s="883"/>
      <c r="I16" s="883"/>
      <c r="J16" s="883"/>
      <c r="K16" s="883"/>
      <c r="L16" s="883"/>
      <c r="M16" s="883"/>
      <c r="N16" s="287"/>
      <c r="O16" s="313"/>
      <c r="P16" s="313"/>
      <c r="Q16" s="313"/>
    </row>
    <row r="17" spans="1:18" ht="17.25" customHeight="1">
      <c r="A17" s="44"/>
      <c r="B17" s="44"/>
      <c r="C17" s="44"/>
      <c r="D17" s="44"/>
      <c r="E17" s="44"/>
      <c r="F17" s="44"/>
      <c r="G17" s="44"/>
      <c r="H17" s="44"/>
      <c r="I17" s="44"/>
      <c r="J17" s="44"/>
      <c r="K17" s="44"/>
      <c r="L17" s="44"/>
      <c r="M17" s="44"/>
      <c r="N17" s="287"/>
      <c r="O17" s="313"/>
      <c r="P17" s="313"/>
      <c r="Q17" s="313"/>
    </row>
    <row r="18" spans="1:18" ht="25.5" customHeight="1">
      <c r="A18" s="61" t="s">
        <v>23</v>
      </c>
      <c r="B18" s="882" t="s">
        <v>691</v>
      </c>
      <c r="C18" s="882"/>
      <c r="D18" s="882"/>
      <c r="E18" s="882"/>
      <c r="F18" s="882"/>
      <c r="G18" s="882"/>
      <c r="H18" s="882"/>
      <c r="I18" s="882"/>
      <c r="J18" s="882"/>
      <c r="K18" s="882"/>
      <c r="L18" s="882"/>
      <c r="M18" s="882"/>
      <c r="N18" s="287"/>
      <c r="O18" s="313"/>
      <c r="P18" s="313"/>
      <c r="Q18" s="313"/>
    </row>
    <row r="19" spans="1:18" ht="11.25" customHeight="1">
      <c r="A19" s="44"/>
      <c r="B19" s="44"/>
      <c r="C19" s="44"/>
      <c r="D19" s="44"/>
      <c r="E19" s="44"/>
      <c r="F19" s="44"/>
      <c r="G19" s="44"/>
      <c r="H19" s="44"/>
      <c r="I19" s="44"/>
      <c r="J19" s="44"/>
      <c r="K19" s="44"/>
      <c r="L19" s="44"/>
      <c r="M19" s="44"/>
      <c r="N19" s="287"/>
      <c r="O19" s="313"/>
      <c r="P19" s="313"/>
      <c r="Q19" s="313"/>
    </row>
    <row r="20" spans="1:18" ht="15.75" customHeight="1">
      <c r="A20" s="44"/>
      <c r="B20" s="44"/>
      <c r="C20" s="881" t="str">
        <f>+UPPER(Q4)&amp;" "&amp;Q5</f>
        <v>JUNIO 2020</v>
      </c>
      <c r="D20" s="881"/>
      <c r="E20" s="881"/>
      <c r="F20" s="40"/>
      <c r="G20" s="40"/>
      <c r="H20" s="40"/>
      <c r="I20" s="881" t="str">
        <f>+UPPER(Q4)&amp;" "&amp;Q5-1</f>
        <v>JUNIO 2019</v>
      </c>
      <c r="J20" s="881"/>
      <c r="K20" s="881"/>
      <c r="L20" s="44"/>
      <c r="M20" s="44"/>
      <c r="Q20" s="313"/>
    </row>
    <row r="21" spans="1:18" ht="11.25" customHeight="1">
      <c r="A21" s="44"/>
      <c r="B21" s="44"/>
      <c r="C21" s="44"/>
      <c r="D21" s="44"/>
      <c r="E21" s="44"/>
      <c r="F21" s="44"/>
      <c r="G21" s="44"/>
      <c r="H21" s="44"/>
      <c r="I21" s="44"/>
      <c r="J21" s="44"/>
      <c r="K21" s="44"/>
      <c r="L21" s="44"/>
      <c r="M21" s="44"/>
      <c r="Q21" s="313"/>
    </row>
    <row r="22" spans="1:18" ht="11.25" customHeight="1">
      <c r="A22" s="51"/>
      <c r="B22" s="52"/>
      <c r="C22" s="52"/>
      <c r="D22" s="52"/>
      <c r="E22" s="52"/>
      <c r="F22" s="52"/>
      <c r="G22" s="52"/>
      <c r="H22" s="52"/>
      <c r="I22" s="52"/>
      <c r="J22" s="52"/>
      <c r="K22" s="52"/>
      <c r="L22" s="52"/>
      <c r="M22" s="52"/>
      <c r="N22" s="345" t="s">
        <v>31</v>
      </c>
      <c r="O22" s="743"/>
      <c r="P22" s="743"/>
    </row>
    <row r="23" spans="1:18" ht="11.25" customHeight="1">
      <c r="A23" s="51"/>
      <c r="B23" s="52"/>
      <c r="C23" s="52"/>
      <c r="D23" s="52"/>
      <c r="E23" s="52"/>
      <c r="F23" s="52"/>
      <c r="G23" s="52"/>
      <c r="H23" s="52"/>
      <c r="I23" s="52"/>
      <c r="J23" s="52"/>
      <c r="K23" s="52"/>
      <c r="L23" s="52"/>
      <c r="M23" s="52"/>
      <c r="N23" s="345" t="s">
        <v>24</v>
      </c>
      <c r="O23" s="744">
        <v>2153.3551646150004</v>
      </c>
      <c r="P23" s="744">
        <v>2126.5101631349999</v>
      </c>
      <c r="Q23" s="318"/>
    </row>
    <row r="24" spans="1:18" ht="11.25" customHeight="1">
      <c r="A24" s="44"/>
      <c r="B24" s="44"/>
      <c r="C24" s="44"/>
      <c r="D24" s="44"/>
      <c r="E24" s="43"/>
      <c r="F24" s="44"/>
      <c r="G24" s="44"/>
      <c r="H24" s="44"/>
      <c r="I24" s="44"/>
      <c r="J24" s="44"/>
      <c r="K24" s="44"/>
      <c r="L24" s="44"/>
      <c r="M24" s="43"/>
      <c r="N24" s="346" t="s">
        <v>25</v>
      </c>
      <c r="O24" s="745">
        <v>1364.5182918550006</v>
      </c>
      <c r="P24" s="745">
        <v>1934.2168367825004</v>
      </c>
      <c r="Q24" s="317"/>
      <c r="R24" s="317"/>
    </row>
    <row r="25" spans="1:18" ht="11.25" customHeight="1">
      <c r="A25" s="44"/>
      <c r="B25" s="44"/>
      <c r="C25" s="44"/>
      <c r="D25" s="44"/>
      <c r="E25" s="44"/>
      <c r="F25" s="44"/>
      <c r="G25" s="44"/>
      <c r="H25" s="44"/>
      <c r="I25" s="44"/>
      <c r="J25" s="53"/>
      <c r="K25" s="53"/>
      <c r="L25" s="44"/>
      <c r="M25" s="44"/>
      <c r="N25" s="346" t="s">
        <v>26</v>
      </c>
      <c r="O25" s="745">
        <v>0</v>
      </c>
      <c r="P25" s="745">
        <v>0</v>
      </c>
      <c r="Q25" s="319"/>
    </row>
    <row r="26" spans="1:18" ht="11.25" customHeight="1">
      <c r="A26" s="44"/>
      <c r="B26" s="44"/>
      <c r="C26" s="44"/>
      <c r="D26" s="44"/>
      <c r="E26" s="44"/>
      <c r="F26" s="44"/>
      <c r="G26" s="44"/>
      <c r="H26" s="44"/>
      <c r="I26" s="44"/>
      <c r="J26" s="53"/>
      <c r="K26" s="53"/>
      <c r="L26" s="44"/>
      <c r="M26" s="44"/>
      <c r="N26" s="345" t="s">
        <v>27</v>
      </c>
      <c r="O26" s="744">
        <v>2.45639E-2</v>
      </c>
      <c r="P26" s="744">
        <v>5.7228150250000001</v>
      </c>
      <c r="Q26" s="319"/>
    </row>
    <row r="27" spans="1:18" ht="11.25" customHeight="1">
      <c r="A27" s="44"/>
      <c r="B27" s="44"/>
      <c r="C27" s="44"/>
      <c r="D27" s="44"/>
      <c r="E27" s="44"/>
      <c r="F27" s="44"/>
      <c r="G27" s="44"/>
      <c r="H27" s="44"/>
      <c r="I27" s="44"/>
      <c r="J27" s="53"/>
      <c r="K27" s="44"/>
      <c r="L27" s="44"/>
      <c r="M27" s="44"/>
      <c r="N27" s="345" t="s">
        <v>28</v>
      </c>
      <c r="O27" s="744">
        <v>21.865095594999996</v>
      </c>
      <c r="P27" s="744">
        <v>22.254032505000001</v>
      </c>
      <c r="Q27" s="319"/>
    </row>
    <row r="28" spans="1:18" ht="11.25" customHeight="1">
      <c r="A28" s="44"/>
      <c r="B28" s="44"/>
      <c r="C28" s="53"/>
      <c r="D28" s="53"/>
      <c r="E28" s="53"/>
      <c r="F28" s="53"/>
      <c r="G28" s="53"/>
      <c r="H28" s="53"/>
      <c r="I28" s="53"/>
      <c r="J28" s="53"/>
      <c r="K28" s="53"/>
      <c r="L28" s="44"/>
      <c r="M28" s="44"/>
      <c r="N28" s="345" t="s">
        <v>29</v>
      </c>
      <c r="O28" s="744">
        <v>161.8844647825</v>
      </c>
      <c r="P28" s="744">
        <v>147.78231510000001</v>
      </c>
      <c r="Q28" s="319"/>
    </row>
    <row r="29" spans="1:18" ht="11.25" customHeight="1">
      <c r="A29" s="44"/>
      <c r="B29" s="44"/>
      <c r="C29" s="53"/>
      <c r="D29" s="53"/>
      <c r="E29" s="53"/>
      <c r="F29" s="53"/>
      <c r="G29" s="53"/>
      <c r="H29" s="53"/>
      <c r="I29" s="53"/>
      <c r="J29" s="53"/>
      <c r="K29" s="53"/>
      <c r="L29" s="44"/>
      <c r="M29" s="44"/>
      <c r="N29" s="345" t="s">
        <v>30</v>
      </c>
      <c r="O29" s="744">
        <v>55.064190197499997</v>
      </c>
      <c r="P29" s="744">
        <v>52.871938625000006</v>
      </c>
      <c r="Q29" s="319"/>
    </row>
    <row r="30" spans="1:18" ht="11.25" customHeight="1">
      <c r="A30" s="44"/>
      <c r="B30" s="44"/>
      <c r="C30" s="53"/>
      <c r="D30" s="53"/>
      <c r="E30" s="53"/>
      <c r="F30" s="53"/>
      <c r="G30" s="53"/>
      <c r="H30" s="53"/>
      <c r="I30" s="53"/>
      <c r="J30" s="53"/>
      <c r="K30" s="53"/>
      <c r="L30" s="44"/>
      <c r="M30" s="44"/>
      <c r="N30" s="345"/>
      <c r="O30" s="319"/>
      <c r="P30" s="319"/>
      <c r="Q30" s="319"/>
    </row>
    <row r="31" spans="1:18" ht="11.25" customHeight="1">
      <c r="A31" s="44"/>
      <c r="B31" s="44"/>
      <c r="C31" s="53"/>
      <c r="D31" s="53"/>
      <c r="E31" s="53"/>
      <c r="F31" s="53"/>
      <c r="G31" s="53"/>
      <c r="H31" s="53"/>
      <c r="I31" s="53"/>
      <c r="J31" s="53"/>
      <c r="K31" s="53"/>
      <c r="L31" s="44"/>
      <c r="M31" s="44"/>
      <c r="O31" s="367"/>
      <c r="P31" s="367"/>
      <c r="Q31" s="368"/>
    </row>
    <row r="32" spans="1:18" ht="11.25" customHeight="1">
      <c r="A32" s="44"/>
      <c r="B32" s="44"/>
      <c r="C32" s="53"/>
      <c r="D32" s="53"/>
      <c r="E32" s="53"/>
      <c r="F32" s="53"/>
      <c r="G32" s="53"/>
      <c r="H32" s="53"/>
      <c r="I32" s="53"/>
      <c r="J32" s="53"/>
      <c r="K32" s="53"/>
      <c r="L32" s="44"/>
      <c r="M32" s="44"/>
      <c r="Q32" s="313"/>
    </row>
    <row r="33" spans="1:17" ht="11.25" customHeight="1">
      <c r="A33" s="44"/>
      <c r="B33" s="44"/>
      <c r="C33" s="53"/>
      <c r="D33" s="53"/>
      <c r="E33" s="53"/>
      <c r="F33" s="53"/>
      <c r="G33" s="53"/>
      <c r="H33" s="53"/>
      <c r="I33" s="53"/>
      <c r="J33" s="53"/>
      <c r="K33" s="53"/>
      <c r="L33" s="44"/>
      <c r="M33" s="44"/>
      <c r="Q33" s="313"/>
    </row>
    <row r="34" spans="1:17" ht="11.25" customHeight="1">
      <c r="A34" s="44"/>
      <c r="B34" s="44"/>
      <c r="C34" s="53"/>
      <c r="D34" s="53"/>
      <c r="E34" s="53"/>
      <c r="F34" s="53"/>
      <c r="G34" s="53"/>
      <c r="H34" s="53"/>
      <c r="I34" s="53"/>
      <c r="J34" s="53"/>
      <c r="K34" s="53"/>
      <c r="L34" s="44"/>
      <c r="M34" s="44"/>
      <c r="Q34" s="313"/>
    </row>
    <row r="35" spans="1:17" ht="11.25" customHeight="1">
      <c r="A35" s="54"/>
      <c r="B35" s="54"/>
      <c r="C35" s="55"/>
      <c r="D35" s="55"/>
      <c r="E35" s="55"/>
      <c r="F35" s="55"/>
      <c r="G35" s="55"/>
      <c r="H35" s="55"/>
      <c r="I35" s="55"/>
      <c r="J35" s="54"/>
      <c r="K35" s="54"/>
      <c r="L35" s="54"/>
      <c r="M35" s="54"/>
      <c r="Q35" s="313"/>
    </row>
    <row r="36" spans="1:17" ht="11.25" customHeight="1">
      <c r="A36" s="54"/>
      <c r="B36" s="54"/>
      <c r="C36" s="55"/>
      <c r="D36" s="55"/>
      <c r="E36" s="55"/>
      <c r="F36" s="55"/>
      <c r="G36" s="55"/>
      <c r="H36" s="55"/>
      <c r="I36" s="55"/>
      <c r="J36" s="54"/>
      <c r="K36" s="54"/>
      <c r="L36" s="54"/>
      <c r="M36" s="54"/>
      <c r="Q36" s="313"/>
    </row>
    <row r="37" spans="1:17" ht="11.25" customHeight="1">
      <c r="A37" s="54"/>
      <c r="B37" s="54"/>
      <c r="C37" s="55"/>
      <c r="D37" s="55"/>
      <c r="E37" s="55"/>
      <c r="F37" s="55"/>
      <c r="G37" s="55"/>
      <c r="H37" s="55"/>
      <c r="I37" s="55"/>
      <c r="J37" s="54"/>
      <c r="K37" s="54"/>
      <c r="L37" s="54"/>
      <c r="M37" s="54"/>
      <c r="N37" s="287"/>
      <c r="O37" s="313"/>
      <c r="P37" s="313"/>
      <c r="Q37" s="313"/>
    </row>
    <row r="38" spans="1:17" ht="11.25" customHeight="1">
      <c r="A38" s="54"/>
      <c r="B38" s="54"/>
      <c r="C38" s="55"/>
      <c r="D38" s="55"/>
      <c r="E38" s="55"/>
      <c r="F38" s="55"/>
      <c r="G38" s="55"/>
      <c r="H38" s="55"/>
      <c r="I38" s="55"/>
      <c r="J38" s="54"/>
      <c r="K38" s="54"/>
      <c r="L38" s="54"/>
      <c r="M38" s="54"/>
      <c r="N38" s="287"/>
      <c r="O38" s="313"/>
      <c r="P38" s="313"/>
      <c r="Q38" s="313"/>
    </row>
    <row r="39" spans="1:17" ht="11.25" customHeight="1">
      <c r="A39" s="54"/>
      <c r="B39" s="54"/>
      <c r="C39" s="55"/>
      <c r="D39" s="55"/>
      <c r="E39" s="55"/>
      <c r="F39" s="55"/>
      <c r="G39" s="55"/>
      <c r="H39" s="55"/>
      <c r="I39" s="55"/>
      <c r="J39" s="54"/>
      <c r="K39" s="54"/>
      <c r="L39" s="54"/>
      <c r="M39" s="54"/>
      <c r="N39" s="287"/>
      <c r="O39" s="313"/>
      <c r="P39" s="313"/>
      <c r="Q39" s="313"/>
    </row>
    <row r="40" spans="1:17" ht="11.25" customHeight="1">
      <c r="A40" s="54"/>
      <c r="B40" s="54"/>
      <c r="C40" s="55"/>
      <c r="D40" s="55"/>
      <c r="E40" s="55"/>
      <c r="F40" s="55"/>
      <c r="G40" s="55"/>
      <c r="H40" s="55"/>
      <c r="I40" s="55"/>
      <c r="J40" s="54"/>
      <c r="K40" s="54"/>
      <c r="L40" s="54"/>
      <c r="M40" s="54"/>
      <c r="N40" s="287"/>
      <c r="O40" s="313"/>
      <c r="P40" s="313"/>
      <c r="Q40" s="313"/>
    </row>
    <row r="41" spans="1:17" ht="11.25" customHeight="1">
      <c r="A41" s="54"/>
      <c r="B41" s="54"/>
      <c r="C41" s="54"/>
      <c r="D41" s="55"/>
      <c r="E41" s="55"/>
      <c r="F41" s="55"/>
      <c r="G41" s="55"/>
      <c r="H41" s="54"/>
      <c r="I41" s="54"/>
      <c r="J41" s="54"/>
      <c r="K41" s="54"/>
      <c r="L41" s="54"/>
      <c r="M41" s="54"/>
      <c r="N41" s="287"/>
      <c r="O41" s="313"/>
      <c r="P41" s="313"/>
      <c r="Q41" s="313"/>
    </row>
    <row r="42" spans="1:17" ht="11.25" customHeight="1">
      <c r="A42" s="54"/>
      <c r="B42" s="54"/>
      <c r="C42" s="55"/>
      <c r="D42" s="55"/>
      <c r="E42" s="55"/>
      <c r="F42" s="55"/>
      <c r="G42" s="55"/>
      <c r="H42" s="55"/>
      <c r="I42" s="55"/>
      <c r="J42" s="54"/>
      <c r="K42" s="54"/>
      <c r="L42" s="54"/>
      <c r="M42" s="54"/>
      <c r="N42" s="287"/>
      <c r="O42" s="313"/>
      <c r="P42" s="313"/>
      <c r="Q42" s="313"/>
    </row>
    <row r="43" spans="1:17" ht="11.25" customHeight="1">
      <c r="A43" s="54"/>
      <c r="B43" s="54"/>
      <c r="C43" s="55"/>
      <c r="D43" s="55"/>
      <c r="E43" s="55"/>
      <c r="F43" s="55"/>
      <c r="G43" s="55"/>
      <c r="H43" s="55"/>
      <c r="I43" s="55"/>
      <c r="J43" s="54"/>
      <c r="K43" s="54"/>
      <c r="L43" s="54"/>
      <c r="M43" s="54"/>
      <c r="N43" s="287"/>
      <c r="O43" s="313"/>
      <c r="P43" s="313"/>
      <c r="Q43" s="313"/>
    </row>
    <row r="44" spans="1:17" ht="11.25" customHeight="1">
      <c r="A44" s="54"/>
      <c r="B44" s="54"/>
      <c r="C44" s="55"/>
      <c r="D44" s="55"/>
      <c r="E44" s="55"/>
      <c r="F44" s="55"/>
      <c r="G44" s="55"/>
      <c r="H44" s="55"/>
      <c r="I44" s="55"/>
      <c r="J44" s="54"/>
      <c r="K44" s="54"/>
      <c r="L44" s="54"/>
      <c r="M44" s="54"/>
      <c r="N44" s="287"/>
      <c r="O44" s="313"/>
      <c r="P44" s="313"/>
      <c r="Q44" s="313"/>
    </row>
    <row r="45" spans="1:17" ht="11.25" customHeight="1">
      <c r="A45" s="54"/>
      <c r="B45" s="54"/>
      <c r="C45" s="55"/>
      <c r="D45" s="55"/>
      <c r="E45" s="55"/>
      <c r="F45" s="55"/>
      <c r="G45" s="55"/>
      <c r="H45" s="55"/>
      <c r="I45" s="55"/>
      <c r="J45" s="54"/>
      <c r="K45" s="54"/>
      <c r="L45" s="54"/>
      <c r="M45" s="54"/>
      <c r="N45" s="287"/>
      <c r="O45" s="313"/>
      <c r="P45" s="313"/>
      <c r="Q45" s="313"/>
    </row>
    <row r="46" spans="1:17" ht="11.25" customHeight="1">
      <c r="A46" s="54"/>
      <c r="B46" s="54"/>
      <c r="C46" s="54"/>
      <c r="D46" s="54"/>
      <c r="E46" s="54"/>
      <c r="F46" s="54"/>
      <c r="G46" s="54"/>
      <c r="H46" s="54"/>
      <c r="I46" s="54"/>
      <c r="J46" s="54"/>
      <c r="K46" s="54"/>
      <c r="L46" s="54"/>
      <c r="M46" s="54"/>
      <c r="N46" s="287"/>
      <c r="O46" s="313"/>
      <c r="P46" s="313"/>
      <c r="Q46" s="313"/>
    </row>
    <row r="47" spans="1:17" ht="16.5" customHeight="1">
      <c r="A47" s="54"/>
      <c r="B47" s="880" t="str">
        <f>"Total = "&amp;TEXT(ROUND(SUM(O23:O29),2),"0 000,00")&amp;" GWh"</f>
        <v>Total = 3 756,71 GWh</v>
      </c>
      <c r="C47" s="880"/>
      <c r="D47" s="880"/>
      <c r="E47" s="880"/>
      <c r="F47" s="54"/>
      <c r="G47" s="54"/>
      <c r="H47" s="879" t="str">
        <f>"Total = "&amp;TEXT(ROUND(SUM(P23:P29),2),"0 000,00")&amp;" GWh"</f>
        <v>Total = 4 289,36 GWh</v>
      </c>
      <c r="I47" s="879"/>
      <c r="J47" s="879"/>
      <c r="K47" s="879"/>
      <c r="L47" s="54"/>
      <c r="M47" s="54"/>
      <c r="N47" s="287"/>
      <c r="O47" s="313"/>
      <c r="P47" s="313"/>
      <c r="Q47" s="313"/>
    </row>
    <row r="48" spans="1:17" ht="11.25" customHeight="1">
      <c r="H48" s="54"/>
      <c r="I48" s="54"/>
      <c r="J48" s="54"/>
      <c r="K48" s="54"/>
      <c r="L48" s="54"/>
      <c r="M48" s="54"/>
      <c r="N48" s="287"/>
      <c r="O48" s="313"/>
      <c r="P48" s="313"/>
      <c r="Q48" s="313"/>
    </row>
    <row r="49" spans="1:17" ht="11.25" customHeight="1">
      <c r="B49" s="878" t="str">
        <f>"Gráfico 1: Comparación de producción mensual de electricidad en "&amp;Q4&amp;" por tipo de recurso energético."</f>
        <v>Gráfico 1: Comparación de producción mensual de electricidad en junio por tipo de recurso energético.</v>
      </c>
      <c r="C49" s="878"/>
      <c r="D49" s="878"/>
      <c r="E49" s="878"/>
      <c r="F49" s="878"/>
      <c r="G49" s="878"/>
      <c r="H49" s="878"/>
      <c r="I49" s="878"/>
      <c r="J49" s="878"/>
      <c r="K49" s="878"/>
      <c r="L49" s="878"/>
      <c r="M49" s="236"/>
      <c r="N49" s="290"/>
      <c r="O49" s="313"/>
      <c r="P49" s="313"/>
      <c r="Q49" s="313"/>
    </row>
    <row r="50" spans="1:17" ht="11.25" customHeight="1">
      <c r="B50" s="819"/>
      <c r="C50" s="819"/>
      <c r="D50" s="819"/>
      <c r="E50" s="819"/>
      <c r="F50" s="819"/>
      <c r="G50" s="819"/>
      <c r="H50" s="819"/>
      <c r="I50" s="819"/>
      <c r="J50" s="819"/>
      <c r="K50" s="819"/>
      <c r="L50" s="819"/>
      <c r="M50" s="236"/>
      <c r="N50" s="290"/>
      <c r="O50" s="313"/>
      <c r="P50" s="313"/>
      <c r="Q50" s="313"/>
    </row>
    <row r="51" spans="1:17" ht="21.75" customHeight="1">
      <c r="B51" s="875"/>
      <c r="C51" s="876"/>
      <c r="D51" s="876"/>
      <c r="E51" s="876"/>
      <c r="F51" s="876"/>
      <c r="G51" s="876"/>
      <c r="H51" s="876"/>
      <c r="I51" s="876"/>
      <c r="J51" s="876"/>
      <c r="K51" s="876"/>
      <c r="L51" s="876"/>
      <c r="M51" s="876"/>
      <c r="N51" s="290"/>
      <c r="O51" s="313"/>
      <c r="P51" s="313"/>
      <c r="Q51" s="313"/>
    </row>
    <row r="52" spans="1:17" ht="11.25" customHeight="1">
      <c r="A52" s="54"/>
      <c r="B52" s="54"/>
      <c r="C52" s="45"/>
      <c r="D52" s="45"/>
      <c r="E52" s="54"/>
      <c r="F52" s="54"/>
      <c r="G52" s="54"/>
      <c r="H52" s="54"/>
      <c r="I52" s="54"/>
      <c r="J52" s="54"/>
      <c r="K52" s="54"/>
      <c r="L52" s="54"/>
      <c r="M52" s="54"/>
      <c r="N52" s="287"/>
      <c r="O52" s="313"/>
      <c r="P52" s="313"/>
      <c r="Q52" s="313"/>
    </row>
    <row r="53" spans="1:17" ht="11.25" customHeight="1">
      <c r="A53" s="54"/>
      <c r="B53" s="54"/>
      <c r="C53" s="54"/>
      <c r="D53" s="54"/>
      <c r="E53" s="54"/>
      <c r="F53" s="54"/>
      <c r="G53" s="54"/>
      <c r="H53" s="54"/>
      <c r="I53" s="54"/>
      <c r="J53" s="54"/>
      <c r="K53" s="54"/>
      <c r="L53" s="54"/>
      <c r="M53" s="54"/>
      <c r="N53" s="287"/>
      <c r="O53" s="313"/>
      <c r="P53" s="313"/>
      <c r="Q53" s="313"/>
    </row>
    <row r="54" spans="1:17" ht="11.25" customHeight="1">
      <c r="A54" s="54"/>
      <c r="B54" s="54"/>
      <c r="C54" s="54"/>
      <c r="D54" s="54"/>
      <c r="E54" s="54"/>
      <c r="F54" s="54"/>
      <c r="G54" s="54"/>
      <c r="H54" s="54"/>
      <c r="I54" s="54"/>
      <c r="J54" s="54"/>
      <c r="K54" s="54"/>
      <c r="L54" s="54"/>
      <c r="M54" s="54"/>
      <c r="N54" s="287"/>
      <c r="O54" s="313"/>
      <c r="P54" s="313"/>
      <c r="Q54" s="313"/>
    </row>
    <row r="55" spans="1:17" ht="11.25" customHeight="1">
      <c r="A55" s="54"/>
      <c r="B55" s="54"/>
      <c r="C55" s="54"/>
      <c r="D55" s="54"/>
      <c r="E55" s="54"/>
      <c r="F55" s="54"/>
      <c r="G55" s="54"/>
      <c r="H55" s="54"/>
      <c r="I55" s="54"/>
      <c r="J55" s="54"/>
      <c r="K55" s="54"/>
      <c r="L55" s="54"/>
      <c r="M55" s="54"/>
      <c r="N55" s="287"/>
      <c r="O55" s="313"/>
      <c r="P55" s="313"/>
      <c r="Q55" s="313"/>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Junio 2020
INFSGI-MES-06-2020
13/07/2020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57"/>
  <sheetViews>
    <sheetView showGridLines="0" view="pageBreakPreview" zoomScaleNormal="100" zoomScaleSheetLayoutView="100" zoomScalePageLayoutView="110" workbookViewId="0">
      <selection activeCell="N65" sqref="N6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1" ht="16.5" customHeight="1">
      <c r="A2" s="890" t="s">
        <v>469</v>
      </c>
      <c r="B2" s="890"/>
      <c r="C2" s="890"/>
      <c r="D2" s="890"/>
      <c r="E2" s="890"/>
      <c r="F2" s="890"/>
      <c r="G2" s="890"/>
      <c r="H2" s="890"/>
      <c r="I2" s="890"/>
      <c r="J2" s="890"/>
      <c r="K2" s="528"/>
    </row>
    <row r="3" spans="1:11" ht="12" customHeight="1">
      <c r="A3" s="137"/>
      <c r="B3" s="209"/>
      <c r="C3" s="220"/>
      <c r="D3" s="221"/>
      <c r="E3" s="221"/>
      <c r="F3" s="222"/>
      <c r="G3" s="223"/>
      <c r="H3" s="223"/>
      <c r="I3" s="172"/>
      <c r="J3" s="222"/>
    </row>
    <row r="4" spans="1:11" ht="11.25" customHeight="1">
      <c r="A4" s="187" t="s">
        <v>448</v>
      </c>
      <c r="B4" s="209"/>
      <c r="C4" s="220"/>
      <c r="D4" s="221"/>
      <c r="E4" s="221"/>
      <c r="F4" s="222"/>
      <c r="G4" s="223"/>
      <c r="H4" s="223"/>
      <c r="I4" s="172"/>
      <c r="J4" s="222"/>
      <c r="K4" s="334"/>
    </row>
    <row r="5" spans="1:11" ht="11.25" customHeight="1">
      <c r="A5" s="187"/>
      <c r="B5" s="209"/>
      <c r="C5" s="220"/>
      <c r="D5" s="221"/>
      <c r="E5" s="221"/>
      <c r="F5" s="222"/>
      <c r="G5" s="223"/>
      <c r="H5" s="223"/>
      <c r="I5" s="172"/>
      <c r="J5" s="222"/>
      <c r="K5" s="334"/>
    </row>
    <row r="6" spans="1:11" ht="15" customHeight="1">
      <c r="A6" s="137" t="s">
        <v>682</v>
      </c>
      <c r="B6" s="209"/>
      <c r="C6" s="220"/>
      <c r="D6" s="221"/>
      <c r="E6" s="221"/>
      <c r="F6" s="222"/>
      <c r="G6" s="223"/>
      <c r="H6" s="223"/>
      <c r="I6" s="172"/>
      <c r="J6" s="222"/>
      <c r="K6" s="334"/>
    </row>
    <row r="7" spans="1:11" ht="20.25" hidden="1" customHeight="1">
      <c r="A7" s="782"/>
      <c r="B7" s="783"/>
      <c r="C7" s="783"/>
      <c r="D7" s="783"/>
      <c r="E7" s="783"/>
      <c r="F7" s="784"/>
      <c r="G7" s="785"/>
      <c r="H7" s="784"/>
      <c r="I7" s="785"/>
      <c r="J7" s="785"/>
      <c r="K7" s="529"/>
    </row>
    <row r="8" spans="1:11" s="224" customFormat="1" ht="21" hidden="1" customHeight="1">
      <c r="A8" s="786"/>
      <c r="B8" s="787"/>
      <c r="C8" s="787"/>
      <c r="D8" s="787"/>
      <c r="E8" s="787"/>
      <c r="F8" s="788"/>
      <c r="G8" s="789"/>
      <c r="H8" s="790"/>
      <c r="I8" s="790"/>
      <c r="J8" s="791"/>
      <c r="K8" s="530"/>
    </row>
    <row r="9" spans="1:11" s="224" customFormat="1" ht="21" hidden="1" customHeight="1">
      <c r="A9" s="786"/>
      <c r="B9" s="787"/>
      <c r="C9" s="787"/>
      <c r="D9" s="787"/>
      <c r="E9" s="787"/>
      <c r="F9" s="788"/>
      <c r="G9" s="789"/>
      <c r="H9" s="790"/>
      <c r="I9" s="790"/>
      <c r="J9" s="791"/>
      <c r="K9" s="530"/>
    </row>
    <row r="10" spans="1:11" s="224" customFormat="1" ht="28.5" hidden="1" customHeight="1">
      <c r="A10" s="786"/>
      <c r="B10" s="787"/>
      <c r="C10" s="787"/>
      <c r="D10" s="787"/>
      <c r="E10" s="787"/>
      <c r="F10" s="788"/>
      <c r="G10" s="789"/>
      <c r="H10" s="790"/>
      <c r="I10" s="790"/>
      <c r="J10" s="791"/>
      <c r="K10" s="530"/>
    </row>
    <row r="11" spans="1:11" s="224" customFormat="1" ht="28.5" hidden="1" customHeight="1">
      <c r="A11" s="786"/>
      <c r="B11" s="787"/>
      <c r="C11" s="787"/>
      <c r="D11" s="787"/>
      <c r="E11" s="787"/>
      <c r="F11" s="788"/>
      <c r="G11" s="789"/>
      <c r="H11" s="790"/>
      <c r="I11" s="790"/>
      <c r="J11" s="791"/>
      <c r="K11" s="530"/>
    </row>
    <row r="12" spans="1:11" s="224" customFormat="1" ht="36.75" hidden="1" customHeight="1">
      <c r="A12" s="786"/>
      <c r="B12" s="787"/>
      <c r="C12" s="787"/>
      <c r="D12" s="787"/>
      <c r="E12" s="787"/>
      <c r="F12" s="788"/>
      <c r="G12" s="789"/>
      <c r="H12" s="790"/>
      <c r="I12" s="790"/>
      <c r="J12" s="791"/>
      <c r="K12" s="530"/>
    </row>
    <row r="13" spans="1:11" s="224" customFormat="1" ht="24.75" hidden="1" customHeight="1">
      <c r="A13" s="786"/>
      <c r="B13" s="787"/>
      <c r="C13" s="787"/>
      <c r="D13" s="787"/>
      <c r="E13" s="787"/>
      <c r="F13" s="788"/>
      <c r="G13" s="789"/>
      <c r="H13" s="790"/>
      <c r="I13" s="790"/>
      <c r="J13" s="791"/>
      <c r="K13" s="530"/>
    </row>
    <row r="14" spans="1:11" s="224" customFormat="1" ht="24.75" hidden="1" customHeight="1">
      <c r="A14" s="786"/>
      <c r="B14" s="787"/>
      <c r="C14" s="787"/>
      <c r="D14" s="787"/>
      <c r="E14" s="787"/>
      <c r="F14" s="788"/>
      <c r="G14" s="789"/>
      <c r="H14" s="790"/>
      <c r="I14" s="790"/>
      <c r="J14" s="791"/>
      <c r="K14" s="530"/>
    </row>
    <row r="15" spans="1:11" s="224" customFormat="1" ht="30.75" hidden="1" customHeight="1">
      <c r="A15" s="786"/>
      <c r="B15" s="787"/>
      <c r="C15" s="787"/>
      <c r="D15" s="787"/>
      <c r="E15" s="787"/>
      <c r="F15" s="788"/>
      <c r="G15" s="789"/>
      <c r="H15" s="790"/>
      <c r="I15" s="790"/>
      <c r="J15" s="791"/>
      <c r="K15" s="530"/>
    </row>
    <row r="16" spans="1:11" s="224" customFormat="1" ht="30.75" hidden="1" customHeight="1">
      <c r="A16" s="786"/>
      <c r="B16" s="787"/>
      <c r="C16" s="787"/>
      <c r="D16" s="787"/>
      <c r="E16" s="787"/>
      <c r="F16" s="788"/>
      <c r="G16" s="789"/>
      <c r="H16" s="790"/>
      <c r="I16" s="790"/>
      <c r="J16" s="791"/>
      <c r="K16" s="530"/>
    </row>
    <row r="17" spans="1:13" ht="11.25" hidden="1" customHeight="1">
      <c r="A17" s="792"/>
      <c r="B17" s="793"/>
      <c r="C17" s="793"/>
      <c r="D17" s="793"/>
      <c r="E17" s="794"/>
      <c r="F17" s="795"/>
      <c r="G17" s="796"/>
      <c r="H17" s="797"/>
      <c r="I17" s="797"/>
      <c r="J17" s="798"/>
      <c r="K17" s="531"/>
      <c r="L17" s="532"/>
    </row>
    <row r="18" spans="1:13" ht="13.5" hidden="1" customHeight="1">
      <c r="A18" s="659"/>
      <c r="B18" s="132"/>
      <c r="C18" s="132"/>
      <c r="D18" s="132"/>
      <c r="E18" s="132"/>
      <c r="F18" s="132"/>
      <c r="G18" s="132"/>
      <c r="H18" s="132"/>
      <c r="I18" s="132"/>
      <c r="J18" s="132"/>
      <c r="K18" s="531"/>
    </row>
    <row r="19" spans="1:13" ht="11.25" hidden="1" customHeight="1">
      <c r="A19" s="899"/>
      <c r="B19" s="899"/>
      <c r="C19" s="899"/>
      <c r="D19" s="899"/>
      <c r="E19" s="899"/>
      <c r="F19" s="899"/>
      <c r="G19" s="899"/>
      <c r="H19" s="899"/>
      <c r="I19" s="899"/>
      <c r="J19" s="899"/>
      <c r="K19" s="531"/>
    </row>
    <row r="20" spans="1:13" ht="11.25" hidden="1" customHeight="1">
      <c r="A20" s="407"/>
      <c r="B20" s="407"/>
      <c r="C20" s="407"/>
      <c r="D20" s="407"/>
      <c r="E20" s="407"/>
      <c r="F20" s="407"/>
      <c r="G20" s="407"/>
      <c r="H20" s="407"/>
      <c r="I20" s="407"/>
      <c r="J20" s="407"/>
      <c r="K20" s="531"/>
      <c r="M20" s="532"/>
    </row>
    <row r="21" spans="1:13" ht="12.75" hidden="1" customHeight="1">
      <c r="A21" s="900"/>
      <c r="B21" s="900"/>
      <c r="C21" s="900"/>
      <c r="D21" s="900"/>
      <c r="E21" s="900"/>
      <c r="F21" s="900"/>
      <c r="G21" s="900"/>
      <c r="H21" s="900"/>
      <c r="I21" s="900"/>
      <c r="J21" s="900"/>
      <c r="K21" s="531"/>
      <c r="M21" s="532"/>
    </row>
    <row r="22" spans="1:13" ht="11.25" hidden="1" customHeight="1">
      <c r="A22" s="900"/>
      <c r="B22" s="900"/>
      <c r="C22" s="900"/>
      <c r="D22" s="900"/>
      <c r="E22" s="900"/>
      <c r="F22" s="900"/>
      <c r="G22" s="900"/>
      <c r="H22" s="900"/>
      <c r="I22" s="900"/>
      <c r="J22" s="900"/>
      <c r="K22" s="531"/>
      <c r="M22" s="532"/>
    </row>
    <row r="23" spans="1:13" ht="15" hidden="1" customHeight="1">
      <c r="A23" s="228"/>
      <c r="B23" s="225"/>
      <c r="C23" s="225"/>
      <c r="D23" s="225"/>
      <c r="E23" s="225"/>
      <c r="F23" s="225"/>
      <c r="G23" s="225"/>
      <c r="H23" s="229"/>
      <c r="I23" s="229"/>
      <c r="J23" s="229"/>
      <c r="K23" s="531"/>
    </row>
    <row r="24" spans="1:13" ht="11.25" hidden="1" customHeight="1">
      <c r="A24" s="228"/>
      <c r="B24" s="225"/>
      <c r="C24" s="225"/>
      <c r="D24" s="225"/>
      <c r="E24" s="225"/>
      <c r="F24" s="225"/>
      <c r="G24" s="225"/>
      <c r="H24" s="227"/>
      <c r="I24" s="227" t="s">
        <v>8</v>
      </c>
      <c r="J24" s="227"/>
      <c r="K24" s="531"/>
    </row>
    <row r="25" spans="1:13" ht="11.25" hidden="1" customHeight="1">
      <c r="A25" s="228"/>
      <c r="B25" s="225"/>
      <c r="C25" s="225"/>
      <c r="D25" s="225"/>
      <c r="E25" s="225"/>
      <c r="F25" s="225"/>
      <c r="G25" s="225"/>
      <c r="H25" s="227"/>
      <c r="I25" s="227"/>
      <c r="J25" s="227"/>
      <c r="K25" s="531"/>
    </row>
    <row r="26" spans="1:13" ht="11.25" hidden="1" customHeight="1">
      <c r="A26" s="228"/>
      <c r="B26" s="225"/>
      <c r="C26" s="225"/>
      <c r="D26" s="225"/>
      <c r="E26" s="225"/>
      <c r="F26" s="225"/>
      <c r="G26" s="225"/>
      <c r="H26" s="227"/>
      <c r="I26" s="227"/>
      <c r="J26" s="227"/>
      <c r="K26" s="531"/>
    </row>
    <row r="27" spans="1:13" ht="9" hidden="1" customHeight="1">
      <c r="A27" s="230"/>
      <c r="B27" s="152"/>
      <c r="C27" s="152"/>
      <c r="D27" s="152"/>
      <c r="E27" s="152"/>
      <c r="F27" s="152"/>
      <c r="G27" s="152"/>
      <c r="H27" s="231"/>
      <c r="I27" s="231"/>
      <c r="J27" s="231"/>
      <c r="K27" s="531"/>
    </row>
    <row r="28" spans="1:13" ht="9" hidden="1" customHeight="1">
      <c r="A28" s="232"/>
      <c r="B28" s="175"/>
      <c r="C28" s="175"/>
      <c r="D28" s="138"/>
      <c r="E28" s="138"/>
      <c r="F28" s="138"/>
      <c r="G28" s="138"/>
      <c r="H28" s="225"/>
      <c r="I28" s="225"/>
      <c r="J28" s="225"/>
      <c r="K28" s="531"/>
    </row>
    <row r="29" spans="1:13" ht="9" hidden="1" customHeight="1">
      <c r="A29" s="214"/>
      <c r="B29" s="138"/>
      <c r="C29" s="138"/>
      <c r="D29" s="138"/>
      <c r="E29" s="138"/>
      <c r="F29" s="138"/>
      <c r="G29" s="138"/>
      <c r="H29" s="225"/>
      <c r="I29" s="225"/>
      <c r="J29" s="225"/>
      <c r="K29" s="531"/>
    </row>
    <row r="30" spans="1:13" ht="11.25" hidden="1" customHeight="1">
      <c r="A30" s="214"/>
      <c r="B30" s="138"/>
      <c r="C30" s="138"/>
      <c r="D30" s="138"/>
      <c r="E30" s="138"/>
      <c r="F30" s="138"/>
      <c r="G30" s="138"/>
      <c r="H30" s="225"/>
      <c r="I30" s="225"/>
      <c r="J30" s="225"/>
      <c r="K30" s="531"/>
    </row>
    <row r="31" spans="1:13" ht="11.25" hidden="1" customHeight="1">
      <c r="A31" s="214"/>
      <c r="B31" s="138"/>
      <c r="C31" s="138"/>
      <c r="D31" s="138"/>
      <c r="E31" s="138"/>
      <c r="F31" s="138"/>
      <c r="G31" s="138"/>
      <c r="H31" s="153"/>
      <c r="I31" s="153"/>
      <c r="J31" s="153"/>
      <c r="K31" s="531"/>
    </row>
    <row r="32" spans="1:13" ht="11.25" hidden="1" customHeight="1">
      <c r="A32" s="17"/>
      <c r="B32" s="889"/>
      <c r="C32" s="889"/>
      <c r="D32" s="889"/>
      <c r="E32" s="889"/>
      <c r="F32" s="889"/>
      <c r="G32" s="889"/>
      <c r="H32" s="889"/>
      <c r="I32" s="889"/>
      <c r="J32" s="889"/>
      <c r="K32" s="889"/>
    </row>
    <row r="33" spans="1:15" ht="27" hidden="1" customHeight="1">
      <c r="B33" s="901"/>
      <c r="C33" s="901"/>
      <c r="D33" s="901"/>
      <c r="E33" s="901"/>
      <c r="F33" s="901"/>
      <c r="G33" s="901"/>
      <c r="H33" s="901"/>
    </row>
    <row r="34" spans="1:15" ht="11.25" customHeight="1">
      <c r="A34" s="17"/>
      <c r="B34" s="17"/>
      <c r="C34" s="17"/>
      <c r="D34" s="17"/>
      <c r="E34" s="17"/>
      <c r="F34" s="17"/>
      <c r="G34" s="17"/>
      <c r="H34" s="17"/>
      <c r="I34" s="17"/>
      <c r="J34" s="17"/>
      <c r="K34" s="531"/>
    </row>
    <row r="35" spans="1:15" ht="11.25" customHeight="1">
      <c r="A35" s="176" t="s">
        <v>382</v>
      </c>
      <c r="B35" s="132"/>
      <c r="C35" s="226"/>
      <c r="D35" s="132"/>
      <c r="E35" s="132"/>
      <c r="F35" s="132"/>
      <c r="G35" s="132"/>
      <c r="H35" s="132"/>
      <c r="I35" s="132"/>
      <c r="J35" s="132"/>
      <c r="K35" s="531"/>
    </row>
    <row r="36" spans="1:15" ht="11.25" customHeight="1">
      <c r="B36" s="132"/>
      <c r="C36" s="226"/>
      <c r="D36" s="132"/>
      <c r="E36" s="132"/>
      <c r="F36" s="132"/>
      <c r="G36" s="132"/>
      <c r="H36" s="132"/>
      <c r="I36" s="132"/>
      <c r="J36" s="132"/>
      <c r="K36" s="531"/>
    </row>
    <row r="37" spans="1:15" ht="21" customHeight="1">
      <c r="B37" s="887" t="s">
        <v>218</v>
      </c>
      <c r="C37" s="888"/>
      <c r="D37" s="474" t="str">
        <f>UPPER('1. Resumen'!Q4)&amp;" "&amp;'1. Resumen'!Q5</f>
        <v>JUNIO 2020</v>
      </c>
      <c r="E37" s="474" t="str">
        <f>UPPER('1. Resumen'!Q4)&amp;" "&amp;'1. Resumen'!Q5-1</f>
        <v>JUNIO 2019</v>
      </c>
      <c r="F37" s="475" t="s">
        <v>219</v>
      </c>
      <c r="G37" s="233"/>
      <c r="H37" s="233"/>
      <c r="I37" s="132"/>
      <c r="J37" s="132"/>
    </row>
    <row r="38" spans="1:15" ht="9.75" customHeight="1">
      <c r="B38" s="891" t="s">
        <v>215</v>
      </c>
      <c r="C38" s="892"/>
      <c r="D38" s="458">
        <v>5163.1192474999998</v>
      </c>
      <c r="E38" s="459">
        <v>5122.3492474999994</v>
      </c>
      <c r="F38" s="460">
        <f>+D38/E38-1</f>
        <v>7.9592386286231331E-3</v>
      </c>
      <c r="G38" s="233"/>
      <c r="H38" s="233"/>
      <c r="I38" s="132"/>
      <c r="J38" s="132"/>
      <c r="K38" s="531"/>
    </row>
    <row r="39" spans="1:15" ht="9.75" customHeight="1">
      <c r="B39" s="893" t="s">
        <v>216</v>
      </c>
      <c r="C39" s="894"/>
      <c r="D39" s="461">
        <f>7395.9645+H11+H14</f>
        <v>7395.9645</v>
      </c>
      <c r="E39" s="462">
        <v>7417.6745000000001</v>
      </c>
      <c r="F39" s="463">
        <f>+D39/E39-1</f>
        <v>-2.9267932962008247E-3</v>
      </c>
      <c r="G39" s="234"/>
      <c r="H39" s="234"/>
      <c r="M39" s="533"/>
      <c r="N39" s="533"/>
      <c r="O39" s="534"/>
    </row>
    <row r="40" spans="1:15" ht="9.75" customHeight="1">
      <c r="B40" s="895" t="s">
        <v>217</v>
      </c>
      <c r="C40" s="896"/>
      <c r="D40" s="464">
        <v>375.46</v>
      </c>
      <c r="E40" s="465">
        <v>375.46</v>
      </c>
      <c r="F40" s="466">
        <f>+D40/E40-1</f>
        <v>0</v>
      </c>
      <c r="G40" s="234"/>
      <c r="H40" s="234"/>
    </row>
    <row r="41" spans="1:15" ht="9.75" customHeight="1">
      <c r="B41" s="897" t="s">
        <v>80</v>
      </c>
      <c r="C41" s="898"/>
      <c r="D41" s="467">
        <v>285.02</v>
      </c>
      <c r="E41" s="468">
        <v>285.02</v>
      </c>
      <c r="F41" s="469">
        <f>+D41/E41-1</f>
        <v>0</v>
      </c>
      <c r="G41" s="234"/>
      <c r="H41" s="234"/>
    </row>
    <row r="42" spans="1:15" ht="10.5" customHeight="1">
      <c r="B42" s="885" t="s">
        <v>199</v>
      </c>
      <c r="C42" s="886"/>
      <c r="D42" s="470">
        <f>+D38+D39+D40+D41</f>
        <v>13219.5637475</v>
      </c>
      <c r="E42" s="471">
        <f>+E38+E39+E40+E41</f>
        <v>13200.503747499999</v>
      </c>
      <c r="F42" s="472">
        <f>+D42/E42-1</f>
        <v>1.4438842914317185E-3</v>
      </c>
      <c r="G42" s="406"/>
      <c r="H42" s="234"/>
    </row>
    <row r="43" spans="1:15" ht="11.25" customHeight="1">
      <c r="B43" s="276" t="str">
        <f>"Cuadro N° 2: Comparación de la potencia instalada en el SEIN al término de "&amp;'1. Resumen'!Q4&amp;" "&amp;'1. Resumen'!Q5-1&amp;" y "&amp;'1. Resumen'!Q4&amp;" "&amp;'1. Resumen'!Q5</f>
        <v>Cuadro N° 2: Comparación de la potencia instalada en el SEIN al término de junio 2019 y junio 2020</v>
      </c>
      <c r="C43" s="233"/>
      <c r="D43" s="233"/>
      <c r="E43" s="233"/>
      <c r="F43" s="233"/>
      <c r="G43" s="233"/>
      <c r="H43" s="233"/>
      <c r="I43" s="132"/>
      <c r="J43" s="132"/>
      <c r="K43" s="531"/>
    </row>
    <row r="44" spans="1:15" ht="9" customHeight="1">
      <c r="B44" s="276"/>
      <c r="C44" s="233"/>
      <c r="D44" s="233"/>
      <c r="E44" s="233"/>
      <c r="F44" s="233"/>
      <c r="G44" s="233"/>
      <c r="H44" s="233"/>
      <c r="I44" s="132"/>
      <c r="J44" s="132"/>
      <c r="K44" s="531"/>
    </row>
    <row r="45" spans="1:15" ht="25.5" customHeight="1">
      <c r="B45" s="276"/>
      <c r="C45" s="233"/>
      <c r="D45" s="233"/>
      <c r="E45" s="233"/>
      <c r="F45" s="233"/>
      <c r="G45" s="233"/>
      <c r="H45" s="233"/>
      <c r="I45" s="132"/>
      <c r="J45" s="132"/>
      <c r="K45" s="531"/>
    </row>
    <row r="46" spans="1:15" ht="11.25" customHeight="1">
      <c r="B46" s="276"/>
      <c r="C46" s="233"/>
      <c r="D46" s="233"/>
      <c r="E46" s="233"/>
      <c r="F46" s="233"/>
      <c r="G46" s="233"/>
      <c r="H46" s="233"/>
      <c r="I46" s="132"/>
      <c r="J46" s="132"/>
      <c r="K46" s="531"/>
    </row>
    <row r="47" spans="1:15" ht="11.25" customHeight="1">
      <c r="A47" s="132"/>
      <c r="C47" s="234"/>
      <c r="D47" s="233"/>
      <c r="E47" s="233"/>
      <c r="F47" s="233"/>
      <c r="G47" s="233"/>
      <c r="H47" s="233"/>
      <c r="I47" s="132"/>
      <c r="J47" s="132"/>
      <c r="K47" s="531"/>
    </row>
    <row r="48" spans="1:15" ht="11.25" customHeight="1">
      <c r="A48" s="132"/>
      <c r="B48" s="132"/>
      <c r="C48" s="132"/>
      <c r="D48" s="132"/>
      <c r="E48" s="132"/>
      <c r="F48" s="132"/>
      <c r="G48" s="132"/>
      <c r="H48" s="132"/>
      <c r="I48" s="132"/>
      <c r="J48" s="132"/>
      <c r="K48" s="531"/>
    </row>
    <row r="49" spans="1:11" ht="11.25" customHeight="1">
      <c r="A49" s="132"/>
      <c r="B49" s="132"/>
      <c r="C49" s="132"/>
      <c r="D49" s="132"/>
      <c r="E49" s="132"/>
      <c r="F49" s="132"/>
      <c r="G49" s="132"/>
      <c r="H49" s="132"/>
      <c r="I49" s="132"/>
      <c r="J49" s="132"/>
      <c r="K49" s="531"/>
    </row>
    <row r="50" spans="1:11">
      <c r="A50" s="137"/>
      <c r="B50" s="132"/>
      <c r="C50" s="132"/>
      <c r="D50" s="132"/>
      <c r="E50" s="132"/>
      <c r="F50" s="132"/>
      <c r="G50" s="132"/>
      <c r="H50" s="132"/>
      <c r="I50" s="132"/>
      <c r="J50" s="132"/>
    </row>
    <row r="51" spans="1:11">
      <c r="A51" s="132"/>
      <c r="B51" s="132"/>
      <c r="C51" s="132"/>
      <c r="D51" s="132"/>
      <c r="E51" s="132"/>
      <c r="F51" s="132"/>
      <c r="G51" s="132"/>
      <c r="H51" s="132"/>
      <c r="I51" s="132"/>
      <c r="J51" s="132"/>
    </row>
    <row r="52" spans="1:11">
      <c r="A52" s="132"/>
      <c r="B52" s="132"/>
      <c r="C52" s="132"/>
      <c r="D52" s="132"/>
      <c r="E52" s="132"/>
      <c r="F52" s="132"/>
      <c r="G52" s="132"/>
      <c r="H52" s="132"/>
      <c r="I52" s="132"/>
      <c r="J52" s="132"/>
    </row>
    <row r="53" spans="1:11">
      <c r="A53" s="132"/>
      <c r="B53" s="132"/>
      <c r="C53" s="132"/>
      <c r="D53" s="132"/>
      <c r="E53" s="132"/>
      <c r="F53" s="132"/>
      <c r="G53" s="132"/>
      <c r="H53" s="132"/>
      <c r="I53" s="132"/>
      <c r="J53" s="132"/>
    </row>
    <row r="54" spans="1:11">
      <c r="A54" s="132"/>
      <c r="B54" s="132"/>
      <c r="C54" s="132"/>
      <c r="D54" s="132"/>
      <c r="E54" s="132"/>
      <c r="F54" s="132"/>
      <c r="G54" s="132"/>
      <c r="H54" s="132"/>
      <c r="I54" s="132"/>
      <c r="J54" s="132"/>
    </row>
    <row r="55" spans="1:11" ht="13.5" customHeight="1">
      <c r="A55" s="132"/>
      <c r="B55" s="132"/>
      <c r="C55" s="132"/>
      <c r="D55" s="132"/>
      <c r="E55" s="132"/>
      <c r="F55" s="132"/>
      <c r="G55" s="132"/>
      <c r="H55" s="132"/>
      <c r="I55" s="132"/>
      <c r="J55" s="132"/>
    </row>
    <row r="56" spans="1:11" ht="19.5" customHeight="1">
      <c r="A56" s="132"/>
      <c r="B56" s="132"/>
      <c r="C56" s="132"/>
      <c r="D56" s="132"/>
      <c r="E56" s="132"/>
      <c r="F56" s="132"/>
      <c r="G56" s="132"/>
      <c r="H56" s="132"/>
      <c r="I56" s="132"/>
      <c r="J56" s="132"/>
    </row>
    <row r="57" spans="1:11" ht="24" customHeight="1">
      <c r="A57" s="405" t="str">
        <f>"Gráfico N° 3: Comparación de la potencia instalada en el SEIN al término de "&amp;'1. Resumen'!Q4&amp;" "&amp;'1. Resumen'!Q5-1&amp;" y "&amp;'1. Resumen'!Q4&amp;" "&amp;'1. Resumen'!Q5</f>
        <v>Gráfico N° 3: Comparación de la potencia instalada en el SEIN al término de junio 2019 y junio 2020</v>
      </c>
      <c r="C57" s="132"/>
      <c r="D57" s="132"/>
      <c r="E57" s="132"/>
      <c r="F57" s="132"/>
      <c r="G57" s="132"/>
      <c r="H57" s="132"/>
      <c r="I57" s="132"/>
      <c r="J57" s="132"/>
    </row>
  </sheetData>
  <mergeCells count="12">
    <mergeCell ref="B42:C42"/>
    <mergeCell ref="B37:C37"/>
    <mergeCell ref="B32:K32"/>
    <mergeCell ref="A2:J2"/>
    <mergeCell ref="B38:C38"/>
    <mergeCell ref="B39:C39"/>
    <mergeCell ref="B40:C40"/>
    <mergeCell ref="B41:C41"/>
    <mergeCell ref="A19:J19"/>
    <mergeCell ref="A21:J21"/>
    <mergeCell ref="B33:H33"/>
    <mergeCell ref="A22:J22"/>
  </mergeCells>
  <conditionalFormatting sqref="A25:A27">
    <cfRule type="containsText" dxfId="5" priority="5" stopIfTrue="1" operator="containsText" text=" 0%">
      <formula>NOT(ISERROR(SEARCH(" 0%",A25)))</formula>
    </cfRule>
    <cfRule type="containsText" dxfId="4" priority="6" stopIfTrue="1" operator="containsText" text="0.0%">
      <formula>NOT(ISERROR(SEARCH("0.0%",A25)))</formula>
    </cfRule>
  </conditionalFormatting>
  <conditionalFormatting sqref="A23">
    <cfRule type="containsText" dxfId="3" priority="3" stopIfTrue="1" operator="containsText" text=" 0%">
      <formula>NOT(ISERROR(SEARCH(" 0%",A23)))</formula>
    </cfRule>
    <cfRule type="containsText" dxfId="2" priority="4" stopIfTrue="1" operator="containsText" text="0.0%">
      <formula>NOT(ISERROR(SEARCH("0.0%",A23)))</formula>
    </cfRule>
  </conditionalFormatting>
  <conditionalFormatting sqref="A24">
    <cfRule type="containsText" dxfId="1" priority="1" stopIfTrue="1" operator="containsText" text=" 0%">
      <formula>NOT(ISERROR(SEARCH(" 0%",A24)))</formula>
    </cfRule>
    <cfRule type="containsText" dxfId="0" priority="2" stopIfTrue="1" operator="containsText" text="0.0%">
      <formula>NOT(ISERROR(SEARCH("0.0%",A24)))</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topLeftCell="A4" zoomScale="115" zoomScaleNormal="100" zoomScaleSheetLayoutView="115" zoomScalePageLayoutView="85" workbookViewId="0">
      <selection activeCell="N65" sqref="N65"/>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06" t="s">
        <v>221</v>
      </c>
      <c r="B2" s="906"/>
      <c r="C2" s="906"/>
      <c r="D2" s="906"/>
      <c r="E2" s="906"/>
      <c r="F2" s="906"/>
      <c r="G2" s="906"/>
      <c r="H2" s="906"/>
      <c r="I2" s="906"/>
      <c r="J2" s="906"/>
      <c r="K2" s="906"/>
    </row>
    <row r="3" spans="1:11" ht="11.25" customHeight="1">
      <c r="A3" s="83"/>
      <c r="B3" s="84"/>
      <c r="C3" s="85"/>
      <c r="D3" s="86"/>
      <c r="E3" s="86"/>
      <c r="F3" s="86"/>
      <c r="G3" s="86"/>
      <c r="H3" s="83"/>
      <c r="I3" s="83"/>
      <c r="J3" s="83"/>
      <c r="K3" s="87"/>
    </row>
    <row r="4" spans="1:11" ht="11.25" customHeight="1">
      <c r="A4" s="907" t="str">
        <f>+"3.1. PRODUCCIÓN POR TIPO DE GENERACIÓN (GWh)"</f>
        <v>3.1. PRODUCCIÓN POR TIPO DE GENERACIÓN (GWh)</v>
      </c>
      <c r="B4" s="907"/>
      <c r="C4" s="907"/>
      <c r="D4" s="907"/>
      <c r="E4" s="907"/>
      <c r="F4" s="907"/>
      <c r="G4" s="907"/>
      <c r="H4" s="907"/>
      <c r="I4" s="907"/>
      <c r="J4" s="907"/>
      <c r="K4" s="907"/>
    </row>
    <row r="5" spans="1:11" ht="11.25" customHeight="1">
      <c r="A5" s="54"/>
      <c r="B5" s="88"/>
      <c r="C5" s="89"/>
      <c r="D5" s="90"/>
      <c r="E5" s="90"/>
      <c r="F5" s="90"/>
      <c r="G5" s="90"/>
      <c r="H5" s="91"/>
      <c r="I5" s="83"/>
      <c r="J5" s="83"/>
      <c r="K5" s="92"/>
    </row>
    <row r="6" spans="1:11" ht="18" customHeight="1">
      <c r="A6" s="904" t="s">
        <v>32</v>
      </c>
      <c r="B6" s="908" t="s">
        <v>33</v>
      </c>
      <c r="C6" s="909"/>
      <c r="D6" s="909"/>
      <c r="E6" s="909" t="s">
        <v>34</v>
      </c>
      <c r="F6" s="909"/>
      <c r="G6" s="910" t="str">
        <f>"Generación Acumulada a "&amp;'1. Resumen'!Q4</f>
        <v>Generación Acumulada a junio</v>
      </c>
      <c r="H6" s="910"/>
      <c r="I6" s="910"/>
      <c r="J6" s="910"/>
      <c r="K6" s="911"/>
    </row>
    <row r="7" spans="1:11" ht="32.25" customHeight="1">
      <c r="A7" s="905"/>
      <c r="B7" s="476">
        <f>+C7-30</f>
        <v>43925</v>
      </c>
      <c r="C7" s="476">
        <f>+D7-28</f>
        <v>43955</v>
      </c>
      <c r="D7" s="476">
        <f>+'1. Resumen'!Q6</f>
        <v>43983</v>
      </c>
      <c r="E7" s="476">
        <f>+D7-365</f>
        <v>43618</v>
      </c>
      <c r="F7" s="477" t="s">
        <v>35</v>
      </c>
      <c r="G7" s="478">
        <v>2020</v>
      </c>
      <c r="H7" s="478">
        <v>2019</v>
      </c>
      <c r="I7" s="477" t="s">
        <v>477</v>
      </c>
      <c r="J7" s="478">
        <v>2018</v>
      </c>
      <c r="K7" s="479" t="s">
        <v>423</v>
      </c>
    </row>
    <row r="8" spans="1:11" ht="15" customHeight="1">
      <c r="A8" s="116" t="s">
        <v>36</v>
      </c>
      <c r="B8" s="351">
        <v>2718.6934613074995</v>
      </c>
      <c r="C8" s="347">
        <v>2731.0932930724998</v>
      </c>
      <c r="D8" s="352">
        <v>2153.3551646150004</v>
      </c>
      <c r="E8" s="351">
        <v>2126.5101631349999</v>
      </c>
      <c r="F8" s="242">
        <f>IF(E8=0,"",D8/E8-1)</f>
        <v>1.2623970458915723E-2</v>
      </c>
      <c r="G8" s="359">
        <v>16968.109444374997</v>
      </c>
      <c r="H8" s="347">
        <v>16593.078632462508</v>
      </c>
      <c r="I8" s="246">
        <f>IF(H8=0,"",G8/H8-1)</f>
        <v>2.2601641336091882E-2</v>
      </c>
      <c r="J8" s="351">
        <v>16327.994869525002</v>
      </c>
      <c r="K8" s="242">
        <f t="shared" ref="K8:K15" si="0">IF(J8=0,"",H8/J8-1)</f>
        <v>1.6234924438411236E-2</v>
      </c>
    </row>
    <row r="9" spans="1:11" ht="15" customHeight="1">
      <c r="A9" s="117" t="s">
        <v>37</v>
      </c>
      <c r="B9" s="353">
        <v>117.05501784250001</v>
      </c>
      <c r="C9" s="252">
        <v>424.20125034749998</v>
      </c>
      <c r="D9" s="354">
        <v>1386.4079513500005</v>
      </c>
      <c r="E9" s="353">
        <v>1962.1936843125006</v>
      </c>
      <c r="F9" s="243">
        <f t="shared" ref="F9:F15" si="1">IF(E9=0,"",D9/E9-1)</f>
        <v>-0.29343980544114323</v>
      </c>
      <c r="G9" s="360">
        <v>5023.9724376499998</v>
      </c>
      <c r="H9" s="252">
        <v>8618.5820859150026</v>
      </c>
      <c r="I9" s="247">
        <f t="shared" ref="I9:I15" si="2">IF(H9=0,"",G9/H9-1)</f>
        <v>-0.41707668528672792</v>
      </c>
      <c r="J9" s="353">
        <v>7804.0830211675002</v>
      </c>
      <c r="K9" s="243">
        <f t="shared" si="0"/>
        <v>0.10436832393226547</v>
      </c>
    </row>
    <row r="10" spans="1:11" ht="15" customHeight="1">
      <c r="A10" s="118" t="s">
        <v>38</v>
      </c>
      <c r="B10" s="355">
        <v>141.27865539999999</v>
      </c>
      <c r="C10" s="253">
        <v>130.50410392499998</v>
      </c>
      <c r="D10" s="356">
        <v>161.8844647825</v>
      </c>
      <c r="E10" s="355">
        <v>147.78231510000001</v>
      </c>
      <c r="F10" s="244">
        <f>IF(E10=0,"",D10/E10-1)</f>
        <v>9.5425150654579127E-2</v>
      </c>
      <c r="G10" s="361">
        <v>800.99519206749994</v>
      </c>
      <c r="H10" s="253">
        <v>795.12044744499997</v>
      </c>
      <c r="I10" s="248">
        <f t="shared" si="2"/>
        <v>7.3884964741852688E-3</v>
      </c>
      <c r="J10" s="355">
        <v>658.58462278000013</v>
      </c>
      <c r="K10" s="244">
        <f t="shared" si="0"/>
        <v>0.20731705530666411</v>
      </c>
    </row>
    <row r="11" spans="1:11" ht="15" customHeight="1">
      <c r="A11" s="117" t="s">
        <v>30</v>
      </c>
      <c r="B11" s="353">
        <v>64.581168300000002</v>
      </c>
      <c r="C11" s="252">
        <v>58.921325104999994</v>
      </c>
      <c r="D11" s="354">
        <v>55.064190197499997</v>
      </c>
      <c r="E11" s="353">
        <v>52.871938625000006</v>
      </c>
      <c r="F11" s="243">
        <f>IF(E11=0,"",D11/E11-1)</f>
        <v>4.1463423311348002E-2</v>
      </c>
      <c r="G11" s="360">
        <v>350.62904399749999</v>
      </c>
      <c r="H11" s="252">
        <v>341.36199789999995</v>
      </c>
      <c r="I11" s="247">
        <f t="shared" si="2"/>
        <v>2.7147269334341084E-2</v>
      </c>
      <c r="J11" s="353">
        <v>330.79512248999998</v>
      </c>
      <c r="K11" s="243">
        <f t="shared" si="0"/>
        <v>3.1943867039089691E-2</v>
      </c>
    </row>
    <row r="12" spans="1:11" ht="15" customHeight="1">
      <c r="A12" s="145" t="s">
        <v>42</v>
      </c>
      <c r="B12" s="357">
        <f>+SUM(B8:B11)</f>
        <v>3041.6083028499997</v>
      </c>
      <c r="C12" s="348">
        <f t="shared" ref="C12:E12" si="3">+SUM(C8:C11)</f>
        <v>3344.7199724499997</v>
      </c>
      <c r="D12" s="358">
        <f t="shared" si="3"/>
        <v>3756.7117709450008</v>
      </c>
      <c r="E12" s="357">
        <f t="shared" si="3"/>
        <v>4289.3581011725009</v>
      </c>
      <c r="F12" s="245">
        <f>IF(E12=0,"",D12/E12-1)</f>
        <v>-0.12417856417301709</v>
      </c>
      <c r="G12" s="357">
        <f t="shared" ref="G12:J12" si="4">+SUM(G8:G11)</f>
        <v>23143.706118089998</v>
      </c>
      <c r="H12" s="348">
        <f t="shared" si="4"/>
        <v>26348.143163722511</v>
      </c>
      <c r="I12" s="249">
        <f>IF(H12=0,"",G12/H12-1)</f>
        <v>-0.1216190843400512</v>
      </c>
      <c r="J12" s="357">
        <f t="shared" si="4"/>
        <v>25121.457635962503</v>
      </c>
      <c r="K12" s="245">
        <f t="shared" si="0"/>
        <v>4.8830189136953361E-2</v>
      </c>
    </row>
    <row r="13" spans="1:11" ht="15" customHeight="1">
      <c r="A13" s="112"/>
      <c r="B13" s="112"/>
      <c r="C13" s="112"/>
      <c r="D13" s="112"/>
      <c r="E13" s="112"/>
      <c r="F13" s="114"/>
      <c r="G13" s="112"/>
      <c r="H13" s="112"/>
      <c r="I13" s="847"/>
      <c r="J13" s="113"/>
      <c r="K13" s="114" t="str">
        <f t="shared" si="0"/>
        <v/>
      </c>
    </row>
    <row r="14" spans="1:11" ht="15" customHeight="1">
      <c r="A14" s="119" t="s">
        <v>39</v>
      </c>
      <c r="B14" s="240">
        <v>1.5952794600000002</v>
      </c>
      <c r="C14" s="241">
        <v>4.0240467399999975</v>
      </c>
      <c r="D14" s="350">
        <v>16.997148410000005</v>
      </c>
      <c r="E14" s="240">
        <v>17.062013390000004</v>
      </c>
      <c r="F14" s="120">
        <f t="shared" si="1"/>
        <v>-3.8017189716904598E-3</v>
      </c>
      <c r="G14" s="240">
        <v>22.616474610000004</v>
      </c>
      <c r="H14" s="241">
        <v>29.997176460000013</v>
      </c>
      <c r="I14" s="123">
        <f t="shared" si="2"/>
        <v>-0.24604655240941986</v>
      </c>
      <c r="J14" s="240">
        <v>3.8248099999999994</v>
      </c>
      <c r="K14" s="120">
        <f t="shared" si="0"/>
        <v>6.8427886509395286</v>
      </c>
    </row>
    <row r="15" spans="1:11" ht="15" customHeight="1">
      <c r="A15" s="118" t="s">
        <v>40</v>
      </c>
      <c r="B15" s="237">
        <v>0</v>
      </c>
      <c r="C15" s="238">
        <v>0</v>
      </c>
      <c r="D15" s="239">
        <v>0</v>
      </c>
      <c r="E15" s="237">
        <v>0</v>
      </c>
      <c r="F15" s="121" t="str">
        <f t="shared" si="1"/>
        <v/>
      </c>
      <c r="G15" s="237">
        <v>0</v>
      </c>
      <c r="H15" s="238">
        <v>0</v>
      </c>
      <c r="I15" s="115" t="str">
        <f t="shared" si="2"/>
        <v/>
      </c>
      <c r="J15" s="237">
        <v>0</v>
      </c>
      <c r="K15" s="121" t="str">
        <f t="shared" si="0"/>
        <v/>
      </c>
    </row>
    <row r="16" spans="1:11" ht="23.25" customHeight="1">
      <c r="A16" s="125" t="s">
        <v>41</v>
      </c>
      <c r="B16" s="250">
        <f>+B15-B14</f>
        <v>-1.5952794600000002</v>
      </c>
      <c r="C16" s="251">
        <f t="shared" ref="C16:E16" si="5">+C15-C14</f>
        <v>-4.0240467399999975</v>
      </c>
      <c r="D16" s="411">
        <f t="shared" si="5"/>
        <v>-16.997148410000005</v>
      </c>
      <c r="E16" s="250">
        <f t="shared" si="5"/>
        <v>-17.062013390000004</v>
      </c>
      <c r="F16" s="122"/>
      <c r="G16" s="250">
        <f t="shared" ref="G16:H16" si="6">+G15-G14</f>
        <v>-22.616474610000004</v>
      </c>
      <c r="H16" s="251">
        <f t="shared" si="6"/>
        <v>-29.997176460000013</v>
      </c>
      <c r="I16" s="124"/>
      <c r="J16" s="250">
        <f>+J15-J14</f>
        <v>-3.8248099999999994</v>
      </c>
      <c r="K16" s="122"/>
    </row>
    <row r="17" spans="1:11" ht="11.25" customHeight="1">
      <c r="A17" s="236"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2"/>
      <c r="C42" s="902"/>
      <c r="D42" s="902"/>
      <c r="E42" s="93"/>
      <c r="F42" s="93"/>
      <c r="G42" s="903"/>
      <c r="H42" s="903"/>
      <c r="I42" s="903"/>
      <c r="J42" s="903"/>
      <c r="K42" s="903"/>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6" t="str">
        <f>"Gráfico N° 4: Comparación de la producción de energía eléctrica por tipo de generación acumulada a "&amp;'1. Resumen'!Q4</f>
        <v>Gráfico N° 4: Comparación de la producción de energía eléctrica por tipo de generación acumulada a junio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Junio 2020
INFSGI-MES-06-2020
13/07/2020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topLeftCell="A4" zoomScale="120" zoomScaleNormal="100" zoomScaleSheetLayoutView="120" zoomScalePageLayoutView="145" workbookViewId="0">
      <selection activeCell="N65" sqref="N65"/>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12" t="str">
        <f>+"3.2. PRODUCCIÓN POR TIPO DE RECURSO ENERGÉTICO (GWh)"</f>
        <v>3.2. PRODUCCIÓN POR TIPO DE RECURSO ENERGÉTICO (GWh)</v>
      </c>
      <c r="B2" s="912"/>
      <c r="C2" s="912"/>
      <c r="D2" s="912"/>
      <c r="E2" s="912"/>
      <c r="F2" s="912"/>
      <c r="G2" s="912"/>
      <c r="H2" s="912"/>
      <c r="I2" s="912"/>
      <c r="J2" s="912"/>
      <c r="K2" s="912"/>
    </row>
    <row r="3" spans="1:12" ht="18.75" customHeight="1">
      <c r="A3" s="126"/>
      <c r="B3" s="127"/>
      <c r="C3" s="128"/>
      <c r="D3" s="129"/>
      <c r="E3" s="129"/>
      <c r="F3" s="129"/>
      <c r="G3" s="130"/>
      <c r="H3" s="130"/>
      <c r="I3" s="130"/>
      <c r="J3" s="126"/>
      <c r="K3" s="126"/>
      <c r="L3" s="36"/>
    </row>
    <row r="4" spans="1:12" ht="14.25" customHeight="1">
      <c r="A4" s="916" t="s">
        <v>43</v>
      </c>
      <c r="B4" s="913" t="s">
        <v>33</v>
      </c>
      <c r="C4" s="914"/>
      <c r="D4" s="914"/>
      <c r="E4" s="914" t="s">
        <v>34</v>
      </c>
      <c r="F4" s="914"/>
      <c r="G4" s="915" t="str">
        <f>+'3. Tipo Generación'!G6:K6</f>
        <v>Generación Acumulada a junio</v>
      </c>
      <c r="H4" s="915"/>
      <c r="I4" s="915"/>
      <c r="J4" s="915"/>
      <c r="K4" s="915"/>
      <c r="L4" s="131"/>
    </row>
    <row r="5" spans="1:12" ht="26.25" customHeight="1">
      <c r="A5" s="916"/>
      <c r="B5" s="480">
        <f>+'3. Tipo Generación'!B7</f>
        <v>43925</v>
      </c>
      <c r="C5" s="480">
        <f>+'3. Tipo Generación'!C7</f>
        <v>43955</v>
      </c>
      <c r="D5" s="480">
        <f>+'3. Tipo Generación'!D7</f>
        <v>43983</v>
      </c>
      <c r="E5" s="480">
        <f>+'3. Tipo Generación'!E7</f>
        <v>43618</v>
      </c>
      <c r="F5" s="481" t="s">
        <v>35</v>
      </c>
      <c r="G5" s="482">
        <v>2020</v>
      </c>
      <c r="H5" s="482">
        <v>2019</v>
      </c>
      <c r="I5" s="481" t="s">
        <v>477</v>
      </c>
      <c r="J5" s="482">
        <v>2018</v>
      </c>
      <c r="K5" s="481" t="s">
        <v>423</v>
      </c>
      <c r="L5" s="19"/>
    </row>
    <row r="6" spans="1:12" ht="11.25" customHeight="1">
      <c r="A6" s="139" t="s">
        <v>44</v>
      </c>
      <c r="B6" s="292">
        <v>2718.6934613074995</v>
      </c>
      <c r="C6" s="293">
        <v>2731.0932930724998</v>
      </c>
      <c r="D6" s="294">
        <v>2153.3551646150004</v>
      </c>
      <c r="E6" s="292">
        <v>2126.5101631349999</v>
      </c>
      <c r="F6" s="257">
        <f>IF(E6=0,"",D6/E6-1)</f>
        <v>1.2623970458915723E-2</v>
      </c>
      <c r="G6" s="292">
        <v>16968.109444374997</v>
      </c>
      <c r="H6" s="293">
        <v>16593.078632462508</v>
      </c>
      <c r="I6" s="257">
        <f t="shared" ref="I6:I16" si="0">IF(H6=0,"",G6/H6-1)</f>
        <v>2.2601641336091882E-2</v>
      </c>
      <c r="J6" s="292">
        <v>16327.994869525002</v>
      </c>
      <c r="K6" s="257">
        <f>IF(J6=0,"",H6/J6-1)</f>
        <v>1.6234924438411236E-2</v>
      </c>
      <c r="L6" s="24"/>
    </row>
    <row r="7" spans="1:12" ht="11.25" customHeight="1">
      <c r="A7" s="140" t="s">
        <v>50</v>
      </c>
      <c r="B7" s="295">
        <v>84.755165890000001</v>
      </c>
      <c r="C7" s="252">
        <v>378.57778005749992</v>
      </c>
      <c r="D7" s="296">
        <v>1303.3500004725004</v>
      </c>
      <c r="E7" s="295">
        <v>1853.0653860300004</v>
      </c>
      <c r="F7" s="258">
        <f t="shared" ref="F7:F18" si="1">IF(E7=0,"",D7/E7-1)</f>
        <v>-0.29665190969607824</v>
      </c>
      <c r="G7" s="295">
        <v>4643.9973746100004</v>
      </c>
      <c r="H7" s="252">
        <v>7996.0885491945328</v>
      </c>
      <c r="I7" s="258">
        <f t="shared" si="0"/>
        <v>-0.41921636484655955</v>
      </c>
      <c r="J7" s="295">
        <v>7316.9316987624998</v>
      </c>
      <c r="K7" s="258">
        <f t="shared" ref="K7:K19" si="2">IF(J7=0,"",H7/J7-1)</f>
        <v>9.2819897518914507E-2</v>
      </c>
      <c r="L7" s="22"/>
    </row>
    <row r="8" spans="1:12" ht="11.25" customHeight="1">
      <c r="A8" s="141" t="s">
        <v>51</v>
      </c>
      <c r="B8" s="297">
        <v>10.65374982</v>
      </c>
      <c r="C8" s="253">
        <v>25.945443839999999</v>
      </c>
      <c r="D8" s="298">
        <v>61.168153509999996</v>
      </c>
      <c r="E8" s="297">
        <v>58.869007142500003</v>
      </c>
      <c r="F8" s="409">
        <f t="shared" si="1"/>
        <v>3.9055293763229582E-2</v>
      </c>
      <c r="G8" s="297">
        <v>227.43830298750001</v>
      </c>
      <c r="H8" s="253">
        <v>250.84280231499991</v>
      </c>
      <c r="I8" s="409">
        <f t="shared" si="0"/>
        <v>-9.330345184913591E-2</v>
      </c>
      <c r="J8" s="297">
        <v>220.17485597750002</v>
      </c>
      <c r="K8" s="409">
        <f t="shared" si="2"/>
        <v>0.13928904915752005</v>
      </c>
      <c r="L8" s="22"/>
    </row>
    <row r="9" spans="1:12" ht="11.25" customHeight="1">
      <c r="A9" s="140" t="s">
        <v>52</v>
      </c>
      <c r="B9" s="295">
        <v>0</v>
      </c>
      <c r="C9" s="252">
        <v>0</v>
      </c>
      <c r="D9" s="296">
        <v>1.3787250000000002E-4</v>
      </c>
      <c r="E9" s="295">
        <v>22.282443610000001</v>
      </c>
      <c r="F9" s="258">
        <f t="shared" si="1"/>
        <v>-0.99999381250537811</v>
      </c>
      <c r="G9" s="295">
        <v>15.849400752499999</v>
      </c>
      <c r="H9" s="252">
        <v>107.077483865</v>
      </c>
      <c r="I9" s="258">
        <f t="shared" si="0"/>
        <v>-0.85198194634006863</v>
      </c>
      <c r="J9" s="295">
        <v>113.07860665000001</v>
      </c>
      <c r="K9" s="258">
        <f t="shared" si="2"/>
        <v>-5.3070363730025716E-2</v>
      </c>
      <c r="L9" s="22"/>
    </row>
    <row r="10" spans="1:12" ht="11.25" customHeight="1">
      <c r="A10" s="141" t="s">
        <v>53</v>
      </c>
      <c r="B10" s="297">
        <v>0</v>
      </c>
      <c r="C10" s="253">
        <v>0</v>
      </c>
      <c r="D10" s="298">
        <v>0</v>
      </c>
      <c r="E10" s="297">
        <v>0</v>
      </c>
      <c r="F10" s="409" t="str">
        <f t="shared" si="1"/>
        <v/>
      </c>
      <c r="G10" s="297">
        <v>0</v>
      </c>
      <c r="H10" s="253">
        <v>0</v>
      </c>
      <c r="I10" s="409" t="str">
        <f t="shared" si="0"/>
        <v/>
      </c>
      <c r="J10" s="297">
        <v>0</v>
      </c>
      <c r="K10" s="409" t="str">
        <f t="shared" si="2"/>
        <v/>
      </c>
      <c r="L10" s="22"/>
    </row>
    <row r="11" spans="1:12" ht="11.25" customHeight="1">
      <c r="A11" s="140" t="s">
        <v>26</v>
      </c>
      <c r="B11" s="295">
        <v>0</v>
      </c>
      <c r="C11" s="252">
        <v>0</v>
      </c>
      <c r="D11" s="296">
        <v>0</v>
      </c>
      <c r="E11" s="295">
        <v>0</v>
      </c>
      <c r="F11" s="258" t="str">
        <f t="shared" si="1"/>
        <v/>
      </c>
      <c r="G11" s="295">
        <v>0</v>
      </c>
      <c r="H11" s="252">
        <v>18.283256609999999</v>
      </c>
      <c r="I11" s="258">
        <f t="shared" si="0"/>
        <v>-1</v>
      </c>
      <c r="J11" s="295">
        <v>26.9015129625</v>
      </c>
      <c r="K11" s="258">
        <f t="shared" si="2"/>
        <v>-0.32036325854659642</v>
      </c>
      <c r="L11" s="24"/>
    </row>
    <row r="12" spans="1:12" ht="11.25" customHeight="1">
      <c r="A12" s="141" t="s">
        <v>45</v>
      </c>
      <c r="B12" s="297">
        <v>0</v>
      </c>
      <c r="C12" s="253">
        <v>0</v>
      </c>
      <c r="D12" s="298">
        <v>0</v>
      </c>
      <c r="E12" s="297">
        <v>0.26427637249999997</v>
      </c>
      <c r="F12" s="409">
        <f t="shared" si="1"/>
        <v>-1</v>
      </c>
      <c r="G12" s="297">
        <v>1.2236413724999999</v>
      </c>
      <c r="H12" s="253">
        <v>41.949142722499985</v>
      </c>
      <c r="I12" s="409">
        <f t="shared" si="0"/>
        <v>-0.97083036045350024</v>
      </c>
      <c r="J12" s="297">
        <v>1.8026657475000003</v>
      </c>
      <c r="K12" s="409">
        <f t="shared" si="2"/>
        <v>22.270616186431965</v>
      </c>
      <c r="L12" s="22"/>
    </row>
    <row r="13" spans="1:12" ht="11.25" customHeight="1">
      <c r="A13" s="140" t="s">
        <v>46</v>
      </c>
      <c r="B13" s="295">
        <v>0</v>
      </c>
      <c r="C13" s="252">
        <v>0</v>
      </c>
      <c r="D13" s="296">
        <v>0</v>
      </c>
      <c r="E13" s="295">
        <v>2.4911477500000001E-2</v>
      </c>
      <c r="F13" s="258">
        <f>IF(E13=0,"",D13/E13-1)</f>
        <v>-1</v>
      </c>
      <c r="G13" s="295">
        <v>0</v>
      </c>
      <c r="H13" s="252">
        <v>8.9529357500000004E-2</v>
      </c>
      <c r="I13" s="258">
        <f t="shared" si="0"/>
        <v>-1</v>
      </c>
      <c r="J13" s="295">
        <v>1.4230004125</v>
      </c>
      <c r="K13" s="258">
        <f t="shared" si="2"/>
        <v>-0.93708409589094199</v>
      </c>
      <c r="L13" s="22"/>
    </row>
    <row r="14" spans="1:12" ht="11.25" customHeight="1">
      <c r="A14" s="141" t="s">
        <v>47</v>
      </c>
      <c r="B14" s="297">
        <v>3.6020299474999997</v>
      </c>
      <c r="C14" s="253">
        <v>7.8229167499999988E-2</v>
      </c>
      <c r="D14" s="298">
        <v>2.45639E-2</v>
      </c>
      <c r="E14" s="297">
        <v>5.4336271749999998</v>
      </c>
      <c r="F14" s="409">
        <f>IF(E14=0,"",D14/E14-1)</f>
        <v>-0.99547928129610774</v>
      </c>
      <c r="G14" s="297">
        <v>8.0604177100000012</v>
      </c>
      <c r="H14" s="253">
        <v>96.16921034546877</v>
      </c>
      <c r="I14" s="409">
        <f t="shared" si="0"/>
        <v>-0.91618504840536219</v>
      </c>
      <c r="J14" s="297">
        <v>58.4930734625</v>
      </c>
      <c r="K14" s="409">
        <f t="shared" si="2"/>
        <v>0.64411279238255448</v>
      </c>
      <c r="L14" s="22"/>
    </row>
    <row r="15" spans="1:12" ht="11.25" customHeight="1">
      <c r="A15" s="140" t="s">
        <v>48</v>
      </c>
      <c r="B15" s="295">
        <v>15.111510634999998</v>
      </c>
      <c r="C15" s="252">
        <v>18.817505542500001</v>
      </c>
      <c r="D15" s="296">
        <v>19.396027994999997</v>
      </c>
      <c r="E15" s="295">
        <v>17.834231412499999</v>
      </c>
      <c r="F15" s="258">
        <f t="shared" si="1"/>
        <v>8.7572968320088984E-2</v>
      </c>
      <c r="G15" s="295">
        <v>106.3829947025</v>
      </c>
      <c r="H15" s="252">
        <v>76.464057187500003</v>
      </c>
      <c r="I15" s="258">
        <f>IF(H15=0,"",G15/H15-1)</f>
        <v>0.39128106218108205</v>
      </c>
      <c r="J15" s="295">
        <v>42.383671962499996</v>
      </c>
      <c r="K15" s="258">
        <f t="shared" si="2"/>
        <v>0.80409232251404439</v>
      </c>
      <c r="L15" s="22"/>
    </row>
    <row r="16" spans="1:12" ht="11.25" customHeight="1">
      <c r="A16" s="141" t="s">
        <v>49</v>
      </c>
      <c r="B16" s="297">
        <v>2.93256155</v>
      </c>
      <c r="C16" s="253">
        <v>0.78229174000000001</v>
      </c>
      <c r="D16" s="298">
        <v>2.4690675999999998</v>
      </c>
      <c r="E16" s="297">
        <v>4.4198010925000002</v>
      </c>
      <c r="F16" s="409">
        <f t="shared" si="1"/>
        <v>-0.44136228116921761</v>
      </c>
      <c r="G16" s="297">
        <v>21.020305515</v>
      </c>
      <c r="H16" s="253">
        <v>31.618054317499997</v>
      </c>
      <c r="I16" s="409">
        <f t="shared" si="0"/>
        <v>-0.33518029591828302</v>
      </c>
      <c r="J16" s="297">
        <v>22.89393523</v>
      </c>
      <c r="K16" s="409">
        <f t="shared" si="2"/>
        <v>0.38106681965571343</v>
      </c>
      <c r="L16" s="22"/>
    </row>
    <row r="17" spans="1:12" ht="11.25" customHeight="1">
      <c r="A17" s="140" t="s">
        <v>30</v>
      </c>
      <c r="B17" s="295">
        <v>64.581168300000002</v>
      </c>
      <c r="C17" s="252">
        <v>58.921325104999994</v>
      </c>
      <c r="D17" s="296">
        <v>55.064190197499997</v>
      </c>
      <c r="E17" s="295">
        <v>52.871938625000006</v>
      </c>
      <c r="F17" s="258">
        <f t="shared" si="1"/>
        <v>4.1463423311348002E-2</v>
      </c>
      <c r="G17" s="295">
        <v>350.62904399749999</v>
      </c>
      <c r="H17" s="252">
        <v>341.36199789999995</v>
      </c>
      <c r="I17" s="258">
        <f>IF(H17=0,"",G17/H17-1)</f>
        <v>2.7147269334341084E-2</v>
      </c>
      <c r="J17" s="295">
        <v>330.79512248999998</v>
      </c>
      <c r="K17" s="258">
        <f t="shared" si="2"/>
        <v>3.1943867039089691E-2</v>
      </c>
      <c r="L17" s="22"/>
    </row>
    <row r="18" spans="1:12" ht="11.25" customHeight="1">
      <c r="A18" s="141" t="s">
        <v>29</v>
      </c>
      <c r="B18" s="297">
        <v>141.27865539999999</v>
      </c>
      <c r="C18" s="253">
        <v>130.50410392499998</v>
      </c>
      <c r="D18" s="298">
        <v>161.8844647825</v>
      </c>
      <c r="E18" s="297">
        <v>147.78231510000001</v>
      </c>
      <c r="F18" s="409">
        <f t="shared" si="1"/>
        <v>9.5425150654579127E-2</v>
      </c>
      <c r="G18" s="297">
        <v>800.99519206749994</v>
      </c>
      <c r="H18" s="253">
        <v>795.12044744499997</v>
      </c>
      <c r="I18" s="409">
        <f>IF(H18=0,"",G18/H18-1)</f>
        <v>7.3884964741852688E-3</v>
      </c>
      <c r="J18" s="297">
        <v>658.58462278000013</v>
      </c>
      <c r="K18" s="409">
        <f t="shared" si="2"/>
        <v>0.20731705530666411</v>
      </c>
      <c r="L18" s="22"/>
    </row>
    <row r="19" spans="1:12" ht="11.25" customHeight="1">
      <c r="A19" s="146" t="s">
        <v>42</v>
      </c>
      <c r="B19" s="299">
        <f>SUM(B6:B18)</f>
        <v>3041.6083028499997</v>
      </c>
      <c r="C19" s="300">
        <f>SUM(C6:C18)</f>
        <v>3344.7199724499997</v>
      </c>
      <c r="D19" s="747">
        <f>SUM(D6:D18)</f>
        <v>3756.7117709450013</v>
      </c>
      <c r="E19" s="299">
        <f>SUM(E6:E18)</f>
        <v>4289.3581011725</v>
      </c>
      <c r="F19" s="410">
        <f>IF(E19=0,"",D19/E19-1)</f>
        <v>-0.12417856417301676</v>
      </c>
      <c r="G19" s="299">
        <f>SUM(G6:G18)</f>
        <v>23143.706118089998</v>
      </c>
      <c r="H19" s="300">
        <f>SUM(H6:H18)</f>
        <v>26348.143163722511</v>
      </c>
      <c r="I19" s="410">
        <f>IF(H19=0,"",G19/H19-1)</f>
        <v>-0.1216190843400512</v>
      </c>
      <c r="J19" s="299">
        <f>SUM(J6:J18)</f>
        <v>25121.457635962499</v>
      </c>
      <c r="K19" s="410">
        <f t="shared" si="2"/>
        <v>4.8830189136953361E-2</v>
      </c>
      <c r="L19" s="30"/>
    </row>
    <row r="20" spans="1:12" ht="11.25" customHeight="1">
      <c r="A20" s="22"/>
      <c r="B20" s="22"/>
      <c r="C20" s="22"/>
      <c r="D20" s="22"/>
      <c r="E20" s="22"/>
      <c r="F20" s="22"/>
      <c r="G20" s="22"/>
      <c r="H20" s="22"/>
      <c r="I20" s="22"/>
      <c r="J20" s="22"/>
      <c r="K20" s="22"/>
      <c r="L20" s="22"/>
    </row>
    <row r="21" spans="1:12" ht="11.25" customHeight="1">
      <c r="A21" s="142" t="s">
        <v>39</v>
      </c>
      <c r="B21" s="240">
        <v>1.5952794600000002</v>
      </c>
      <c r="C21" s="241">
        <v>4.0240467399999975</v>
      </c>
      <c r="D21" s="350">
        <v>16.997148410000005</v>
      </c>
      <c r="E21" s="701">
        <v>17.062013390000004</v>
      </c>
      <c r="F21" s="120">
        <f>IF(E21=0,"",D21/E21-1)</f>
        <v>-3.8017189716904598E-3</v>
      </c>
      <c r="G21" s="240">
        <v>22.616474610000004</v>
      </c>
      <c r="H21" s="349">
        <v>29.997176460000013</v>
      </c>
      <c r="I21" s="123">
        <f>IF(H21=0,"",G21/H21-1)</f>
        <v>-0.24604655240941986</v>
      </c>
      <c r="J21" s="240">
        <v>3.8248099999999994</v>
      </c>
      <c r="K21" s="120">
        <f>IF(J21=0,"",H21/J21-1)</f>
        <v>6.8427886509395286</v>
      </c>
      <c r="L21" s="22"/>
    </row>
    <row r="22" spans="1:12" ht="11.25" customHeight="1">
      <c r="A22" s="143" t="s">
        <v>40</v>
      </c>
      <c r="B22" s="237">
        <v>0</v>
      </c>
      <c r="C22" s="238">
        <v>0</v>
      </c>
      <c r="D22" s="239">
        <v>0</v>
      </c>
      <c r="E22" s="702">
        <v>0</v>
      </c>
      <c r="F22" s="700" t="str">
        <f>IF(E22=0,"",D22/E22-1)</f>
        <v/>
      </c>
      <c r="G22" s="237">
        <v>0</v>
      </c>
      <c r="H22" s="238">
        <v>0</v>
      </c>
      <c r="I22" s="115" t="str">
        <f>IF(H22=0,"",G22/H22-1)</f>
        <v/>
      </c>
      <c r="J22" s="237">
        <v>0</v>
      </c>
      <c r="K22" s="121" t="str">
        <f>IF(J22=0,"",H22/J22-1)</f>
        <v/>
      </c>
      <c r="L22" s="22"/>
    </row>
    <row r="23" spans="1:12" ht="23.25" customHeight="1">
      <c r="A23" s="144" t="s">
        <v>41</v>
      </c>
      <c r="B23" s="250">
        <f>+B22-B21</f>
        <v>-1.5952794600000002</v>
      </c>
      <c r="C23" s="251">
        <f>+C22-C21</f>
        <v>-4.0240467399999975</v>
      </c>
      <c r="D23" s="411">
        <f>+D22-D21</f>
        <v>-16.997148410000005</v>
      </c>
      <c r="E23" s="703">
        <f>+E22-E21</f>
        <v>-17.062013390000004</v>
      </c>
      <c r="F23" s="251"/>
      <c r="G23" s="250">
        <f>+G22-G21</f>
        <v>-22.616474610000004</v>
      </c>
      <c r="H23" s="251">
        <f>+H22-H21</f>
        <v>-29.997176460000013</v>
      </c>
      <c r="I23" s="124"/>
      <c r="J23" s="250">
        <f>+J22-J21</f>
        <v>-3.8248099999999994</v>
      </c>
      <c r="K23" s="122"/>
      <c r="L23" s="30"/>
    </row>
    <row r="24" spans="1:12" ht="11.25" customHeight="1">
      <c r="A24" s="235"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5" t="str">
        <f>"Gráfico N° 5: Comparación de la producción de energía eléctrica (GWh) por tipo de recurso energético acumulado a "&amp;'1. Resumen'!Q4&amp;"."</f>
        <v>Gráfico N° 5: Comparación de la producción de energía eléctrica (GWh) por tipo de recurso energético acumulado a junio.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Junio 2020
INFSGI-MES-06-2020
13/07/2020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N65" sqref="N65"/>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63"/>
  </cols>
  <sheetData>
    <row r="1" spans="1:12" ht="11.25" customHeight="1"/>
    <row r="2" spans="1:12" ht="11.25" customHeight="1">
      <c r="A2" s="918" t="s">
        <v>230</v>
      </c>
      <c r="B2" s="918"/>
      <c r="C2" s="918"/>
      <c r="D2" s="918"/>
      <c r="E2" s="918"/>
      <c r="F2" s="918"/>
      <c r="G2" s="918"/>
      <c r="H2" s="918"/>
      <c r="I2" s="918"/>
      <c r="J2" s="918"/>
      <c r="K2" s="918"/>
      <c r="L2" s="564"/>
    </row>
    <row r="3" spans="1:12" ht="11.25" customHeight="1">
      <c r="A3" s="74"/>
      <c r="B3" s="73"/>
      <c r="C3" s="73"/>
      <c r="D3" s="73"/>
      <c r="E3" s="73"/>
      <c r="F3" s="73"/>
      <c r="G3" s="73"/>
      <c r="H3" s="73"/>
      <c r="I3" s="73"/>
      <c r="J3" s="73"/>
      <c r="K3" s="73"/>
      <c r="L3" s="564"/>
    </row>
    <row r="4" spans="1:12" ht="15.75" customHeight="1">
      <c r="A4" s="916" t="s">
        <v>226</v>
      </c>
      <c r="B4" s="913" t="s">
        <v>33</v>
      </c>
      <c r="C4" s="914"/>
      <c r="D4" s="914"/>
      <c r="E4" s="914" t="s">
        <v>34</v>
      </c>
      <c r="F4" s="914"/>
      <c r="G4" s="915" t="str">
        <f>+'4. Tipo Recurso'!G4:K4</f>
        <v>Generación Acumulada a junio</v>
      </c>
      <c r="H4" s="915"/>
      <c r="I4" s="915"/>
      <c r="J4" s="915"/>
      <c r="K4" s="915"/>
      <c r="L4" s="565"/>
    </row>
    <row r="5" spans="1:12" ht="29.25" customHeight="1">
      <c r="A5" s="916"/>
      <c r="B5" s="480">
        <f>+'4. Tipo Recurso'!B5</f>
        <v>43925</v>
      </c>
      <c r="C5" s="480">
        <f>+'4. Tipo Recurso'!C5</f>
        <v>43955</v>
      </c>
      <c r="D5" s="480">
        <f>+'4. Tipo Recurso'!D5</f>
        <v>43983</v>
      </c>
      <c r="E5" s="480">
        <f>+'4. Tipo Recurso'!E5</f>
        <v>43618</v>
      </c>
      <c r="F5" s="480" t="s">
        <v>35</v>
      </c>
      <c r="G5" s="482">
        <v>2020</v>
      </c>
      <c r="H5" s="482">
        <v>2019</v>
      </c>
      <c r="I5" s="481" t="s">
        <v>477</v>
      </c>
      <c r="J5" s="482">
        <v>2018</v>
      </c>
      <c r="K5" s="481" t="s">
        <v>423</v>
      </c>
      <c r="L5" s="566"/>
    </row>
    <row r="6" spans="1:12" ht="11.25" customHeight="1">
      <c r="A6" s="139" t="s">
        <v>44</v>
      </c>
      <c r="B6" s="292">
        <v>231.87376953999998</v>
      </c>
      <c r="C6" s="293">
        <v>205.34114510749998</v>
      </c>
      <c r="D6" s="294">
        <v>143.43081614249999</v>
      </c>
      <c r="E6" s="292">
        <v>137.08940598750004</v>
      </c>
      <c r="F6" s="257">
        <f t="shared" ref="F6:F11" si="0">IF(E6=0,"",D6/E6-1)</f>
        <v>4.6257477806696201E-2</v>
      </c>
      <c r="G6" s="292">
        <v>1270.3747325024999</v>
      </c>
      <c r="H6" s="293">
        <v>958.31141548750008</v>
      </c>
      <c r="I6" s="261">
        <f t="shared" ref="I6:I11" si="1">IF(H6=0,"",G6/H6-1)</f>
        <v>0.32563873493696294</v>
      </c>
      <c r="J6" s="292">
        <v>673.57594439000013</v>
      </c>
      <c r="K6" s="257">
        <f t="shared" ref="K6:K11" si="2">IF(J6=0,"",H6/J6-1)</f>
        <v>0.42272214954968512</v>
      </c>
      <c r="L6" s="567"/>
    </row>
    <row r="7" spans="1:12" ht="11.25" customHeight="1">
      <c r="A7" s="140" t="s">
        <v>38</v>
      </c>
      <c r="B7" s="295">
        <v>141.27865539999999</v>
      </c>
      <c r="C7" s="252">
        <v>130.50410392499998</v>
      </c>
      <c r="D7" s="296">
        <v>161.8844647825</v>
      </c>
      <c r="E7" s="295">
        <v>147.78231510000001</v>
      </c>
      <c r="F7" s="258">
        <f t="shared" si="0"/>
        <v>9.5425150654579127E-2</v>
      </c>
      <c r="G7" s="295">
        <v>800.99519206749994</v>
      </c>
      <c r="H7" s="252">
        <v>795.12044744499997</v>
      </c>
      <c r="I7" s="247">
        <f t="shared" si="1"/>
        <v>7.3884964741852688E-3</v>
      </c>
      <c r="J7" s="295">
        <v>658.58462278000013</v>
      </c>
      <c r="K7" s="258">
        <f t="shared" si="2"/>
        <v>0.20731705530666411</v>
      </c>
      <c r="L7" s="567"/>
    </row>
    <row r="8" spans="1:12" ht="11.25" customHeight="1">
      <c r="A8" s="255" t="s">
        <v>30</v>
      </c>
      <c r="B8" s="422">
        <v>64.581168300000002</v>
      </c>
      <c r="C8" s="301">
        <v>58.921325104999994</v>
      </c>
      <c r="D8" s="423">
        <v>55.064190197499997</v>
      </c>
      <c r="E8" s="422">
        <v>52.871938625000006</v>
      </c>
      <c r="F8" s="259">
        <f t="shared" si="0"/>
        <v>4.1463423311348002E-2</v>
      </c>
      <c r="G8" s="422">
        <v>350.62904399749999</v>
      </c>
      <c r="H8" s="301">
        <v>341.36199789999995</v>
      </c>
      <c r="I8" s="254">
        <f t="shared" si="1"/>
        <v>2.7147269334341084E-2</v>
      </c>
      <c r="J8" s="422">
        <v>330.79512248999998</v>
      </c>
      <c r="K8" s="259">
        <f t="shared" si="2"/>
        <v>3.1943867039089691E-2</v>
      </c>
      <c r="L8" s="567"/>
    </row>
    <row r="9" spans="1:12" ht="11.25" customHeight="1">
      <c r="A9" s="140" t="s">
        <v>48</v>
      </c>
      <c r="B9" s="295">
        <v>15.111510634999998</v>
      </c>
      <c r="C9" s="252">
        <v>18.817505542500001</v>
      </c>
      <c r="D9" s="296">
        <v>19.396027994999997</v>
      </c>
      <c r="E9" s="295">
        <v>17.834231412499999</v>
      </c>
      <c r="F9" s="258">
        <f t="shared" si="0"/>
        <v>8.7572968320088984E-2</v>
      </c>
      <c r="G9" s="295">
        <v>106.3829947025</v>
      </c>
      <c r="H9" s="252">
        <v>76.464057187500003</v>
      </c>
      <c r="I9" s="247">
        <f t="shared" si="1"/>
        <v>0.39128106218108205</v>
      </c>
      <c r="J9" s="295">
        <v>42.383671962499996</v>
      </c>
      <c r="K9" s="258">
        <f t="shared" si="2"/>
        <v>0.80409232251404439</v>
      </c>
      <c r="L9" s="568"/>
    </row>
    <row r="10" spans="1:12" ht="11.25" customHeight="1">
      <c r="A10" s="256" t="s">
        <v>49</v>
      </c>
      <c r="B10" s="424">
        <v>2.93256155</v>
      </c>
      <c r="C10" s="425">
        <v>0.78229174000000001</v>
      </c>
      <c r="D10" s="426">
        <v>2.4690675999999998</v>
      </c>
      <c r="E10" s="424">
        <v>4.4198010925000002</v>
      </c>
      <c r="F10" s="260">
        <f t="shared" si="0"/>
        <v>-0.44136228116921761</v>
      </c>
      <c r="G10" s="424">
        <v>21.020305515</v>
      </c>
      <c r="H10" s="425">
        <v>31.618054317499997</v>
      </c>
      <c r="I10" s="262">
        <f t="shared" si="1"/>
        <v>-0.33518029591828302</v>
      </c>
      <c r="J10" s="424">
        <v>22.89393523</v>
      </c>
      <c r="K10" s="260">
        <f t="shared" si="2"/>
        <v>0.38106681965571343</v>
      </c>
      <c r="L10" s="567"/>
    </row>
    <row r="11" spans="1:12" ht="11.25" customHeight="1">
      <c r="A11" s="263" t="s">
        <v>223</v>
      </c>
      <c r="B11" s="362">
        <f>+B6+B7+B8+B9+B10</f>
        <v>455.77766542499995</v>
      </c>
      <c r="C11" s="363">
        <f t="shared" ref="C11:D11" si="3">+C6+C7+C8+C9+C10</f>
        <v>414.36637141999995</v>
      </c>
      <c r="D11" s="364">
        <f t="shared" si="3"/>
        <v>382.24456671750005</v>
      </c>
      <c r="E11" s="365">
        <f>+E6+E7+E8+E9+E10</f>
        <v>359.99769221750006</v>
      </c>
      <c r="F11" s="264">
        <f t="shared" si="0"/>
        <v>6.179726976293809E-2</v>
      </c>
      <c r="G11" s="420">
        <f>+G6+G7+G8+G9+G10</f>
        <v>2549.4022687850002</v>
      </c>
      <c r="H11" s="421">
        <f>+H6+H7+H8+H9+H10</f>
        <v>2202.8759723375001</v>
      </c>
      <c r="I11" s="265">
        <f t="shared" si="1"/>
        <v>0.1573063126562666</v>
      </c>
      <c r="J11" s="420">
        <f>+J6+J7+J8+J9+J10</f>
        <v>1728.2332968525004</v>
      </c>
      <c r="K11" s="264">
        <f t="shared" si="2"/>
        <v>0.27464039510720584</v>
      </c>
      <c r="L11" s="565"/>
    </row>
    <row r="12" spans="1:12" ht="24.75" customHeight="1">
      <c r="A12" s="266" t="s">
        <v>224</v>
      </c>
      <c r="B12" s="267">
        <f>B11/'4. Tipo Recurso'!B19</f>
        <v>0.14984758721165192</v>
      </c>
      <c r="C12" s="737">
        <f>C11/'4. Tipo Recurso'!C19</f>
        <v>0.12388671543001477</v>
      </c>
      <c r="D12" s="571">
        <f>D11/'4. Tipo Recurso'!D19</f>
        <v>0.10174977214750398</v>
      </c>
      <c r="E12" s="267">
        <f>E11/'4. Tipo Recurso'!E19</f>
        <v>8.3928103862229264E-2</v>
      </c>
      <c r="F12" s="268"/>
      <c r="G12" s="267">
        <f>G11/'4. Tipo Recurso'!G19</f>
        <v>0.11015531634288644</v>
      </c>
      <c r="H12" s="265">
        <f>H11/'4. Tipo Recurso'!H19</f>
        <v>8.3606497757706663E-2</v>
      </c>
      <c r="I12" s="265"/>
      <c r="J12" s="267">
        <f>J11/'4. Tipo Recurso'!J19</f>
        <v>6.8795104245004346E-2</v>
      </c>
      <c r="K12" s="268"/>
      <c r="L12" s="565"/>
    </row>
    <row r="13" spans="1:12" ht="11.25" customHeight="1">
      <c r="A13" s="269" t="s">
        <v>225</v>
      </c>
      <c r="B13" s="134"/>
      <c r="C13" s="134"/>
      <c r="D13" s="134"/>
      <c r="E13" s="134"/>
      <c r="F13" s="134"/>
      <c r="G13" s="134"/>
      <c r="H13" s="134"/>
      <c r="I13" s="134"/>
      <c r="J13" s="134"/>
      <c r="K13" s="135"/>
      <c r="L13" s="565"/>
    </row>
    <row r="14" spans="1:12" ht="35.25" customHeight="1">
      <c r="A14" s="919" t="s">
        <v>462</v>
      </c>
      <c r="B14" s="919"/>
      <c r="C14" s="919"/>
      <c r="D14" s="919"/>
      <c r="E14" s="919"/>
      <c r="F14" s="919"/>
      <c r="G14" s="919"/>
      <c r="H14" s="919"/>
      <c r="I14" s="919"/>
      <c r="J14" s="919"/>
      <c r="K14" s="919"/>
      <c r="L14" s="565"/>
    </row>
    <row r="15" spans="1:12" ht="11.25" customHeight="1">
      <c r="A15" s="31"/>
      <c r="L15" s="565"/>
    </row>
    <row r="16" spans="1:12" ht="11.25" customHeight="1">
      <c r="A16" s="136"/>
      <c r="B16" s="147"/>
      <c r="C16" s="147"/>
      <c r="D16" s="147"/>
      <c r="E16" s="147"/>
      <c r="F16" s="147"/>
      <c r="G16" s="147"/>
      <c r="H16" s="147"/>
      <c r="I16" s="147"/>
      <c r="J16" s="147"/>
      <c r="K16" s="147"/>
      <c r="L16" s="565"/>
    </row>
    <row r="17" spans="1:12" ht="11.25" customHeight="1">
      <c r="A17" s="147"/>
      <c r="B17" s="147"/>
      <c r="C17" s="147"/>
      <c r="D17" s="147"/>
      <c r="E17" s="147"/>
      <c r="F17" s="147"/>
      <c r="G17" s="147"/>
      <c r="H17" s="147"/>
      <c r="I17" s="147"/>
      <c r="J17" s="147"/>
      <c r="K17" s="147"/>
      <c r="L17" s="565"/>
    </row>
    <row r="18" spans="1:12" ht="11.25" customHeight="1">
      <c r="A18" s="147"/>
      <c r="B18" s="147"/>
      <c r="C18" s="147"/>
      <c r="D18" s="147"/>
      <c r="E18" s="147"/>
      <c r="F18" s="147"/>
      <c r="G18" s="147"/>
      <c r="H18" s="147"/>
      <c r="I18" s="147"/>
      <c r="J18" s="147"/>
      <c r="K18" s="147"/>
      <c r="L18" s="569"/>
    </row>
    <row r="19" spans="1:12" ht="11.25" customHeight="1">
      <c r="A19" s="136"/>
      <c r="B19" s="138"/>
      <c r="C19" s="138"/>
      <c r="D19" s="138"/>
      <c r="E19" s="138"/>
      <c r="F19" s="138"/>
      <c r="G19" s="138"/>
      <c r="H19" s="138"/>
      <c r="I19" s="138"/>
      <c r="J19" s="138"/>
      <c r="K19" s="138"/>
      <c r="L19" s="565"/>
    </row>
    <row r="20" spans="1:12" ht="11.25" customHeight="1">
      <c r="A20" s="136"/>
      <c r="B20" s="138"/>
      <c r="C20" s="138"/>
      <c r="D20" s="138"/>
      <c r="E20" s="138"/>
      <c r="F20" s="138"/>
      <c r="G20" s="138"/>
      <c r="H20" s="138"/>
      <c r="I20" s="138"/>
      <c r="J20" s="138"/>
      <c r="K20" s="138"/>
      <c r="L20" s="565"/>
    </row>
    <row r="21" spans="1:12" ht="11.25" customHeight="1">
      <c r="A21" s="136"/>
      <c r="B21" s="138"/>
      <c r="C21" s="138"/>
      <c r="D21" s="138"/>
      <c r="E21" s="138"/>
      <c r="F21" s="138"/>
      <c r="G21" s="138"/>
      <c r="H21" s="138"/>
      <c r="I21" s="138"/>
      <c r="J21" s="138"/>
      <c r="K21" s="138"/>
      <c r="L21" s="565"/>
    </row>
    <row r="22" spans="1:12" ht="11.25" customHeight="1">
      <c r="A22" s="136"/>
      <c r="B22" s="138"/>
      <c r="C22" s="138"/>
      <c r="D22" s="138"/>
      <c r="E22" s="138"/>
      <c r="F22" s="138"/>
      <c r="G22" s="138"/>
      <c r="H22" s="138"/>
      <c r="I22" s="138"/>
      <c r="J22" s="138"/>
      <c r="K22" s="138"/>
      <c r="L22" s="569"/>
    </row>
    <row r="23" spans="1:12" ht="11.25" customHeight="1">
      <c r="A23" s="136"/>
      <c r="B23" s="138"/>
      <c r="C23" s="138"/>
      <c r="D23" s="138"/>
      <c r="E23" s="138"/>
      <c r="F23" s="138"/>
      <c r="G23" s="138"/>
      <c r="H23" s="138"/>
      <c r="I23" s="138"/>
      <c r="J23" s="138"/>
      <c r="K23" s="138"/>
      <c r="L23" s="565"/>
    </row>
    <row r="24" spans="1:12" ht="11.25" customHeight="1">
      <c r="A24" s="136"/>
      <c r="B24" s="138"/>
      <c r="C24" s="138"/>
      <c r="D24" s="138"/>
      <c r="E24" s="138"/>
      <c r="F24" s="138"/>
      <c r="G24" s="138"/>
      <c r="H24" s="138"/>
      <c r="I24" s="138"/>
      <c r="J24" s="138"/>
      <c r="K24" s="138"/>
      <c r="L24" s="565"/>
    </row>
    <row r="25" spans="1:12" ht="11.25" customHeight="1">
      <c r="A25" s="136"/>
      <c r="B25" s="138"/>
      <c r="C25" s="138"/>
      <c r="D25" s="138"/>
      <c r="E25" s="138"/>
      <c r="F25" s="138"/>
      <c r="G25" s="138"/>
      <c r="H25" s="138"/>
      <c r="I25" s="138"/>
      <c r="J25" s="138"/>
      <c r="K25" s="138"/>
      <c r="L25" s="565"/>
    </row>
    <row r="26" spans="1:12" ht="11.25" customHeight="1">
      <c r="A26" s="136"/>
      <c r="B26" s="138"/>
      <c r="C26" s="138"/>
      <c r="D26" s="138"/>
      <c r="E26" s="138"/>
      <c r="F26" s="138"/>
      <c r="G26" s="138"/>
      <c r="H26" s="138"/>
      <c r="I26" s="138"/>
      <c r="J26" s="138"/>
      <c r="K26" s="138"/>
      <c r="L26" s="565"/>
    </row>
    <row r="27" spans="1:12" ht="11.25" customHeight="1">
      <c r="A27" s="136"/>
      <c r="B27" s="138"/>
      <c r="C27" s="138"/>
      <c r="D27" s="138"/>
      <c r="E27" s="138"/>
      <c r="F27" s="138"/>
      <c r="G27" s="138"/>
      <c r="H27" s="138"/>
      <c r="I27" s="138"/>
      <c r="J27" s="138"/>
      <c r="K27" s="138"/>
      <c r="L27" s="565"/>
    </row>
    <row r="28" spans="1:12" ht="11.25" customHeight="1">
      <c r="A28" s="136"/>
      <c r="B28" s="138"/>
      <c r="C28" s="138"/>
      <c r="D28" s="138"/>
      <c r="E28" s="138"/>
      <c r="F28" s="138"/>
      <c r="G28" s="138"/>
      <c r="H28" s="138"/>
      <c r="I28" s="138"/>
      <c r="J28" s="138"/>
      <c r="K28" s="138"/>
      <c r="L28" s="565"/>
    </row>
    <row r="29" spans="1:12" ht="11.25" customHeight="1">
      <c r="A29" s="136"/>
      <c r="B29" s="138"/>
      <c r="C29" s="138"/>
      <c r="D29" s="138"/>
      <c r="E29" s="138"/>
      <c r="F29" s="138"/>
      <c r="G29" s="138"/>
      <c r="H29" s="138"/>
      <c r="I29" s="138"/>
      <c r="J29" s="138"/>
      <c r="K29" s="138"/>
      <c r="L29" s="565"/>
    </row>
    <row r="30" spans="1:12" ht="11.25" customHeight="1">
      <c r="A30" s="136"/>
      <c r="B30" s="138"/>
      <c r="C30" s="138"/>
      <c r="D30" s="138"/>
      <c r="E30" s="138"/>
      <c r="F30" s="138"/>
      <c r="G30" s="138"/>
      <c r="H30" s="138"/>
      <c r="I30" s="138"/>
      <c r="J30" s="138"/>
      <c r="K30" s="138"/>
      <c r="L30" s="565"/>
    </row>
    <row r="31" spans="1:12" ht="11.25" customHeight="1">
      <c r="A31" s="136"/>
      <c r="B31" s="138"/>
      <c r="C31" s="138"/>
      <c r="D31" s="138"/>
      <c r="E31" s="138"/>
      <c r="F31" s="138"/>
      <c r="G31" s="138"/>
      <c r="H31" s="138"/>
      <c r="I31" s="138"/>
      <c r="J31" s="138"/>
      <c r="K31" s="138"/>
      <c r="L31" s="565"/>
    </row>
    <row r="32" spans="1:12" ht="11.25" customHeight="1">
      <c r="A32" s="136"/>
      <c r="B32" s="138"/>
      <c r="C32" s="138"/>
      <c r="D32" s="138"/>
      <c r="E32" s="138"/>
      <c r="F32" s="138"/>
      <c r="G32" s="138"/>
      <c r="H32" s="138"/>
      <c r="I32" s="138"/>
      <c r="J32" s="138"/>
      <c r="K32" s="138"/>
      <c r="L32" s="565"/>
    </row>
    <row r="33" spans="1:16" ht="11.25" customHeight="1">
      <c r="A33" s="136"/>
      <c r="B33" s="138"/>
      <c r="C33" s="138"/>
      <c r="D33" s="138"/>
      <c r="E33" s="138"/>
      <c r="F33" s="138"/>
      <c r="G33" s="138"/>
      <c r="H33" s="138"/>
      <c r="I33" s="138"/>
      <c r="J33" s="138"/>
      <c r="K33" s="138"/>
      <c r="L33" s="565"/>
    </row>
    <row r="34" spans="1:16" ht="11.25" customHeight="1">
      <c r="A34" s="917" t="str">
        <f>"Gráfico N° 6: Comparación de la producción de energía eléctrica acumulada (GWh) con recursos energéticos renovables en "&amp;'1. Resumen'!Q4&amp;"."</f>
        <v>Gráfico N° 6: Comparación de la producción de energía eléctrica acumulada (GWh) con recursos energéticos renovables en junio.</v>
      </c>
      <c r="B34" s="917"/>
      <c r="C34" s="917"/>
      <c r="D34" s="917"/>
      <c r="E34" s="917"/>
      <c r="F34" s="917"/>
      <c r="G34" s="917"/>
      <c r="H34" s="917"/>
      <c r="I34" s="917"/>
      <c r="J34" s="917"/>
      <c r="K34" s="917"/>
      <c r="L34" s="855"/>
      <c r="M34" s="291"/>
      <c r="N34" s="291"/>
      <c r="O34" s="291"/>
    </row>
    <row r="35" spans="1:16" ht="11.25" customHeight="1">
      <c r="L35" s="856"/>
      <c r="M35" s="291"/>
      <c r="N35" s="291"/>
      <c r="O35" s="291"/>
    </row>
    <row r="36" spans="1:16" ht="11.25" customHeight="1">
      <c r="A36" s="136"/>
      <c r="B36" s="138"/>
      <c r="C36" s="138"/>
      <c r="D36" s="138"/>
      <c r="E36" s="138"/>
      <c r="F36" s="138"/>
      <c r="G36" s="138"/>
      <c r="H36" s="138"/>
      <c r="I36" s="138"/>
      <c r="J36" s="138"/>
      <c r="K36" s="138"/>
      <c r="L36" s="855"/>
      <c r="M36" s="291"/>
      <c r="N36" s="291"/>
      <c r="O36" s="291"/>
    </row>
    <row r="37" spans="1:16" ht="11.25" customHeight="1">
      <c r="A37" s="136"/>
      <c r="B37" s="138"/>
      <c r="C37" s="138"/>
      <c r="D37" s="138"/>
      <c r="E37" s="138"/>
      <c r="F37" s="138"/>
      <c r="G37" s="138"/>
      <c r="H37" s="138"/>
      <c r="I37" s="138"/>
      <c r="J37" s="138"/>
      <c r="K37" s="138"/>
      <c r="L37" s="855"/>
      <c r="M37" s="291"/>
      <c r="N37" s="291"/>
      <c r="O37" s="291"/>
    </row>
    <row r="38" spans="1:16" ht="11.25" customHeight="1">
      <c r="A38" s="136"/>
      <c r="B38" s="138"/>
      <c r="C38" s="138"/>
      <c r="D38" s="138"/>
      <c r="E38" s="138"/>
      <c r="F38" s="138"/>
      <c r="G38" s="138"/>
      <c r="H38" s="138"/>
      <c r="I38" s="138"/>
      <c r="J38" s="138"/>
      <c r="K38" s="138"/>
      <c r="L38" s="855"/>
      <c r="M38" s="291"/>
      <c r="N38" s="291"/>
      <c r="O38" s="291"/>
    </row>
    <row r="39" spans="1:16" ht="11.25" customHeight="1">
      <c r="A39" s="136"/>
      <c r="B39" s="138"/>
      <c r="C39" s="270" t="s">
        <v>228</v>
      </c>
      <c r="D39" s="158"/>
      <c r="E39" s="158"/>
      <c r="F39" s="419">
        <f>+'4. Tipo Recurso'!D19</f>
        <v>3756.7117709450013</v>
      </c>
      <c r="G39" s="270" t="s">
        <v>227</v>
      </c>
      <c r="H39" s="138"/>
      <c r="I39" s="138"/>
      <c r="J39" s="138"/>
      <c r="K39" s="138"/>
      <c r="L39" s="855"/>
      <c r="M39" s="857">
        <f>+F39-F40</f>
        <v>3374.4717709450015</v>
      </c>
      <c r="N39" s="291"/>
      <c r="O39" s="291"/>
      <c r="P39" s="570"/>
    </row>
    <row r="40" spans="1:16" ht="11.25" customHeight="1">
      <c r="A40" s="136"/>
      <c r="B40" s="138"/>
      <c r="C40" s="270" t="s">
        <v>229</v>
      </c>
      <c r="D40" s="158"/>
      <c r="E40" s="158"/>
      <c r="F40" s="419">
        <f>ROUND(D11,2)</f>
        <v>382.24</v>
      </c>
      <c r="G40" s="270" t="s">
        <v>227</v>
      </c>
      <c r="H40" s="138"/>
      <c r="I40" s="138"/>
      <c r="J40" s="138"/>
      <c r="K40" s="138"/>
      <c r="L40" s="855"/>
      <c r="M40" s="858"/>
      <c r="N40" s="291"/>
      <c r="O40" s="291"/>
      <c r="P40" s="570"/>
    </row>
    <row r="41" spans="1:16" ht="11.25" customHeight="1">
      <c r="A41" s="136"/>
      <c r="B41" s="138"/>
      <c r="C41" s="138"/>
      <c r="D41" s="138"/>
      <c r="E41" s="138"/>
      <c r="F41" s="138"/>
      <c r="G41" s="138"/>
      <c r="H41" s="138"/>
      <c r="I41" s="138"/>
      <c r="J41" s="138"/>
      <c r="K41" s="138"/>
      <c r="L41" s="855"/>
      <c r="M41" s="291"/>
      <c r="N41" s="291"/>
      <c r="O41" s="291"/>
      <c r="P41" s="570"/>
    </row>
    <row r="42" spans="1:16" ht="11.25" customHeight="1">
      <c r="A42" s="136"/>
      <c r="B42" s="138"/>
      <c r="C42" s="138"/>
      <c r="D42" s="138"/>
      <c r="E42" s="138"/>
      <c r="F42" s="138"/>
      <c r="G42" s="138"/>
      <c r="H42" s="138"/>
      <c r="I42" s="138"/>
      <c r="J42" s="138"/>
      <c r="K42" s="138"/>
      <c r="L42" s="855"/>
      <c r="M42" s="291"/>
      <c r="N42" s="291"/>
      <c r="O42" s="291"/>
      <c r="P42" s="570"/>
    </row>
    <row r="43" spans="1:16" ht="11.25" customHeight="1">
      <c r="A43" s="136"/>
      <c r="B43" s="138"/>
      <c r="C43" s="138"/>
      <c r="D43" s="138"/>
      <c r="E43" s="138"/>
      <c r="F43" s="138"/>
      <c r="G43" s="138"/>
      <c r="H43" s="138"/>
      <c r="I43" s="138"/>
      <c r="J43" s="138"/>
      <c r="K43" s="138"/>
      <c r="L43" s="565"/>
      <c r="P43" s="570"/>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5" t="str">
        <f>"Gráfico N° 7: Participación de las RER en la Matriz de Generación del SEIN en "&amp;'1. Resumen'!Q4&amp;" "&amp;'1. Resumen'!Q5&amp;"."</f>
        <v>Gráfico N° 7: Participación de las RER en la Matriz de Generación del SEIN en junio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115" zoomScaleNormal="100" zoomScaleSheetLayoutView="115" zoomScalePageLayoutView="160" workbookViewId="0">
      <selection activeCell="N65" sqref="N65"/>
    </sheetView>
  </sheetViews>
  <sheetFormatPr defaultColWidth="9.33203125" defaultRowHeight="11.25"/>
  <cols>
    <col min="1" max="11" width="10.33203125" customWidth="1"/>
    <col min="12" max="12" width="21.1640625" style="720" bestFit="1" customWidth="1"/>
    <col min="13" max="14" width="9.33203125" style="720"/>
    <col min="15" max="15" width="11.83203125" style="720" customWidth="1"/>
    <col min="16" max="17" width="9.33203125" style="720"/>
    <col min="18" max="18" width="9.33203125" style="739"/>
    <col min="19" max="19" width="9.33203125" style="764"/>
    <col min="20" max="20" width="15" style="764" customWidth="1"/>
    <col min="21" max="22" width="9.33203125" style="764"/>
    <col min="23" max="24" width="9.33203125" style="563"/>
    <col min="25" max="25" width="17.83203125" style="563" bestFit="1" customWidth="1"/>
  </cols>
  <sheetData>
    <row r="2" spans="1:25" ht="11.25" customHeight="1">
      <c r="A2" s="920" t="s">
        <v>234</v>
      </c>
      <c r="B2" s="920"/>
      <c r="C2" s="920"/>
      <c r="D2" s="920"/>
      <c r="E2" s="920"/>
      <c r="F2" s="920"/>
      <c r="G2" s="920"/>
      <c r="H2" s="920"/>
      <c r="I2" s="920"/>
      <c r="J2" s="920"/>
      <c r="K2" s="920"/>
    </row>
    <row r="3" spans="1:25" ht="11.25" customHeight="1"/>
    <row r="4" spans="1:25" ht="11.25" customHeight="1">
      <c r="L4" s="721" t="s">
        <v>54</v>
      </c>
      <c r="M4" s="722" t="s">
        <v>31</v>
      </c>
      <c r="N4" s="721"/>
      <c r="O4" s="723"/>
      <c r="P4" s="724"/>
      <c r="Q4" s="724"/>
    </row>
    <row r="5" spans="1:25" ht="10.5" customHeight="1">
      <c r="A5" s="149"/>
      <c r="B5" s="138"/>
      <c r="C5" s="138"/>
      <c r="D5" s="138"/>
      <c r="E5" s="138"/>
      <c r="F5" s="138"/>
      <c r="G5" s="138"/>
      <c r="H5" s="138"/>
      <c r="I5" s="138"/>
      <c r="J5" s="138"/>
      <c r="K5" s="138"/>
      <c r="L5" s="721"/>
      <c r="M5" s="722"/>
      <c r="N5" s="721"/>
      <c r="O5" s="721" t="s">
        <v>55</v>
      </c>
      <c r="P5" s="721" t="s">
        <v>56</v>
      </c>
      <c r="Q5" s="721"/>
      <c r="U5" s="764">
        <v>2020</v>
      </c>
      <c r="V5" s="767">
        <v>2019</v>
      </c>
      <c r="W5" s="741"/>
    </row>
    <row r="6" spans="1:25" ht="10.5" customHeight="1">
      <c r="A6" s="111"/>
      <c r="B6" s="138"/>
      <c r="C6" s="138"/>
      <c r="D6" s="138"/>
      <c r="E6" s="138"/>
      <c r="F6" s="138"/>
      <c r="G6" s="138"/>
      <c r="H6" s="138"/>
      <c r="I6" s="138"/>
      <c r="J6" s="138"/>
      <c r="K6" s="138"/>
      <c r="L6" s="725" t="s">
        <v>406</v>
      </c>
      <c r="M6" s="725" t="s">
        <v>58</v>
      </c>
      <c r="N6" s="726">
        <v>19.605</v>
      </c>
      <c r="O6" s="727">
        <v>14.4008622175</v>
      </c>
      <c r="P6" s="727">
        <v>0.98729903617274517</v>
      </c>
      <c r="Q6" s="727"/>
      <c r="S6" s="764" t="s">
        <v>452</v>
      </c>
      <c r="T6" s="764" t="s">
        <v>406</v>
      </c>
      <c r="U6" s="765">
        <v>1.0108599371702853</v>
      </c>
      <c r="V6" s="766">
        <v>0.91314932086423239</v>
      </c>
      <c r="W6" s="742"/>
      <c r="X6" s="764"/>
      <c r="Y6" s="765"/>
    </row>
    <row r="7" spans="1:25" ht="10.5" customHeight="1">
      <c r="A7" s="136"/>
      <c r="B7" s="138"/>
      <c r="C7" s="138"/>
      <c r="D7" s="138"/>
      <c r="E7" s="138"/>
      <c r="F7" s="138"/>
      <c r="G7" s="138"/>
      <c r="H7" s="138"/>
      <c r="I7" s="138"/>
      <c r="J7" s="138"/>
      <c r="K7" s="138"/>
      <c r="L7" s="725" t="s">
        <v>461</v>
      </c>
      <c r="M7" s="725" t="s">
        <v>58</v>
      </c>
      <c r="N7" s="726">
        <v>20</v>
      </c>
      <c r="O7" s="727">
        <v>12.018270287499998</v>
      </c>
      <c r="P7" s="727">
        <v>0.80767945480510739</v>
      </c>
      <c r="Q7" s="727"/>
      <c r="T7" s="764" t="s">
        <v>461</v>
      </c>
      <c r="U7" s="765">
        <v>0.95720026024496341</v>
      </c>
      <c r="V7" s="766"/>
      <c r="W7" s="742"/>
      <c r="X7" s="764"/>
      <c r="Y7" s="765"/>
    </row>
    <row r="8" spans="1:25" ht="10.5" customHeight="1">
      <c r="A8" s="136"/>
      <c r="B8" s="138"/>
      <c r="C8" s="138"/>
      <c r="D8" s="138"/>
      <c r="E8" s="138"/>
      <c r="F8" s="138"/>
      <c r="G8" s="138"/>
      <c r="H8" s="138"/>
      <c r="I8" s="138"/>
      <c r="J8" s="138"/>
      <c r="K8" s="138"/>
      <c r="L8" s="725" t="s">
        <v>59</v>
      </c>
      <c r="M8" s="725" t="s">
        <v>58</v>
      </c>
      <c r="N8" s="726">
        <v>15</v>
      </c>
      <c r="O8" s="727">
        <v>11.345840219999999</v>
      </c>
      <c r="P8" s="727">
        <v>1.0166523494623656</v>
      </c>
      <c r="Q8" s="727"/>
      <c r="T8" s="764" t="s">
        <v>460</v>
      </c>
      <c r="U8" s="765">
        <v>0.90639394041895605</v>
      </c>
      <c r="V8" s="766"/>
      <c r="W8" s="742"/>
      <c r="X8" s="764"/>
      <c r="Y8" s="765"/>
    </row>
    <row r="9" spans="1:25" ht="10.5" customHeight="1">
      <c r="A9" s="136"/>
      <c r="B9" s="138"/>
      <c r="C9" s="138"/>
      <c r="D9" s="138"/>
      <c r="E9" s="138"/>
      <c r="F9" s="138"/>
      <c r="G9" s="138"/>
      <c r="H9" s="138"/>
      <c r="I9" s="138"/>
      <c r="J9" s="138"/>
      <c r="K9" s="138"/>
      <c r="L9" s="725" t="s">
        <v>460</v>
      </c>
      <c r="M9" s="728" t="s">
        <v>58</v>
      </c>
      <c r="N9" s="726">
        <v>20</v>
      </c>
      <c r="O9" s="727">
        <v>9.5612677625</v>
      </c>
      <c r="P9" s="727">
        <v>0.64255831737231184</v>
      </c>
      <c r="Q9" s="727"/>
      <c r="T9" s="764" t="s">
        <v>57</v>
      </c>
      <c r="U9" s="765">
        <v>0.84184204860717438</v>
      </c>
      <c r="V9" s="766">
        <v>0.83796735349034412</v>
      </c>
      <c r="W9" s="742"/>
      <c r="X9" s="764"/>
      <c r="Y9" s="765"/>
    </row>
    <row r="10" spans="1:25" ht="10.5" customHeight="1">
      <c r="A10" s="136"/>
      <c r="B10" s="138"/>
      <c r="C10" s="138"/>
      <c r="D10" s="138"/>
      <c r="E10" s="138"/>
      <c r="F10" s="138"/>
      <c r="G10" s="138"/>
      <c r="H10" s="138"/>
      <c r="I10" s="138"/>
      <c r="J10" s="138"/>
      <c r="K10" s="138"/>
      <c r="L10" s="725" t="s">
        <v>420</v>
      </c>
      <c r="M10" s="728" t="s">
        <v>58</v>
      </c>
      <c r="N10" s="726">
        <v>20</v>
      </c>
      <c r="O10" s="727">
        <v>9.3673749849999997</v>
      </c>
      <c r="P10" s="727">
        <v>0.62952788877688171</v>
      </c>
      <c r="Q10" s="727"/>
      <c r="T10" s="764" t="s">
        <v>413</v>
      </c>
      <c r="U10" s="765">
        <v>0.82705605340426758</v>
      </c>
      <c r="V10" s="766">
        <v>0.50945329199963818</v>
      </c>
      <c r="W10" s="742"/>
      <c r="X10" s="764"/>
      <c r="Y10" s="765"/>
    </row>
    <row r="11" spans="1:25" ht="10.5" customHeight="1">
      <c r="A11" s="136"/>
      <c r="B11" s="138"/>
      <c r="C11" s="138"/>
      <c r="D11" s="138"/>
      <c r="E11" s="138"/>
      <c r="F11" s="138"/>
      <c r="G11" s="138"/>
      <c r="H11" s="138"/>
      <c r="I11" s="138"/>
      <c r="J11" s="138"/>
      <c r="K11" s="138"/>
      <c r="L11" s="725" t="s">
        <v>62</v>
      </c>
      <c r="M11" s="728" t="s">
        <v>58</v>
      </c>
      <c r="N11" s="726">
        <v>9.9830000000000005</v>
      </c>
      <c r="O11" s="727">
        <v>7.1436445050000001</v>
      </c>
      <c r="P11" s="727">
        <v>0.96180233614887234</v>
      </c>
      <c r="Q11" s="727"/>
      <c r="T11" s="764" t="s">
        <v>59</v>
      </c>
      <c r="U11" s="765">
        <v>1.095400339400183</v>
      </c>
      <c r="V11" s="766">
        <v>1</v>
      </c>
      <c r="W11" s="742"/>
      <c r="X11" s="764"/>
      <c r="Y11" s="765"/>
    </row>
    <row r="12" spans="1:25" ht="10.5" customHeight="1">
      <c r="A12" s="136"/>
      <c r="B12" s="138"/>
      <c r="C12" s="138"/>
      <c r="D12" s="138"/>
      <c r="E12" s="138"/>
      <c r="F12" s="138"/>
      <c r="G12" s="138"/>
      <c r="H12" s="138"/>
      <c r="I12" s="138"/>
      <c r="J12" s="138"/>
      <c r="K12" s="138"/>
      <c r="L12" s="725" t="s">
        <v>61</v>
      </c>
      <c r="M12" s="725" t="s">
        <v>58</v>
      </c>
      <c r="N12" s="726">
        <v>19.1995</v>
      </c>
      <c r="O12" s="727">
        <v>6.930165165</v>
      </c>
      <c r="P12" s="727">
        <v>0.48515524492825335</v>
      </c>
      <c r="Q12" s="727"/>
      <c r="T12" s="764" t="s">
        <v>415</v>
      </c>
      <c r="U12" s="765">
        <v>0.79110595995542976</v>
      </c>
      <c r="V12" s="766">
        <v>0.46613436482586817</v>
      </c>
      <c r="W12" s="742"/>
      <c r="X12" s="764"/>
      <c r="Y12" s="765"/>
    </row>
    <row r="13" spans="1:25" ht="10.5" customHeight="1">
      <c r="A13" s="136"/>
      <c r="B13" s="138"/>
      <c r="C13" s="138"/>
      <c r="D13" s="138"/>
      <c r="E13" s="138"/>
      <c r="F13" s="138"/>
      <c r="G13" s="138"/>
      <c r="H13" s="138"/>
      <c r="I13" s="138"/>
      <c r="J13" s="138"/>
      <c r="K13" s="138"/>
      <c r="L13" s="725" t="s">
        <v>414</v>
      </c>
      <c r="M13" s="725" t="s">
        <v>58</v>
      </c>
      <c r="N13" s="726">
        <v>20.16</v>
      </c>
      <c r="O13" s="727">
        <v>6.1366541349999997</v>
      </c>
      <c r="P13" s="727">
        <v>0.40913646040013224</v>
      </c>
      <c r="Q13" s="727"/>
      <c r="T13" s="764" t="s">
        <v>63</v>
      </c>
      <c r="U13" s="765">
        <v>0.76078917817682734</v>
      </c>
      <c r="V13" s="766">
        <v>0.83884575160563435</v>
      </c>
      <c r="W13" s="742"/>
      <c r="X13" s="764"/>
      <c r="Y13" s="765"/>
    </row>
    <row r="14" spans="1:25" ht="10.5" customHeight="1">
      <c r="A14" s="136"/>
      <c r="B14" s="138"/>
      <c r="C14" s="138"/>
      <c r="D14" s="138"/>
      <c r="E14" s="138"/>
      <c r="F14" s="138"/>
      <c r="G14" s="138"/>
      <c r="H14" s="138"/>
      <c r="I14" s="138"/>
      <c r="J14" s="138"/>
      <c r="K14" s="138"/>
      <c r="L14" s="725" t="s">
        <v>424</v>
      </c>
      <c r="M14" s="725" t="s">
        <v>58</v>
      </c>
      <c r="N14" s="726">
        <v>13.2</v>
      </c>
      <c r="O14" s="727">
        <v>6.1175919424999998</v>
      </c>
      <c r="P14" s="727">
        <v>0.62292195569607367</v>
      </c>
      <c r="Q14" s="727"/>
      <c r="T14" s="764" t="s">
        <v>414</v>
      </c>
      <c r="U14" s="765">
        <v>0.73602895670487745</v>
      </c>
      <c r="V14" s="766">
        <v>0.50178003632656076</v>
      </c>
      <c r="W14" s="742"/>
      <c r="X14" s="764"/>
      <c r="Y14" s="765"/>
    </row>
    <row r="15" spans="1:25" ht="11.25" customHeight="1">
      <c r="A15" s="136"/>
      <c r="B15" s="138"/>
      <c r="C15" s="138"/>
      <c r="D15" s="138"/>
      <c r="E15" s="138"/>
      <c r="F15" s="138"/>
      <c r="G15" s="138"/>
      <c r="H15" s="138"/>
      <c r="I15" s="138"/>
      <c r="J15" s="138"/>
      <c r="K15" s="138"/>
      <c r="L15" s="725" t="s">
        <v>413</v>
      </c>
      <c r="M15" s="725" t="s">
        <v>58</v>
      </c>
      <c r="N15" s="726">
        <v>20.16</v>
      </c>
      <c r="O15" s="727">
        <v>6.1076817099999996</v>
      </c>
      <c r="P15" s="727">
        <v>0.40720484177654032</v>
      </c>
      <c r="Q15" s="727"/>
      <c r="T15" s="764" t="s">
        <v>60</v>
      </c>
      <c r="U15" s="765">
        <v>0.70059766881723895</v>
      </c>
      <c r="V15" s="766">
        <v>0.69757106577948491</v>
      </c>
      <c r="W15" s="742"/>
      <c r="X15" s="764"/>
      <c r="Y15" s="765"/>
    </row>
    <row r="16" spans="1:25" ht="11.25" customHeight="1">
      <c r="A16" s="136"/>
      <c r="B16" s="138"/>
      <c r="C16" s="138"/>
      <c r="D16" s="138"/>
      <c r="E16" s="138"/>
      <c r="F16" s="138"/>
      <c r="G16" s="138"/>
      <c r="H16" s="138"/>
      <c r="I16" s="138"/>
      <c r="J16" s="138"/>
      <c r="K16" s="138"/>
      <c r="L16" s="725" t="s">
        <v>463</v>
      </c>
      <c r="M16" s="725" t="s">
        <v>58</v>
      </c>
      <c r="N16" s="726">
        <v>19</v>
      </c>
      <c r="O16" s="727">
        <v>6.0410269574999997</v>
      </c>
      <c r="P16" s="727">
        <v>0.42735052047962646</v>
      </c>
      <c r="Q16" s="727"/>
      <c r="T16" s="764" t="s">
        <v>61</v>
      </c>
      <c r="U16" s="765">
        <v>0.72824117070904903</v>
      </c>
      <c r="V16" s="766">
        <v>0.83286616076414288</v>
      </c>
      <c r="W16" s="742"/>
      <c r="X16" s="764"/>
      <c r="Y16" s="765"/>
    </row>
    <row r="17" spans="1:25" ht="11.25" customHeight="1">
      <c r="A17" s="136"/>
      <c r="B17" s="138"/>
      <c r="C17" s="138"/>
      <c r="D17" s="138"/>
      <c r="E17" s="138"/>
      <c r="F17" s="138"/>
      <c r="G17" s="138"/>
      <c r="H17" s="138"/>
      <c r="I17" s="138"/>
      <c r="J17" s="138"/>
      <c r="K17" s="138"/>
      <c r="L17" s="725" t="s">
        <v>66</v>
      </c>
      <c r="M17" s="725" t="s">
        <v>58</v>
      </c>
      <c r="N17" s="726">
        <v>7.7450000000000001</v>
      </c>
      <c r="O17" s="727">
        <v>5.5391570325000004</v>
      </c>
      <c r="P17" s="727">
        <v>0.96127870087881884</v>
      </c>
      <c r="Q17" s="727"/>
      <c r="T17" s="764" t="s">
        <v>420</v>
      </c>
      <c r="U17" s="765">
        <v>0.69115007371794868</v>
      </c>
      <c r="V17" s="766">
        <v>0.67445903522099415</v>
      </c>
      <c r="W17" s="742"/>
      <c r="X17" s="764"/>
      <c r="Y17" s="765"/>
    </row>
    <row r="18" spans="1:25">
      <c r="A18" s="136"/>
      <c r="B18" s="138"/>
      <c r="C18" s="138"/>
      <c r="D18" s="138"/>
      <c r="E18" s="138"/>
      <c r="F18" s="138"/>
      <c r="G18" s="138"/>
      <c r="H18" s="138"/>
      <c r="I18" s="138"/>
      <c r="J18" s="138"/>
      <c r="K18" s="138"/>
      <c r="L18" s="725" t="s">
        <v>57</v>
      </c>
      <c r="M18" s="725" t="s">
        <v>58</v>
      </c>
      <c r="N18" s="726">
        <v>19.966000000000001</v>
      </c>
      <c r="O18" s="727">
        <v>5.3863698124999999</v>
      </c>
      <c r="P18" s="727">
        <v>0.36260364477811202</v>
      </c>
      <c r="Q18" s="727"/>
      <c r="T18" s="764" t="s">
        <v>463</v>
      </c>
      <c r="U18" s="765">
        <v>0.67912106109625037</v>
      </c>
      <c r="V18" s="766"/>
      <c r="W18" s="742"/>
      <c r="X18" s="764"/>
      <c r="Y18" s="765"/>
    </row>
    <row r="19" spans="1:25">
      <c r="A19" s="136"/>
      <c r="B19" s="138"/>
      <c r="C19" s="138"/>
      <c r="D19" s="138"/>
      <c r="E19" s="138"/>
      <c r="F19" s="138"/>
      <c r="G19" s="138"/>
      <c r="H19" s="138"/>
      <c r="I19" s="138"/>
      <c r="J19" s="138"/>
      <c r="K19" s="138"/>
      <c r="L19" s="725" t="s">
        <v>415</v>
      </c>
      <c r="M19" s="725" t="s">
        <v>58</v>
      </c>
      <c r="N19" s="726">
        <v>20.16</v>
      </c>
      <c r="O19" s="727">
        <v>4.5183815974999995</v>
      </c>
      <c r="P19" s="727">
        <v>0.30124471949538101</v>
      </c>
      <c r="Q19" s="727"/>
      <c r="T19" s="764" t="s">
        <v>424</v>
      </c>
      <c r="U19" s="765">
        <v>0.82273089384573772</v>
      </c>
      <c r="V19" s="766">
        <v>0.77921907572792848</v>
      </c>
      <c r="W19" s="742"/>
      <c r="X19" s="764"/>
      <c r="Y19" s="765"/>
    </row>
    <row r="20" spans="1:25">
      <c r="A20" s="136"/>
      <c r="B20" s="138"/>
      <c r="C20" s="138"/>
      <c r="D20" s="138"/>
      <c r="E20" s="138"/>
      <c r="F20" s="138"/>
      <c r="G20" s="138"/>
      <c r="H20" s="138"/>
      <c r="I20" s="138"/>
      <c r="J20" s="138"/>
      <c r="K20" s="138"/>
      <c r="L20" s="725" t="s">
        <v>69</v>
      </c>
      <c r="M20" s="725" t="s">
        <v>58</v>
      </c>
      <c r="N20" s="726">
        <v>9.5660000000000007</v>
      </c>
      <c r="O20" s="727">
        <v>4.3035559800000005</v>
      </c>
      <c r="P20" s="727">
        <v>0.60467796733053214</v>
      </c>
      <c r="Q20" s="727"/>
      <c r="T20" s="764" t="s">
        <v>62</v>
      </c>
      <c r="U20" s="765">
        <v>0.98504888547481262</v>
      </c>
      <c r="V20" s="766">
        <v>0.84200050427577666</v>
      </c>
      <c r="W20" s="742"/>
      <c r="X20" s="764"/>
      <c r="Y20" s="765"/>
    </row>
    <row r="21" spans="1:25">
      <c r="A21" s="136"/>
      <c r="B21" s="138"/>
      <c r="C21" s="138"/>
      <c r="D21" s="138"/>
      <c r="E21" s="138"/>
      <c r="F21" s="138"/>
      <c r="G21" s="138"/>
      <c r="H21" s="138"/>
      <c r="I21" s="138"/>
      <c r="J21" s="138"/>
      <c r="K21" s="138"/>
      <c r="L21" s="725" t="s">
        <v>60</v>
      </c>
      <c r="M21" s="725" t="s">
        <v>58</v>
      </c>
      <c r="N21" s="726">
        <v>19.966999999999999</v>
      </c>
      <c r="O21" s="727">
        <v>3.9449169450000001</v>
      </c>
      <c r="P21" s="727">
        <v>0.26555354944529441</v>
      </c>
      <c r="Q21" s="727"/>
      <c r="T21" s="764" t="s">
        <v>64</v>
      </c>
      <c r="U21" s="765">
        <v>0.79667191843814567</v>
      </c>
      <c r="V21" s="766">
        <v>0.76981830413620589</v>
      </c>
      <c r="W21" s="742"/>
      <c r="X21" s="764"/>
      <c r="Y21" s="765"/>
    </row>
    <row r="22" spans="1:25">
      <c r="A22" s="136"/>
      <c r="B22" s="138"/>
      <c r="C22" s="138"/>
      <c r="D22" s="138"/>
      <c r="E22" s="138"/>
      <c r="F22" s="138"/>
      <c r="G22" s="138"/>
      <c r="H22" s="138"/>
      <c r="I22" s="138"/>
      <c r="J22" s="138"/>
      <c r="K22" s="138"/>
      <c r="L22" s="725" t="s">
        <v>71</v>
      </c>
      <c r="M22" s="725" t="s">
        <v>58</v>
      </c>
      <c r="N22" s="726">
        <v>5.67</v>
      </c>
      <c r="O22" s="727">
        <v>2.953807555</v>
      </c>
      <c r="P22" s="727">
        <v>0.70020660403747326</v>
      </c>
      <c r="Q22" s="727"/>
      <c r="T22" s="764" t="s">
        <v>65</v>
      </c>
      <c r="U22" s="765">
        <v>0.80961326665086175</v>
      </c>
      <c r="V22" s="766">
        <v>0.76185422766450717</v>
      </c>
      <c r="W22" s="742"/>
      <c r="X22" s="764"/>
      <c r="Y22" s="765"/>
    </row>
    <row r="23" spans="1:25">
      <c r="A23" s="136"/>
      <c r="B23" s="138"/>
      <c r="C23" s="138"/>
      <c r="D23" s="138"/>
      <c r="E23" s="138"/>
      <c r="F23" s="138"/>
      <c r="G23" s="138"/>
      <c r="H23" s="138"/>
      <c r="I23" s="138"/>
      <c r="J23" s="138"/>
      <c r="K23" s="138"/>
      <c r="L23" s="725" t="s">
        <v>64</v>
      </c>
      <c r="M23" s="725" t="s">
        <v>58</v>
      </c>
      <c r="N23" s="726">
        <v>10.222</v>
      </c>
      <c r="O23" s="727">
        <v>2.6652023850000002</v>
      </c>
      <c r="P23" s="727">
        <v>0.35044622091188521</v>
      </c>
      <c r="Q23" s="727"/>
      <c r="T23" s="764" t="s">
        <v>69</v>
      </c>
      <c r="U23" s="765">
        <v>0.75712592308620874</v>
      </c>
      <c r="V23" s="766">
        <v>0.69370181273580955</v>
      </c>
      <c r="W23" s="742"/>
      <c r="X23" s="764"/>
      <c r="Y23" s="765"/>
    </row>
    <row r="24" spans="1:25">
      <c r="A24" s="136"/>
      <c r="B24" s="138"/>
      <c r="C24" s="138"/>
      <c r="D24" s="138"/>
      <c r="E24" s="138"/>
      <c r="F24" s="138"/>
      <c r="G24" s="138"/>
      <c r="H24" s="138"/>
      <c r="I24" s="138"/>
      <c r="J24" s="138"/>
      <c r="K24" s="138"/>
      <c r="L24" s="725" t="s">
        <v>65</v>
      </c>
      <c r="M24" s="725" t="s">
        <v>58</v>
      </c>
      <c r="N24" s="726">
        <v>9.85</v>
      </c>
      <c r="O24" s="727">
        <v>2.5750884924999999</v>
      </c>
      <c r="P24" s="727">
        <v>0.35138481694503576</v>
      </c>
      <c r="Q24" s="727"/>
      <c r="T24" s="764" t="s">
        <v>66</v>
      </c>
      <c r="U24" s="765">
        <v>0.86825174260186777</v>
      </c>
      <c r="V24" s="766">
        <v>0.80360317028630124</v>
      </c>
      <c r="W24" s="742"/>
      <c r="X24" s="764"/>
      <c r="Y24" s="765"/>
    </row>
    <row r="25" spans="1:25">
      <c r="A25" s="136"/>
      <c r="B25" s="138"/>
      <c r="C25" s="138"/>
      <c r="D25" s="138"/>
      <c r="E25" s="138"/>
      <c r="F25" s="138"/>
      <c r="G25" s="138"/>
      <c r="H25" s="138"/>
      <c r="I25" s="138"/>
      <c r="J25" s="138"/>
      <c r="K25" s="138"/>
      <c r="L25" s="725" t="s">
        <v>63</v>
      </c>
      <c r="M25" s="725" t="s">
        <v>58</v>
      </c>
      <c r="N25" s="726">
        <v>19.899999999999999</v>
      </c>
      <c r="O25" s="727">
        <v>2.5531149850000001</v>
      </c>
      <c r="P25" s="727">
        <v>0.17244252073539745</v>
      </c>
      <c r="Q25" s="727"/>
      <c r="T25" s="764" t="s">
        <v>71</v>
      </c>
      <c r="U25" s="765">
        <v>0.84904079613801842</v>
      </c>
      <c r="V25" s="766">
        <v>0.88157391461717372</v>
      </c>
      <c r="W25" s="742"/>
      <c r="X25" s="764"/>
      <c r="Y25" s="765"/>
    </row>
    <row r="26" spans="1:25">
      <c r="A26" s="136"/>
      <c r="B26" s="138"/>
      <c r="C26" s="138"/>
      <c r="D26" s="138"/>
      <c r="E26" s="138"/>
      <c r="F26" s="138"/>
      <c r="G26" s="138"/>
      <c r="H26" s="138"/>
      <c r="I26" s="138"/>
      <c r="J26" s="138"/>
      <c r="K26" s="138"/>
      <c r="L26" s="725" t="s">
        <v>74</v>
      </c>
      <c r="M26" s="725" t="s">
        <v>58</v>
      </c>
      <c r="N26" s="726">
        <v>3.964</v>
      </c>
      <c r="O26" s="727">
        <v>2.2176</v>
      </c>
      <c r="P26" s="727">
        <v>0.75192864815598448</v>
      </c>
      <c r="Q26" s="727"/>
      <c r="T26" s="764" t="s">
        <v>67</v>
      </c>
      <c r="U26" s="765">
        <v>0.64195034684806018</v>
      </c>
      <c r="V26" s="766">
        <v>0.70686604352589955</v>
      </c>
      <c r="W26" s="742"/>
      <c r="X26" s="764"/>
      <c r="Y26" s="765"/>
    </row>
    <row r="27" spans="1:25">
      <c r="A27" s="136"/>
      <c r="B27" s="138"/>
      <c r="C27" s="138"/>
      <c r="D27" s="138"/>
      <c r="E27" s="138"/>
      <c r="F27" s="138"/>
      <c r="G27" s="138"/>
      <c r="H27" s="138"/>
      <c r="I27" s="138"/>
      <c r="J27" s="138"/>
      <c r="K27" s="138"/>
      <c r="L27" s="725" t="s">
        <v>70</v>
      </c>
      <c r="M27" s="725" t="s">
        <v>58</v>
      </c>
      <c r="N27" s="726">
        <v>5.1890000000000001</v>
      </c>
      <c r="O27" s="727">
        <v>2.12640377</v>
      </c>
      <c r="P27" s="727">
        <v>0.55079390698271979</v>
      </c>
      <c r="Q27" s="727"/>
      <c r="T27" s="764" t="s">
        <v>68</v>
      </c>
      <c r="U27" s="765">
        <v>0.61321371328770635</v>
      </c>
      <c r="V27" s="766">
        <v>0.70253064881991201</v>
      </c>
      <c r="W27" s="742"/>
      <c r="X27" s="764"/>
      <c r="Y27" s="765"/>
    </row>
    <row r="28" spans="1:25">
      <c r="A28" s="136"/>
      <c r="B28" s="138"/>
      <c r="C28" s="138"/>
      <c r="D28" s="138"/>
      <c r="E28" s="138"/>
      <c r="F28" s="138"/>
      <c r="G28" s="138"/>
      <c r="H28" s="138"/>
      <c r="I28" s="138"/>
      <c r="J28" s="138"/>
      <c r="K28" s="138"/>
      <c r="L28" s="725" t="s">
        <v>67</v>
      </c>
      <c r="M28" s="725" t="s">
        <v>58</v>
      </c>
      <c r="N28" s="726">
        <v>7.4240000000000004</v>
      </c>
      <c r="O28" s="727">
        <v>1.9190955599999999</v>
      </c>
      <c r="P28" s="727">
        <v>0.34744470853031145</v>
      </c>
      <c r="Q28" s="727"/>
      <c r="T28" s="764" t="s">
        <v>70</v>
      </c>
      <c r="U28" s="765">
        <v>0.79080764225376021</v>
      </c>
      <c r="V28" s="766">
        <v>0.71010240177283923</v>
      </c>
      <c r="W28" s="742"/>
      <c r="X28" s="764"/>
      <c r="Y28" s="765"/>
    </row>
    <row r="29" spans="1:25">
      <c r="A29" s="136"/>
      <c r="B29" s="138"/>
      <c r="C29" s="138"/>
      <c r="D29" s="138"/>
      <c r="E29" s="138"/>
      <c r="F29" s="138"/>
      <c r="G29" s="138"/>
      <c r="H29" s="138"/>
      <c r="I29" s="138"/>
      <c r="J29" s="138"/>
      <c r="K29" s="138"/>
      <c r="L29" s="725" t="s">
        <v>73</v>
      </c>
      <c r="M29" s="725" t="s">
        <v>58</v>
      </c>
      <c r="N29" s="726">
        <v>3.91621</v>
      </c>
      <c r="O29" s="727">
        <v>1.7968975674999998</v>
      </c>
      <c r="P29" s="727">
        <v>0.61671486017189148</v>
      </c>
      <c r="Q29" s="727"/>
      <c r="T29" s="764" t="s">
        <v>73</v>
      </c>
      <c r="U29" s="765">
        <v>0.86108549535067125</v>
      </c>
      <c r="V29" s="766">
        <v>0.71172597660887238</v>
      </c>
      <c r="W29" s="742"/>
      <c r="X29" s="764"/>
      <c r="Y29" s="765"/>
    </row>
    <row r="30" spans="1:25">
      <c r="A30" s="136"/>
      <c r="B30" s="138"/>
      <c r="C30" s="138"/>
      <c r="D30" s="138"/>
      <c r="E30" s="138"/>
      <c r="F30" s="138"/>
      <c r="G30" s="138"/>
      <c r="H30" s="138"/>
      <c r="I30" s="138"/>
      <c r="J30" s="138"/>
      <c r="K30" s="138"/>
      <c r="L30" s="725" t="s">
        <v>68</v>
      </c>
      <c r="M30" s="725" t="s">
        <v>58</v>
      </c>
      <c r="N30" s="726">
        <v>6.9580000000000002</v>
      </c>
      <c r="O30" s="727">
        <v>1.6142961674999998</v>
      </c>
      <c r="P30" s="727">
        <v>0.31183571619811029</v>
      </c>
      <c r="Q30" s="727"/>
      <c r="T30" s="764" t="s">
        <v>74</v>
      </c>
      <c r="U30" s="765">
        <v>0.80970261658959941</v>
      </c>
      <c r="V30" s="766">
        <v>0.80171358060482389</v>
      </c>
      <c r="W30" s="742"/>
      <c r="X30" s="764"/>
      <c r="Y30" s="765"/>
    </row>
    <row r="31" spans="1:25">
      <c r="A31" s="136"/>
      <c r="B31" s="138"/>
      <c r="C31" s="138"/>
      <c r="D31" s="138"/>
      <c r="E31" s="138"/>
      <c r="F31" s="138"/>
      <c r="G31" s="138"/>
      <c r="H31" s="138"/>
      <c r="I31" s="138"/>
      <c r="J31" s="138"/>
      <c r="K31" s="138"/>
      <c r="L31" s="725" t="s">
        <v>72</v>
      </c>
      <c r="M31" s="725" t="s">
        <v>58</v>
      </c>
      <c r="N31" s="726">
        <v>3.48</v>
      </c>
      <c r="O31" s="727">
        <v>1.1218027825000001</v>
      </c>
      <c r="P31" s="727">
        <v>0.43327570081726619</v>
      </c>
      <c r="Q31" s="727"/>
      <c r="T31" s="764" t="s">
        <v>72</v>
      </c>
      <c r="U31" s="765">
        <v>0.68419439428208284</v>
      </c>
      <c r="V31" s="766">
        <v>0.5722691557651195</v>
      </c>
      <c r="W31" s="742"/>
      <c r="X31" s="764"/>
      <c r="Y31" s="765"/>
    </row>
    <row r="32" spans="1:25">
      <c r="A32" s="136"/>
      <c r="B32" s="138"/>
      <c r="C32" s="138"/>
      <c r="D32" s="138"/>
      <c r="E32" s="138"/>
      <c r="F32" s="138"/>
      <c r="G32" s="138"/>
      <c r="H32" s="138"/>
      <c r="I32" s="138"/>
      <c r="J32" s="138"/>
      <c r="K32" s="138"/>
      <c r="L32" s="725" t="s">
        <v>416</v>
      </c>
      <c r="M32" s="725" t="s">
        <v>58</v>
      </c>
      <c r="N32" s="726">
        <v>0.7</v>
      </c>
      <c r="O32" s="727">
        <v>0.41449968500000001</v>
      </c>
      <c r="P32" s="727">
        <v>0.79589033218125971</v>
      </c>
      <c r="Q32" s="727"/>
      <c r="T32" s="764" t="s">
        <v>459</v>
      </c>
      <c r="U32" s="765">
        <v>0.25412295482295483</v>
      </c>
      <c r="V32" s="766"/>
      <c r="W32" s="742"/>
      <c r="X32" s="764"/>
      <c r="Y32" s="765"/>
    </row>
    <row r="33" spans="1:25">
      <c r="A33" s="136"/>
      <c r="B33" s="138"/>
      <c r="C33" s="138"/>
      <c r="D33" s="138"/>
      <c r="E33" s="138"/>
      <c r="F33" s="138"/>
      <c r="G33" s="138"/>
      <c r="H33" s="138"/>
      <c r="I33" s="138"/>
      <c r="J33" s="138"/>
      <c r="K33" s="138"/>
      <c r="L33" s="725" t="s">
        <v>75</v>
      </c>
      <c r="M33" s="725" t="s">
        <v>58</v>
      </c>
      <c r="N33" s="726">
        <v>1.714</v>
      </c>
      <c r="O33" s="727">
        <v>0.29502389499999998</v>
      </c>
      <c r="P33" s="727">
        <v>0.23135209642915397</v>
      </c>
      <c r="Q33" s="727"/>
      <c r="T33" s="764" t="s">
        <v>75</v>
      </c>
      <c r="U33" s="765">
        <v>0.36060475089865407</v>
      </c>
      <c r="V33" s="766">
        <v>0.10902908671357751</v>
      </c>
      <c r="W33" s="742"/>
      <c r="X33" s="764"/>
      <c r="Y33" s="765"/>
    </row>
    <row r="34" spans="1:25">
      <c r="B34" s="138"/>
      <c r="C34" s="138"/>
      <c r="D34" s="138"/>
      <c r="E34" s="138"/>
      <c r="F34" s="138"/>
      <c r="G34" s="138"/>
      <c r="H34" s="138"/>
      <c r="I34" s="138"/>
      <c r="J34" s="138"/>
      <c r="K34" s="138"/>
      <c r="L34" s="725" t="s">
        <v>459</v>
      </c>
      <c r="M34" s="725" t="s">
        <v>58</v>
      </c>
      <c r="N34" s="726">
        <v>8.4</v>
      </c>
      <c r="O34" s="727">
        <v>0</v>
      </c>
      <c r="P34" s="727">
        <v>0</v>
      </c>
      <c r="Q34" s="727"/>
      <c r="T34" s="764" t="s">
        <v>416</v>
      </c>
      <c r="U34" s="765">
        <v>0.71374283833725805</v>
      </c>
      <c r="V34" s="766">
        <v>0.57291269567219161</v>
      </c>
      <c r="W34" s="742"/>
      <c r="X34" s="764"/>
      <c r="Y34" s="765"/>
    </row>
    <row r="35" spans="1:25">
      <c r="A35" s="136"/>
      <c r="B35" s="138"/>
      <c r="C35" s="138"/>
      <c r="D35" s="138"/>
      <c r="E35" s="138"/>
      <c r="F35" s="138"/>
      <c r="G35" s="138"/>
      <c r="H35" s="138"/>
      <c r="I35" s="138"/>
      <c r="J35" s="138"/>
      <c r="K35" s="138"/>
      <c r="L35" s="725" t="s">
        <v>426</v>
      </c>
      <c r="M35" s="725" t="s">
        <v>217</v>
      </c>
      <c r="N35" s="726">
        <v>132.30000000000001</v>
      </c>
      <c r="O35" s="727">
        <v>57.621067795000002</v>
      </c>
      <c r="P35" s="727">
        <v>0.58539434442534477</v>
      </c>
      <c r="Q35" s="727"/>
      <c r="S35" s="764" t="s">
        <v>445</v>
      </c>
      <c r="T35" s="764" t="s">
        <v>426</v>
      </c>
      <c r="U35" s="765">
        <v>0.46080154263450396</v>
      </c>
      <c r="V35" s="766">
        <v>0.47574337307155307</v>
      </c>
      <c r="W35" s="742"/>
      <c r="X35" s="764"/>
      <c r="Y35" s="765"/>
    </row>
    <row r="36" spans="1:25">
      <c r="A36" s="136"/>
      <c r="B36" s="138"/>
      <c r="C36" s="138"/>
      <c r="D36" s="138"/>
      <c r="E36" s="138"/>
      <c r="F36" s="138"/>
      <c r="G36" s="138"/>
      <c r="H36" s="138"/>
      <c r="I36" s="138"/>
      <c r="J36" s="138"/>
      <c r="K36" s="138"/>
      <c r="L36" s="725" t="s">
        <v>76</v>
      </c>
      <c r="M36" s="725" t="s">
        <v>217</v>
      </c>
      <c r="N36" s="726">
        <v>97.15</v>
      </c>
      <c r="O36" s="727">
        <v>46.796291310000001</v>
      </c>
      <c r="P36" s="727">
        <v>0.64743428726777674</v>
      </c>
      <c r="Q36" s="727"/>
      <c r="T36" s="764" t="s">
        <v>76</v>
      </c>
      <c r="U36" s="765">
        <v>0.5278933928606776</v>
      </c>
      <c r="V36" s="766">
        <v>0.54720170909716037</v>
      </c>
      <c r="W36" s="742"/>
      <c r="X36" s="764"/>
      <c r="Y36" s="765"/>
    </row>
    <row r="37" spans="1:25">
      <c r="A37" s="136"/>
      <c r="B37" s="138"/>
      <c r="C37" s="138"/>
      <c r="D37" s="138"/>
      <c r="E37" s="138"/>
      <c r="F37" s="138"/>
      <c r="G37" s="138"/>
      <c r="H37" s="138"/>
      <c r="I37" s="138"/>
      <c r="J37" s="138"/>
      <c r="K37" s="138"/>
      <c r="L37" s="725" t="s">
        <v>77</v>
      </c>
      <c r="M37" s="725" t="s">
        <v>217</v>
      </c>
      <c r="N37" s="726">
        <v>83.15</v>
      </c>
      <c r="O37" s="727">
        <v>29.596191402500001</v>
      </c>
      <c r="P37" s="727">
        <v>0.47841042879011242</v>
      </c>
      <c r="Q37" s="727"/>
      <c r="T37" s="764" t="s">
        <v>77</v>
      </c>
      <c r="U37" s="765">
        <v>0.48813972030362407</v>
      </c>
      <c r="V37" s="766">
        <v>0.44701753976150832</v>
      </c>
      <c r="W37" s="742"/>
      <c r="X37" s="764"/>
      <c r="Y37" s="765"/>
    </row>
    <row r="38" spans="1:25" ht="11.25" customHeight="1">
      <c r="A38" s="136"/>
      <c r="B38" s="138"/>
      <c r="C38" s="138"/>
      <c r="D38" s="138"/>
      <c r="E38" s="138"/>
      <c r="F38" s="138"/>
      <c r="G38" s="138"/>
      <c r="H38" s="138"/>
      <c r="I38" s="138"/>
      <c r="J38" s="138"/>
      <c r="K38" s="138"/>
      <c r="L38" s="725" t="s">
        <v>79</v>
      </c>
      <c r="M38" s="725" t="s">
        <v>217</v>
      </c>
      <c r="N38" s="726">
        <v>30.86</v>
      </c>
      <c r="O38" s="727">
        <v>14.418414907500001</v>
      </c>
      <c r="P38" s="727">
        <v>0.62798411955396904</v>
      </c>
      <c r="Q38" s="729"/>
      <c r="T38" s="764" t="s">
        <v>78</v>
      </c>
      <c r="U38" s="765">
        <v>0.54449347652672841</v>
      </c>
      <c r="V38" s="766">
        <v>0.55914264202420005</v>
      </c>
      <c r="W38" s="742"/>
      <c r="X38" s="764"/>
      <c r="Y38" s="765"/>
    </row>
    <row r="39" spans="1:25">
      <c r="A39" s="136"/>
      <c r="B39" s="138"/>
      <c r="C39" s="138"/>
      <c r="D39" s="138"/>
      <c r="E39" s="138"/>
      <c r="F39" s="138"/>
      <c r="G39" s="138"/>
      <c r="H39" s="138"/>
      <c r="I39" s="138"/>
      <c r="J39" s="138"/>
      <c r="K39" s="138"/>
      <c r="L39" s="725" t="s">
        <v>78</v>
      </c>
      <c r="M39" s="725" t="s">
        <v>217</v>
      </c>
      <c r="N39" s="726">
        <v>32</v>
      </c>
      <c r="O39" s="727">
        <v>13.4524993675</v>
      </c>
      <c r="P39" s="727">
        <v>0.56504113606770834</v>
      </c>
      <c r="T39" s="764" t="s">
        <v>79</v>
      </c>
      <c r="U39" s="765">
        <v>0.42503318091095549</v>
      </c>
      <c r="V39" s="766">
        <v>0.38480913039670622</v>
      </c>
      <c r="W39" s="742"/>
      <c r="X39" s="764"/>
      <c r="Y39" s="765"/>
    </row>
    <row r="40" spans="1:25">
      <c r="A40" s="136"/>
      <c r="B40" s="138"/>
      <c r="C40" s="138"/>
      <c r="D40" s="138"/>
      <c r="E40" s="138"/>
      <c r="F40" s="138"/>
      <c r="G40" s="138"/>
      <c r="H40" s="138"/>
      <c r="I40" s="138"/>
      <c r="J40" s="138"/>
      <c r="K40" s="138"/>
      <c r="L40" s="725" t="s">
        <v>427</v>
      </c>
      <c r="M40" s="725" t="s">
        <v>80</v>
      </c>
      <c r="N40" s="726">
        <v>144.47999999999999</v>
      </c>
      <c r="O40" s="727">
        <v>30.991950109999998</v>
      </c>
      <c r="P40" s="727">
        <v>0.28831566252798324</v>
      </c>
      <c r="S40" s="764" t="s">
        <v>437</v>
      </c>
      <c r="T40" s="764" t="s">
        <v>427</v>
      </c>
      <c r="U40" s="765">
        <v>0.30953192245704186</v>
      </c>
      <c r="V40" s="766">
        <v>0.29603227328455739</v>
      </c>
      <c r="W40" s="742"/>
      <c r="X40" s="764"/>
      <c r="Y40" s="765"/>
    </row>
    <row r="41" spans="1:25">
      <c r="A41" s="136"/>
      <c r="B41" s="138"/>
      <c r="C41" s="138"/>
      <c r="D41" s="138"/>
      <c r="E41" s="138"/>
      <c r="F41" s="138"/>
      <c r="G41" s="138"/>
      <c r="H41" s="138"/>
      <c r="I41" s="138"/>
      <c r="J41" s="138"/>
      <c r="K41" s="138"/>
      <c r="L41" s="725" t="s">
        <v>428</v>
      </c>
      <c r="M41" s="725" t="s">
        <v>80</v>
      </c>
      <c r="N41" s="726">
        <v>44.54</v>
      </c>
      <c r="O41" s="727">
        <v>7.4953588299999998</v>
      </c>
      <c r="P41" s="727">
        <v>0.22618785427862353</v>
      </c>
      <c r="T41" s="764" t="s">
        <v>428</v>
      </c>
      <c r="U41" s="765">
        <v>0.2375466789328767</v>
      </c>
      <c r="V41" s="766">
        <v>0.23959179066801953</v>
      </c>
      <c r="W41" s="742"/>
      <c r="X41" s="764"/>
      <c r="Y41" s="765"/>
    </row>
    <row r="42" spans="1:25">
      <c r="A42" s="136"/>
      <c r="B42" s="138"/>
      <c r="C42" s="138"/>
      <c r="D42" s="138"/>
      <c r="E42" s="138"/>
      <c r="F42" s="138"/>
      <c r="G42" s="138"/>
      <c r="H42" s="138"/>
      <c r="I42" s="138"/>
      <c r="J42" s="138"/>
      <c r="K42" s="138"/>
      <c r="L42" s="725" t="s">
        <v>232</v>
      </c>
      <c r="M42" s="725" t="s">
        <v>80</v>
      </c>
      <c r="N42" s="726">
        <v>20</v>
      </c>
      <c r="O42" s="727">
        <v>3.8023325275000004</v>
      </c>
      <c r="P42" s="727">
        <v>0.25553309996639784</v>
      </c>
      <c r="T42" s="764" t="s">
        <v>232</v>
      </c>
      <c r="U42" s="765">
        <v>0.27838034632554948</v>
      </c>
      <c r="V42" s="766">
        <v>0.26827097269221922</v>
      </c>
      <c r="W42" s="742"/>
      <c r="X42" s="764"/>
      <c r="Y42" s="765"/>
    </row>
    <row r="43" spans="1:25" ht="36" customHeight="1">
      <c r="A43" s="917"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junio 2020.
Nota: Son consideradas las centrales con operación comercial</v>
      </c>
      <c r="B43" s="917"/>
      <c r="C43" s="917"/>
      <c r="D43" s="917"/>
      <c r="E43" s="917"/>
      <c r="F43" s="917"/>
      <c r="G43" s="917"/>
      <c r="H43" s="917"/>
      <c r="I43" s="917"/>
      <c r="J43" s="917"/>
      <c r="K43" s="917"/>
      <c r="L43" s="725" t="s">
        <v>82</v>
      </c>
      <c r="M43" s="725" t="s">
        <v>80</v>
      </c>
      <c r="N43" s="726">
        <v>20</v>
      </c>
      <c r="O43" s="727">
        <v>3.3394412349999998</v>
      </c>
      <c r="P43" s="727">
        <v>0.22442481418010751</v>
      </c>
      <c r="T43" s="764" t="s">
        <v>231</v>
      </c>
      <c r="U43" s="765">
        <v>0.25921535608402013</v>
      </c>
      <c r="V43" s="766">
        <v>0.26276105884553408</v>
      </c>
      <c r="W43" s="742"/>
      <c r="X43" s="764"/>
      <c r="Y43" s="765"/>
    </row>
    <row r="44" spans="1:25" ht="18" customHeight="1">
      <c r="A44" s="136"/>
      <c r="B44" s="138"/>
      <c r="C44" s="138"/>
      <c r="D44" s="138"/>
      <c r="E44" s="138"/>
      <c r="F44" s="138"/>
      <c r="G44" s="138"/>
      <c r="H44" s="138"/>
      <c r="I44" s="138"/>
      <c r="J44" s="138"/>
      <c r="K44" s="138"/>
      <c r="L44" s="725" t="s">
        <v>233</v>
      </c>
      <c r="M44" s="725" t="s">
        <v>80</v>
      </c>
      <c r="N44" s="726">
        <v>20</v>
      </c>
      <c r="O44" s="727">
        <v>3.3092989999999998</v>
      </c>
      <c r="P44" s="727">
        <v>0.22239912634408601</v>
      </c>
      <c r="T44" s="764" t="s">
        <v>81</v>
      </c>
      <c r="U44" s="765">
        <v>0.30640816180889419</v>
      </c>
      <c r="V44" s="766">
        <v>0.30867903688996307</v>
      </c>
      <c r="W44" s="742"/>
      <c r="X44" s="764"/>
      <c r="Y44" s="765"/>
    </row>
    <row r="45" spans="1:25" ht="12">
      <c r="A45" s="136"/>
      <c r="B45" s="138"/>
      <c r="C45" s="921" t="str">
        <f>"Factor de planta de las centrales RER  Acumulado al "&amp;'1. Resumen'!Q7&amp;" de "&amp;'1. Resumen'!Q4</f>
        <v>Factor de planta de las centrales RER  Acumulado al 30 de junio</v>
      </c>
      <c r="D45" s="921"/>
      <c r="E45" s="921"/>
      <c r="F45" s="921"/>
      <c r="G45" s="921"/>
      <c r="H45" s="921"/>
      <c r="I45" s="921"/>
      <c r="J45" s="138"/>
      <c r="K45" s="138"/>
      <c r="L45" s="725" t="s">
        <v>81</v>
      </c>
      <c r="M45" s="725" t="s">
        <v>80</v>
      </c>
      <c r="N45" s="726">
        <v>16</v>
      </c>
      <c r="O45" s="727">
        <v>3.1982834100000002</v>
      </c>
      <c r="P45" s="727">
        <v>0.26867300151209678</v>
      </c>
      <c r="T45" s="764" t="s">
        <v>233</v>
      </c>
      <c r="U45" s="765">
        <v>0.23651505723443222</v>
      </c>
      <c r="V45" s="766">
        <v>0.24399783684392268</v>
      </c>
      <c r="W45" s="742"/>
      <c r="X45" s="764"/>
      <c r="Y45" s="765"/>
    </row>
    <row r="46" spans="1:25" ht="9.75" customHeight="1">
      <c r="A46" s="136"/>
      <c r="B46" s="138"/>
      <c r="C46" s="138"/>
      <c r="D46" s="138"/>
      <c r="E46" s="138"/>
      <c r="F46" s="138"/>
      <c r="G46" s="138"/>
      <c r="H46" s="138"/>
      <c r="I46" s="138"/>
      <c r="J46" s="138"/>
      <c r="K46" s="138"/>
      <c r="L46" s="725" t="s">
        <v>231</v>
      </c>
      <c r="M46" s="725" t="s">
        <v>80</v>
      </c>
      <c r="N46" s="726">
        <v>20</v>
      </c>
      <c r="O46" s="727">
        <v>2.9275250850000001</v>
      </c>
      <c r="P46" s="727">
        <v>0.19674227721774196</v>
      </c>
      <c r="T46" s="764" t="s">
        <v>82</v>
      </c>
      <c r="U46" s="765">
        <v>0.22929850071543037</v>
      </c>
      <c r="V46" s="766">
        <v>0.23503944406077346</v>
      </c>
      <c r="W46" s="742"/>
      <c r="X46" s="764"/>
      <c r="Y46" s="765"/>
    </row>
    <row r="47" spans="1:25" ht="9.75" customHeight="1">
      <c r="A47" s="136"/>
      <c r="B47" s="138"/>
      <c r="C47" s="138"/>
      <c r="D47" s="138"/>
      <c r="E47" s="138"/>
      <c r="F47" s="138"/>
      <c r="G47" s="138"/>
      <c r="H47" s="138"/>
      <c r="I47" s="138"/>
      <c r="J47" s="138"/>
      <c r="K47" s="138"/>
      <c r="L47" s="725" t="s">
        <v>83</v>
      </c>
      <c r="M47" s="725" t="s">
        <v>403</v>
      </c>
      <c r="N47" s="726">
        <v>12.74105</v>
      </c>
      <c r="O47" s="727">
        <v>8.7488638724999994</v>
      </c>
      <c r="P47" s="727">
        <v>0.92294007441150039</v>
      </c>
      <c r="S47" s="764" t="s">
        <v>438</v>
      </c>
      <c r="T47" s="764" t="s">
        <v>83</v>
      </c>
      <c r="U47" s="765">
        <v>0.74927398270613943</v>
      </c>
      <c r="V47" s="766">
        <v>0.80351072979564497</v>
      </c>
      <c r="X47" s="764"/>
      <c r="Y47" s="765"/>
    </row>
    <row r="48" spans="1:25" ht="9.75" customHeight="1">
      <c r="A48" s="136"/>
      <c r="B48" s="138"/>
      <c r="C48" s="138"/>
      <c r="D48" s="138"/>
      <c r="E48" s="138"/>
      <c r="F48" s="138"/>
      <c r="G48" s="138"/>
      <c r="H48" s="138"/>
      <c r="I48" s="138"/>
      <c r="J48" s="138"/>
      <c r="K48" s="138"/>
      <c r="L48" s="725" t="s">
        <v>85</v>
      </c>
      <c r="M48" s="725" t="s">
        <v>403</v>
      </c>
      <c r="N48" s="726">
        <v>2.9537</v>
      </c>
      <c r="O48" s="727">
        <v>1.649512375</v>
      </c>
      <c r="P48" s="727">
        <v>0.75061330722065023</v>
      </c>
      <c r="T48" s="764" t="s">
        <v>84</v>
      </c>
      <c r="U48" s="765">
        <v>0.48486496514238453</v>
      </c>
      <c r="V48" s="766">
        <v>0.9016831376948955</v>
      </c>
      <c r="X48" s="764"/>
      <c r="Y48" s="765"/>
    </row>
    <row r="49" spans="1:25" ht="9.75" customHeight="1">
      <c r="A49" s="136"/>
      <c r="B49" s="138"/>
      <c r="C49" s="138"/>
      <c r="D49" s="138"/>
      <c r="E49" s="138"/>
      <c r="F49" s="138"/>
      <c r="G49" s="138"/>
      <c r="H49" s="138"/>
      <c r="I49" s="138"/>
      <c r="J49" s="138"/>
      <c r="K49" s="138"/>
      <c r="L49" s="725" t="s">
        <v>84</v>
      </c>
      <c r="M49" s="725" t="s">
        <v>403</v>
      </c>
      <c r="N49" s="726">
        <v>4.2625000000000002</v>
      </c>
      <c r="O49" s="727">
        <v>0.79044162500000015</v>
      </c>
      <c r="P49" s="727">
        <v>0.24924845489231548</v>
      </c>
      <c r="T49" s="764" t="s">
        <v>85</v>
      </c>
      <c r="U49" s="765">
        <v>0.51530026139996266</v>
      </c>
      <c r="V49" s="766">
        <v>0.56804366652282579</v>
      </c>
      <c r="X49" s="764"/>
      <c r="Y49" s="765"/>
    </row>
    <row r="50" spans="1:25" ht="9.75" customHeight="1">
      <c r="A50" s="136"/>
      <c r="B50" s="138"/>
      <c r="C50" s="138"/>
      <c r="D50" s="138"/>
      <c r="E50" s="138"/>
      <c r="F50" s="138"/>
      <c r="G50" s="138"/>
      <c r="H50" s="138"/>
      <c r="I50" s="138"/>
      <c r="J50" s="138"/>
      <c r="K50" s="138"/>
      <c r="L50" s="725" t="s">
        <v>429</v>
      </c>
      <c r="M50" s="725" t="s">
        <v>403</v>
      </c>
      <c r="N50" s="726">
        <v>2.4</v>
      </c>
      <c r="O50" s="727">
        <v>0</v>
      </c>
      <c r="P50" s="727">
        <v>0</v>
      </c>
      <c r="T50" s="764" t="s">
        <v>429</v>
      </c>
      <c r="U50" s="765">
        <v>0.50704021195818072</v>
      </c>
      <c r="V50" s="766">
        <v>0.73220944645871766</v>
      </c>
    </row>
    <row r="51" spans="1:25" ht="9.75" customHeight="1">
      <c r="A51" s="136"/>
      <c r="B51" s="138"/>
      <c r="C51" s="138"/>
      <c r="D51" s="138"/>
      <c r="E51" s="138"/>
      <c r="F51" s="138"/>
      <c r="G51" s="138"/>
      <c r="H51" s="138"/>
      <c r="I51" s="138"/>
      <c r="J51" s="138"/>
      <c r="K51" s="138"/>
    </row>
    <row r="52" spans="1:25" ht="9.75" customHeight="1">
      <c r="A52" s="136"/>
      <c r="B52" s="138"/>
      <c r="C52" s="138"/>
      <c r="D52" s="138"/>
      <c r="E52" s="138"/>
      <c r="F52" s="138"/>
      <c r="G52" s="138"/>
      <c r="H52" s="138"/>
      <c r="I52" s="138"/>
      <c r="J52" s="138"/>
      <c r="K52" s="138"/>
    </row>
    <row r="53" spans="1:25" ht="9.75" customHeight="1">
      <c r="B53" s="138"/>
      <c r="C53" s="138"/>
      <c r="D53" s="138"/>
      <c r="E53" s="138"/>
      <c r="F53" s="138"/>
      <c r="G53" s="138"/>
      <c r="H53" s="138"/>
      <c r="I53" s="138"/>
      <c r="J53" s="138"/>
      <c r="K53" s="138"/>
    </row>
    <row r="54" spans="1:25" ht="9.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17"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junio.
Nota: Son consideradas las centrales con operación comercial</v>
      </c>
      <c r="B64" s="917"/>
      <c r="C64" s="917"/>
      <c r="D64" s="917"/>
      <c r="E64" s="917"/>
      <c r="F64" s="917"/>
      <c r="G64" s="917"/>
      <c r="H64" s="917"/>
      <c r="I64" s="917"/>
      <c r="J64" s="917"/>
      <c r="K64" s="917"/>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Normal="100" zoomScaleSheetLayoutView="100" zoomScalePageLayoutView="85" workbookViewId="0">
      <selection activeCell="N65" sqref="N65"/>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18" t="s">
        <v>235</v>
      </c>
      <c r="B2" s="918"/>
      <c r="C2" s="918"/>
      <c r="D2" s="918"/>
      <c r="E2" s="918"/>
      <c r="F2" s="918"/>
      <c r="G2" s="918"/>
      <c r="H2" s="918"/>
      <c r="I2" s="918"/>
      <c r="J2" s="17"/>
    </row>
    <row r="3" spans="1:14" ht="6" customHeight="1">
      <c r="A3" s="17"/>
      <c r="B3" s="17"/>
      <c r="C3" s="17"/>
      <c r="D3" s="17"/>
      <c r="E3" s="17"/>
      <c r="F3" s="17"/>
      <c r="G3" s="17"/>
      <c r="H3" s="17"/>
      <c r="I3" s="17"/>
      <c r="J3" s="17"/>
      <c r="K3" s="334"/>
      <c r="L3" s="334"/>
    </row>
    <row r="4" spans="1:14" ht="11.25" customHeight="1">
      <c r="A4" s="924" t="s">
        <v>245</v>
      </c>
      <c r="B4" s="925" t="str">
        <f>+'1. Resumen'!Q4</f>
        <v>junio</v>
      </c>
      <c r="C4" s="926"/>
      <c r="D4" s="926"/>
      <c r="E4" s="138"/>
      <c r="F4" s="138"/>
      <c r="G4" s="927" t="s">
        <v>478</v>
      </c>
      <c r="H4" s="927"/>
      <c r="I4" s="927"/>
      <c r="J4" s="138"/>
      <c r="L4" s="335"/>
      <c r="M4" s="336">
        <v>2020</v>
      </c>
      <c r="N4" s="336">
        <v>2019</v>
      </c>
    </row>
    <row r="5" spans="1:14" ht="11.25" customHeight="1">
      <c r="A5" s="924"/>
      <c r="B5" s="483">
        <f>+'1. Resumen'!Q5</f>
        <v>2020</v>
      </c>
      <c r="C5" s="484">
        <f>+B5-1</f>
        <v>2019</v>
      </c>
      <c r="D5" s="484" t="s">
        <v>35</v>
      </c>
      <c r="E5" s="138"/>
      <c r="F5" s="138"/>
      <c r="G5" s="138"/>
      <c r="H5" s="138"/>
      <c r="I5" s="138"/>
      <c r="J5" s="138"/>
      <c r="K5" s="337"/>
      <c r="L5" s="341" t="s">
        <v>119</v>
      </c>
      <c r="M5" s="339">
        <v>0</v>
      </c>
      <c r="N5" s="339">
        <v>0.26427637250000002</v>
      </c>
    </row>
    <row r="6" spans="1:14" ht="10.5" customHeight="1">
      <c r="A6" s="395" t="s">
        <v>89</v>
      </c>
      <c r="B6" s="412">
        <v>604.85600927999985</v>
      </c>
      <c r="C6" s="413">
        <v>605.81295895749997</v>
      </c>
      <c r="D6" s="396">
        <f>IF(C6=0,"",B6/C6-1)</f>
        <v>-1.5796124255031962E-3</v>
      </c>
      <c r="E6" s="138"/>
      <c r="F6" s="138"/>
      <c r="G6" s="138"/>
      <c r="H6" s="138"/>
      <c r="I6" s="138"/>
      <c r="J6" s="138"/>
      <c r="K6" s="340"/>
      <c r="L6" s="341" t="s">
        <v>102</v>
      </c>
      <c r="M6" s="339">
        <v>0</v>
      </c>
      <c r="N6" s="339">
        <v>20.5833899675</v>
      </c>
    </row>
    <row r="7" spans="1:14" ht="10.5" customHeight="1">
      <c r="A7" s="397" t="s">
        <v>87</v>
      </c>
      <c r="B7" s="414">
        <v>577.23144132499999</v>
      </c>
      <c r="C7" s="414">
        <v>532.56405460499991</v>
      </c>
      <c r="D7" s="398">
        <f t="shared" ref="D7:D64" si="0">IF(C7=0,"",B7/C7-1)</f>
        <v>8.3872327344979514E-2</v>
      </c>
      <c r="E7" s="408"/>
      <c r="F7" s="138"/>
      <c r="G7" s="138"/>
      <c r="H7" s="138"/>
      <c r="I7" s="138"/>
      <c r="J7" s="138"/>
      <c r="L7" s="339" t="s">
        <v>244</v>
      </c>
      <c r="M7" s="339">
        <v>0</v>
      </c>
      <c r="N7" s="339">
        <v>0</v>
      </c>
    </row>
    <row r="8" spans="1:14" ht="10.5" customHeight="1">
      <c r="A8" s="395" t="s">
        <v>88</v>
      </c>
      <c r="B8" s="413">
        <v>455.57443099749997</v>
      </c>
      <c r="C8" s="413">
        <v>606.7002686525002</v>
      </c>
      <c r="D8" s="396">
        <f t="shared" si="0"/>
        <v>-0.24909472677613165</v>
      </c>
      <c r="E8" s="138"/>
      <c r="F8" s="138"/>
      <c r="G8" s="138"/>
      <c r="H8" s="138"/>
      <c r="I8" s="138"/>
      <c r="J8" s="138"/>
      <c r="L8" s="341" t="s">
        <v>236</v>
      </c>
      <c r="M8" s="339">
        <v>0</v>
      </c>
      <c r="N8" s="339">
        <v>0</v>
      </c>
    </row>
    <row r="9" spans="1:14" ht="10.5" customHeight="1">
      <c r="A9" s="397" t="s">
        <v>410</v>
      </c>
      <c r="B9" s="414">
        <v>366.03391326249999</v>
      </c>
      <c r="C9" s="414">
        <v>715.561220585</v>
      </c>
      <c r="D9" s="398">
        <f t="shared" si="0"/>
        <v>-0.48846597225705912</v>
      </c>
      <c r="E9" s="138"/>
      <c r="F9" s="138"/>
      <c r="G9" s="138"/>
      <c r="H9" s="138"/>
      <c r="I9" s="138"/>
      <c r="J9" s="138"/>
      <c r="L9" s="341" t="s">
        <v>121</v>
      </c>
      <c r="M9" s="339">
        <v>0</v>
      </c>
      <c r="N9" s="339">
        <v>5.6257770449999995</v>
      </c>
    </row>
    <row r="10" spans="1:14" ht="10.5" customHeight="1">
      <c r="A10" s="395" t="s">
        <v>239</v>
      </c>
      <c r="B10" s="413">
        <v>298.82168594000007</v>
      </c>
      <c r="C10" s="413">
        <v>392.351498795</v>
      </c>
      <c r="D10" s="396">
        <f t="shared" si="0"/>
        <v>-0.23838270821508545</v>
      </c>
      <c r="E10" s="138"/>
      <c r="F10" s="138"/>
      <c r="G10" s="138"/>
      <c r="H10" s="138"/>
      <c r="I10" s="138"/>
      <c r="J10" s="138"/>
      <c r="K10" s="337"/>
      <c r="L10" s="339" t="s">
        <v>105</v>
      </c>
      <c r="M10" s="339">
        <v>1.3787250000000002E-4</v>
      </c>
      <c r="N10" s="339">
        <v>22.282443610000001</v>
      </c>
    </row>
    <row r="11" spans="1:14" ht="10.5" customHeight="1">
      <c r="A11" s="397" t="s">
        <v>90</v>
      </c>
      <c r="B11" s="414">
        <v>154.21513433499996</v>
      </c>
      <c r="C11" s="414">
        <v>159.56987290249998</v>
      </c>
      <c r="D11" s="398">
        <f t="shared" si="0"/>
        <v>-3.3557328022513766E-2</v>
      </c>
      <c r="E11" s="138"/>
      <c r="F11" s="138"/>
      <c r="G11" s="138"/>
      <c r="H11" s="138"/>
      <c r="I11" s="138"/>
      <c r="J11" s="138"/>
      <c r="K11" s="340"/>
      <c r="L11" s="339" t="s">
        <v>243</v>
      </c>
      <c r="M11" s="339">
        <v>2.3127475000000002E-3</v>
      </c>
      <c r="N11" s="339">
        <v>0.57651218999999998</v>
      </c>
    </row>
    <row r="12" spans="1:14" ht="10.5" customHeight="1">
      <c r="A12" s="395" t="s">
        <v>100</v>
      </c>
      <c r="B12" s="413">
        <v>153.73033570749999</v>
      </c>
      <c r="C12" s="413">
        <v>125.52103481249999</v>
      </c>
      <c r="D12" s="396">
        <f t="shared" si="0"/>
        <v>0.22473763809498792</v>
      </c>
      <c r="E12" s="138"/>
      <c r="F12" s="138"/>
      <c r="G12" s="138"/>
      <c r="H12" s="138"/>
      <c r="I12" s="138"/>
      <c r="J12" s="138"/>
      <c r="K12" s="340"/>
      <c r="L12" s="339" t="s">
        <v>412</v>
      </c>
      <c r="M12" s="339">
        <v>1.9248000000000001E-2</v>
      </c>
      <c r="N12" s="339">
        <v>0.22750075</v>
      </c>
    </row>
    <row r="13" spans="1:14" ht="10.5" customHeight="1">
      <c r="A13" s="397" t="s">
        <v>241</v>
      </c>
      <c r="B13" s="414">
        <v>127.09308077249999</v>
      </c>
      <c r="C13" s="414">
        <v>133.59416018249999</v>
      </c>
      <c r="D13" s="399">
        <f t="shared" si="0"/>
        <v>-4.8662901141180326E-2</v>
      </c>
      <c r="E13" s="138"/>
      <c r="F13" s="138"/>
      <c r="G13" s="138"/>
      <c r="H13" s="138"/>
      <c r="I13" s="138"/>
      <c r="J13" s="138"/>
      <c r="K13" s="340"/>
      <c r="L13" s="341" t="s">
        <v>118</v>
      </c>
      <c r="M13" s="339">
        <v>2.0583757499999997E-2</v>
      </c>
      <c r="N13" s="339">
        <v>0.39942037250000001</v>
      </c>
    </row>
    <row r="14" spans="1:14" ht="10.5" customHeight="1">
      <c r="A14" s="395" t="s">
        <v>92</v>
      </c>
      <c r="B14" s="413">
        <v>112.71340004000001</v>
      </c>
      <c r="C14" s="413">
        <v>92.365385545000009</v>
      </c>
      <c r="D14" s="396">
        <f t="shared" si="0"/>
        <v>0.22029913451816352</v>
      </c>
      <c r="E14" s="138"/>
      <c r="F14" s="138"/>
      <c r="G14" s="138"/>
      <c r="H14" s="138"/>
      <c r="I14" s="138"/>
      <c r="J14" s="138"/>
      <c r="K14" s="340"/>
      <c r="L14" s="341" t="s">
        <v>453</v>
      </c>
      <c r="M14" s="339">
        <v>0.29502389499999998</v>
      </c>
      <c r="N14" s="339">
        <v>0.1493651225</v>
      </c>
    </row>
    <row r="15" spans="1:14" ht="10.5" customHeight="1">
      <c r="A15" s="397" t="s">
        <v>237</v>
      </c>
      <c r="B15" s="414">
        <v>99.662383347499997</v>
      </c>
      <c r="C15" s="414">
        <v>103.07324302250001</v>
      </c>
      <c r="D15" s="398">
        <f t="shared" si="0"/>
        <v>-3.3091611120215303E-2</v>
      </c>
      <c r="E15" s="138"/>
      <c r="F15" s="138"/>
      <c r="G15" s="138"/>
      <c r="H15" s="138"/>
      <c r="I15" s="138"/>
      <c r="J15" s="138"/>
      <c r="K15" s="340"/>
      <c r="L15" s="339" t="s">
        <v>117</v>
      </c>
      <c r="M15" s="339">
        <v>1.1218027825000001</v>
      </c>
      <c r="N15" s="339">
        <v>1.2968324550000001</v>
      </c>
    </row>
    <row r="16" spans="1:14" ht="10.5" customHeight="1">
      <c r="A16" s="395" t="s">
        <v>98</v>
      </c>
      <c r="B16" s="413">
        <v>88.613017904999992</v>
      </c>
      <c r="C16" s="413">
        <v>82.422306442500002</v>
      </c>
      <c r="D16" s="396">
        <f t="shared" si="0"/>
        <v>7.5109660596780259E-2</v>
      </c>
      <c r="E16" s="138"/>
      <c r="F16" s="138"/>
      <c r="G16" s="138"/>
      <c r="H16" s="138"/>
      <c r="I16" s="138"/>
      <c r="J16" s="138" t="s">
        <v>8</v>
      </c>
      <c r="K16" s="340"/>
      <c r="L16" s="339" t="s">
        <v>115</v>
      </c>
      <c r="M16" s="339">
        <v>1.7968975674999998</v>
      </c>
      <c r="N16" s="339">
        <v>1.8726233400000001</v>
      </c>
    </row>
    <row r="17" spans="1:14" ht="10.5" customHeight="1">
      <c r="A17" s="397" t="s">
        <v>91</v>
      </c>
      <c r="B17" s="414">
        <v>70.159468447500004</v>
      </c>
      <c r="C17" s="414">
        <v>69.812027057500003</v>
      </c>
      <c r="D17" s="398">
        <f t="shared" si="0"/>
        <v>4.9768128020954983E-3</v>
      </c>
      <c r="E17" s="138"/>
      <c r="F17" s="138"/>
      <c r="G17" s="138"/>
      <c r="H17" s="138"/>
      <c r="I17" s="138"/>
      <c r="J17" s="138"/>
      <c r="K17" s="340"/>
      <c r="L17" s="339" t="s">
        <v>114</v>
      </c>
      <c r="M17" s="339">
        <v>2.12640377</v>
      </c>
      <c r="N17" s="339">
        <v>0.64195259750000011</v>
      </c>
    </row>
    <row r="18" spans="1:14" ht="10.5" customHeight="1">
      <c r="A18" s="395" t="s">
        <v>93</v>
      </c>
      <c r="B18" s="413">
        <v>66.997822694999996</v>
      </c>
      <c r="C18" s="413">
        <v>55.464974492499998</v>
      </c>
      <c r="D18" s="396">
        <f t="shared" si="0"/>
        <v>0.20793028948493397</v>
      </c>
      <c r="E18" s="138"/>
      <c r="F18" s="138"/>
      <c r="G18" s="138"/>
      <c r="H18" s="138"/>
      <c r="I18" s="138"/>
      <c r="J18" s="138"/>
      <c r="K18" s="343"/>
      <c r="L18" s="339" t="s">
        <v>116</v>
      </c>
      <c r="M18" s="339">
        <v>2.2176</v>
      </c>
      <c r="N18" s="339">
        <v>2.3144</v>
      </c>
    </row>
    <row r="19" spans="1:14" ht="10.5" customHeight="1">
      <c r="A19" s="397" t="s">
        <v>94</v>
      </c>
      <c r="B19" s="414">
        <v>63.7613017575</v>
      </c>
      <c r="C19" s="414">
        <v>70.613938875000002</v>
      </c>
      <c r="D19" s="398">
        <f t="shared" si="0"/>
        <v>-9.7043688918564075E-2</v>
      </c>
      <c r="E19" s="138"/>
      <c r="F19" s="138"/>
      <c r="G19" s="138"/>
      <c r="H19" s="138"/>
      <c r="I19" s="138"/>
      <c r="J19" s="138"/>
      <c r="K19" s="340"/>
      <c r="L19" s="341" t="s">
        <v>492</v>
      </c>
      <c r="M19" s="339">
        <v>2.3152220425000003</v>
      </c>
      <c r="N19" s="339"/>
    </row>
    <row r="20" spans="1:14" ht="10.5" customHeight="1">
      <c r="A20" s="395" t="s">
        <v>96</v>
      </c>
      <c r="B20" s="413">
        <v>61.168153510000003</v>
      </c>
      <c r="C20" s="413">
        <v>58.869007142500003</v>
      </c>
      <c r="D20" s="396">
        <f t="shared" si="0"/>
        <v>3.9055293763229582E-2</v>
      </c>
      <c r="E20" s="138"/>
      <c r="F20" s="138"/>
      <c r="G20" s="138"/>
      <c r="H20" s="138"/>
      <c r="I20" s="138"/>
      <c r="J20" s="138"/>
      <c r="K20" s="340"/>
      <c r="L20" s="339" t="s">
        <v>411</v>
      </c>
      <c r="M20" s="339">
        <v>2.4690676000000003</v>
      </c>
      <c r="N20" s="339">
        <v>4.4198010925000002</v>
      </c>
    </row>
    <row r="21" spans="1:14" ht="10.5" customHeight="1">
      <c r="A21" s="397" t="s">
        <v>430</v>
      </c>
      <c r="B21" s="414">
        <v>60.631306335000005</v>
      </c>
      <c r="C21" s="414">
        <v>48.274155284999999</v>
      </c>
      <c r="D21" s="398">
        <f t="shared" si="0"/>
        <v>0.2559786075395023</v>
      </c>
      <c r="E21" s="138"/>
      <c r="F21" s="138"/>
      <c r="G21" s="138"/>
      <c r="H21" s="138"/>
      <c r="I21" s="138"/>
      <c r="J21" s="138"/>
      <c r="K21" s="340"/>
      <c r="L21" s="341" t="s">
        <v>120</v>
      </c>
      <c r="M21" s="339">
        <v>2.5531149850000001</v>
      </c>
      <c r="N21" s="339">
        <v>5.9306113324999998</v>
      </c>
    </row>
    <row r="22" spans="1:14" ht="10.5" customHeight="1">
      <c r="A22" s="395" t="s">
        <v>95</v>
      </c>
      <c r="B22" s="413">
        <v>50.641498837499995</v>
      </c>
      <c r="C22" s="413">
        <v>53.306523067499995</v>
      </c>
      <c r="D22" s="396">
        <f t="shared" si="0"/>
        <v>-4.9994336089513536E-2</v>
      </c>
      <c r="E22" s="138"/>
      <c r="F22" s="138"/>
      <c r="G22" s="138"/>
      <c r="H22" s="138"/>
      <c r="I22" s="138"/>
      <c r="J22" s="138"/>
      <c r="K22" s="343"/>
      <c r="L22" s="339" t="s">
        <v>109</v>
      </c>
      <c r="M22" s="339">
        <v>2.9275250850000001</v>
      </c>
      <c r="N22" s="339">
        <v>2.8413957125000002</v>
      </c>
    </row>
    <row r="23" spans="1:14" ht="10.5" customHeight="1">
      <c r="A23" s="397" t="s">
        <v>99</v>
      </c>
      <c r="B23" s="414">
        <v>46.796291310000001</v>
      </c>
      <c r="C23" s="414">
        <v>39.74377037</v>
      </c>
      <c r="D23" s="398">
        <f t="shared" si="0"/>
        <v>0.1774497204050749</v>
      </c>
      <c r="E23" s="138"/>
      <c r="F23" s="138"/>
      <c r="G23" s="138"/>
      <c r="H23" s="138"/>
      <c r="I23" s="138"/>
      <c r="J23" s="138"/>
      <c r="K23" s="340"/>
      <c r="L23" s="341" t="s">
        <v>110</v>
      </c>
      <c r="M23" s="339">
        <v>3.1982834100000002</v>
      </c>
      <c r="N23" s="339">
        <v>3.2727369275</v>
      </c>
    </row>
    <row r="24" spans="1:14" ht="10.5" customHeight="1">
      <c r="A24" s="395" t="s">
        <v>97</v>
      </c>
      <c r="B24" s="413">
        <v>44.014606310000005</v>
      </c>
      <c r="C24" s="413">
        <v>41.390101354999999</v>
      </c>
      <c r="D24" s="396">
        <f t="shared" si="0"/>
        <v>6.3409000439255125E-2</v>
      </c>
      <c r="E24" s="138"/>
      <c r="F24" s="138"/>
      <c r="G24" s="138"/>
      <c r="H24" s="138"/>
      <c r="I24" s="138"/>
      <c r="J24" s="138"/>
      <c r="K24" s="340"/>
      <c r="L24" s="341" t="s">
        <v>111</v>
      </c>
      <c r="M24" s="339">
        <v>3.3092989999999998</v>
      </c>
      <c r="N24" s="339">
        <v>3.3033308000000003</v>
      </c>
    </row>
    <row r="25" spans="1:14" ht="10.5" customHeight="1">
      <c r="A25" s="397" t="s">
        <v>238</v>
      </c>
      <c r="B25" s="414">
        <v>37.451579500000001</v>
      </c>
      <c r="C25" s="414">
        <v>32.757448444999994</v>
      </c>
      <c r="D25" s="398">
        <f t="shared" si="0"/>
        <v>0.14329965482145202</v>
      </c>
      <c r="E25" s="138"/>
      <c r="F25" s="138"/>
      <c r="G25" s="138"/>
      <c r="H25" s="138"/>
      <c r="I25" s="138"/>
      <c r="J25" s="138"/>
      <c r="K25" s="340"/>
      <c r="L25" s="341" t="s">
        <v>112</v>
      </c>
      <c r="M25" s="339">
        <v>3.3394412349999998</v>
      </c>
      <c r="N25" s="339">
        <v>3.2226788800000001</v>
      </c>
    </row>
    <row r="26" spans="1:14" ht="10.5" customHeight="1">
      <c r="A26" s="395" t="s">
        <v>108</v>
      </c>
      <c r="B26" s="413">
        <v>22.301874475000005</v>
      </c>
      <c r="C26" s="413">
        <v>21.692901102500002</v>
      </c>
      <c r="D26" s="396">
        <f t="shared" si="0"/>
        <v>2.8072472631603063E-2</v>
      </c>
      <c r="E26" s="138"/>
      <c r="F26" s="138"/>
      <c r="G26" s="138"/>
      <c r="H26" s="138"/>
      <c r="I26" s="138"/>
      <c r="J26" s="138"/>
      <c r="K26" s="340"/>
      <c r="L26" s="339" t="s">
        <v>107</v>
      </c>
      <c r="M26" s="339">
        <v>3.8023325275000004</v>
      </c>
      <c r="N26" s="339">
        <v>3.4844144999999997</v>
      </c>
    </row>
    <row r="27" spans="1:14" ht="10.5" customHeight="1">
      <c r="A27" s="397" t="s">
        <v>455</v>
      </c>
      <c r="B27" s="414">
        <v>18.1049693625</v>
      </c>
      <c r="C27" s="414">
        <v>17.266480102500001</v>
      </c>
      <c r="D27" s="398">
        <f t="shared" si="0"/>
        <v>4.8561678756899429E-2</v>
      </c>
      <c r="E27" s="138"/>
      <c r="F27" s="138"/>
      <c r="G27" s="138"/>
      <c r="H27" s="138"/>
      <c r="I27" s="138"/>
      <c r="J27" s="138"/>
      <c r="K27" s="340"/>
      <c r="L27" s="341" t="s">
        <v>431</v>
      </c>
      <c r="M27" s="339">
        <v>4.7489047499999995</v>
      </c>
      <c r="N27" s="339">
        <v>4.3704773724999999</v>
      </c>
    </row>
    <row r="28" spans="1:14" ht="10.5" customHeight="1">
      <c r="A28" s="400" t="s">
        <v>113</v>
      </c>
      <c r="B28" s="413">
        <v>16.321826267500001</v>
      </c>
      <c r="C28" s="413">
        <v>17.974134992499998</v>
      </c>
      <c r="D28" s="396">
        <f t="shared" si="0"/>
        <v>-9.1927023230294558E-2</v>
      </c>
      <c r="E28" s="138"/>
      <c r="F28" s="138"/>
      <c r="G28" s="138"/>
      <c r="H28" s="138"/>
      <c r="I28" s="138"/>
      <c r="J28" s="138"/>
      <c r="K28" s="340"/>
      <c r="L28" s="341" t="s">
        <v>457</v>
      </c>
      <c r="M28" s="339">
        <v>5.8982593724999992</v>
      </c>
      <c r="N28" s="339"/>
    </row>
    <row r="29" spans="1:14" ht="10.5" customHeight="1">
      <c r="A29" s="401" t="s">
        <v>402</v>
      </c>
      <c r="B29" s="414">
        <v>14.4008622175</v>
      </c>
      <c r="C29" s="414">
        <v>14.4065407175</v>
      </c>
      <c r="D29" s="398">
        <f t="shared" si="0"/>
        <v>-3.9416124324020974E-4</v>
      </c>
      <c r="E29" s="138"/>
      <c r="F29" s="138"/>
      <c r="G29" s="138"/>
      <c r="H29" s="138"/>
      <c r="I29" s="138"/>
      <c r="J29" s="138"/>
      <c r="K29" s="340"/>
      <c r="L29" s="341" t="s">
        <v>458</v>
      </c>
      <c r="M29" s="339">
        <v>6.0410269574999997</v>
      </c>
      <c r="N29" s="339"/>
    </row>
    <row r="30" spans="1:14" ht="10.5" customHeight="1">
      <c r="A30" s="402" t="s">
        <v>242</v>
      </c>
      <c r="B30" s="413">
        <v>13.4524993675</v>
      </c>
      <c r="C30" s="413">
        <v>13.713851442499999</v>
      </c>
      <c r="D30" s="396">
        <f t="shared" si="0"/>
        <v>-1.9057525604372128E-2</v>
      </c>
      <c r="E30" s="138"/>
      <c r="F30" s="138"/>
      <c r="G30" s="138"/>
      <c r="H30" s="138"/>
      <c r="I30" s="138"/>
      <c r="J30" s="138"/>
      <c r="K30" s="340"/>
      <c r="L30" s="339" t="s">
        <v>421</v>
      </c>
      <c r="M30" s="339">
        <v>6.1175919424999998</v>
      </c>
      <c r="N30" s="339">
        <v>8.2182454450000009</v>
      </c>
    </row>
    <row r="31" spans="1:14" ht="10.5" customHeight="1">
      <c r="A31" s="401" t="s">
        <v>425</v>
      </c>
      <c r="B31" s="414">
        <v>12.60795622</v>
      </c>
      <c r="C31" s="414">
        <v>13.1436509125</v>
      </c>
      <c r="D31" s="398">
        <f t="shared" si="0"/>
        <v>-4.0756917242114055E-2</v>
      </c>
      <c r="E31" s="138"/>
      <c r="F31" s="138"/>
      <c r="G31" s="138"/>
      <c r="H31" s="138"/>
      <c r="I31" s="138"/>
      <c r="J31" s="138"/>
      <c r="K31" s="340"/>
      <c r="L31" s="339" t="s">
        <v>104</v>
      </c>
      <c r="M31" s="339">
        <v>6.930165165</v>
      </c>
      <c r="N31" s="339">
        <v>7.2777289625000003</v>
      </c>
    </row>
    <row r="32" spans="1:14" ht="10.5" customHeight="1">
      <c r="A32" s="402" t="s">
        <v>240</v>
      </c>
      <c r="B32" s="413">
        <v>11.345840219999999</v>
      </c>
      <c r="C32" s="413">
        <v>12.1263112175</v>
      </c>
      <c r="D32" s="396">
        <f t="shared" si="0"/>
        <v>-6.4361781872600221E-2</v>
      </c>
      <c r="E32" s="138"/>
      <c r="F32" s="138"/>
      <c r="G32" s="138"/>
      <c r="H32" s="138"/>
      <c r="I32" s="138"/>
      <c r="J32" s="138"/>
      <c r="K32" s="340"/>
      <c r="L32" s="339" t="s">
        <v>106</v>
      </c>
      <c r="M32" s="339">
        <v>8.7488638724999994</v>
      </c>
      <c r="N32" s="339">
        <v>7.837976995</v>
      </c>
    </row>
    <row r="33" spans="1:14">
      <c r="A33" s="715" t="s">
        <v>101</v>
      </c>
      <c r="B33" s="414">
        <v>9.6163806674999996</v>
      </c>
      <c r="C33" s="414">
        <v>20.231141337500002</v>
      </c>
      <c r="D33" s="398">
        <f t="shared" si="0"/>
        <v>-0.52467433709855582</v>
      </c>
      <c r="E33" s="138"/>
      <c r="F33" s="138"/>
      <c r="G33" s="138"/>
      <c r="H33" s="138"/>
      <c r="I33" s="138"/>
      <c r="J33" s="138"/>
      <c r="K33" s="340"/>
      <c r="L33" s="341" t="s">
        <v>418</v>
      </c>
      <c r="M33" s="339">
        <v>9.3673749849999997</v>
      </c>
      <c r="N33" s="339">
        <v>8.1348132374999995</v>
      </c>
    </row>
    <row r="34" spans="1:14">
      <c r="A34" s="536" t="s">
        <v>446</v>
      </c>
      <c r="B34" s="413">
        <v>9.5612677625</v>
      </c>
      <c r="C34" s="413">
        <v>8.2740776750000009</v>
      </c>
      <c r="D34" s="396">
        <f>IF(C34=0,"",B34/C34-1)</f>
        <v>0.15556901180529459</v>
      </c>
      <c r="E34" s="138"/>
      <c r="F34" s="138"/>
      <c r="G34" s="138"/>
      <c r="H34" s="138"/>
      <c r="I34" s="138"/>
      <c r="J34" s="138"/>
      <c r="K34" s="344"/>
      <c r="L34" s="341" t="s">
        <v>103</v>
      </c>
      <c r="M34" s="339">
        <v>9.4649494475000004</v>
      </c>
      <c r="N34" s="339">
        <v>12.212356</v>
      </c>
    </row>
    <row r="35" spans="1:14">
      <c r="A35" s="715" t="s">
        <v>103</v>
      </c>
      <c r="B35" s="414">
        <v>9.4649494475000004</v>
      </c>
      <c r="C35" s="414">
        <v>12.212356</v>
      </c>
      <c r="D35" s="398">
        <f t="shared" si="0"/>
        <v>-0.22496941233124867</v>
      </c>
      <c r="E35" s="138"/>
      <c r="F35" s="138"/>
      <c r="G35" s="138"/>
      <c r="H35" s="138"/>
      <c r="I35" s="138"/>
      <c r="J35" s="138"/>
      <c r="K35" s="344"/>
      <c r="L35" s="341" t="s">
        <v>446</v>
      </c>
      <c r="M35" s="339">
        <v>9.5612677625</v>
      </c>
      <c r="N35" s="339">
        <v>8.2740776750000009</v>
      </c>
    </row>
    <row r="36" spans="1:14" ht="11.25" customHeight="1">
      <c r="A36" s="536" t="s">
        <v>418</v>
      </c>
      <c r="B36" s="413">
        <v>9.3673749849999997</v>
      </c>
      <c r="C36" s="413">
        <v>8.1348132374999995</v>
      </c>
      <c r="D36" s="396">
        <f t="shared" si="0"/>
        <v>0.15151690782747362</v>
      </c>
      <c r="E36" s="138"/>
      <c r="F36" s="138"/>
      <c r="G36" s="138"/>
      <c r="H36" s="138"/>
      <c r="I36" s="138"/>
      <c r="J36" s="138"/>
      <c r="K36" s="343"/>
      <c r="L36" s="341" t="s">
        <v>101</v>
      </c>
      <c r="M36" s="339">
        <v>9.6163806674999996</v>
      </c>
      <c r="N36" s="339">
        <v>20.231141337500002</v>
      </c>
    </row>
    <row r="37" spans="1:14" ht="10.5" customHeight="1">
      <c r="A37" s="401" t="s">
        <v>106</v>
      </c>
      <c r="B37" s="414">
        <v>8.7488638724999994</v>
      </c>
      <c r="C37" s="414">
        <v>7.837976995</v>
      </c>
      <c r="D37" s="398">
        <f t="shared" si="0"/>
        <v>0.11621453827704165</v>
      </c>
      <c r="E37" s="138"/>
      <c r="F37" s="138"/>
      <c r="G37" s="138"/>
      <c r="H37" s="138"/>
      <c r="I37" s="138"/>
      <c r="J37" s="138"/>
      <c r="K37" s="343"/>
      <c r="L37" s="339" t="s">
        <v>240</v>
      </c>
      <c r="M37" s="339">
        <v>11.345840219999999</v>
      </c>
      <c r="N37" s="339">
        <v>12.1263112175</v>
      </c>
    </row>
    <row r="38" spans="1:14" ht="10.5" customHeight="1">
      <c r="A38" s="536" t="s">
        <v>104</v>
      </c>
      <c r="B38" s="413">
        <v>6.930165165</v>
      </c>
      <c r="C38" s="413">
        <v>7.2777289625000003</v>
      </c>
      <c r="D38" s="396">
        <f t="shared" si="0"/>
        <v>-4.7757178000292999E-2</v>
      </c>
      <c r="E38" s="138"/>
      <c r="F38" s="138"/>
      <c r="G38" s="138"/>
      <c r="H38" s="138"/>
      <c r="I38" s="138"/>
      <c r="J38" s="138"/>
      <c r="K38" s="343"/>
      <c r="L38" s="341" t="s">
        <v>425</v>
      </c>
      <c r="M38" s="339">
        <v>12.60795622</v>
      </c>
      <c r="N38" s="339">
        <v>13.1436509125</v>
      </c>
    </row>
    <row r="39" spans="1:14" ht="10.5" customHeight="1">
      <c r="A39" s="715" t="s">
        <v>421</v>
      </c>
      <c r="B39" s="414">
        <v>6.1175919424999998</v>
      </c>
      <c r="C39" s="414">
        <v>8.2182454450000009</v>
      </c>
      <c r="D39" s="398">
        <f t="shared" si="0"/>
        <v>-0.25560851358826764</v>
      </c>
      <c r="E39" s="138"/>
      <c r="F39" s="138"/>
      <c r="G39" s="138"/>
      <c r="H39" s="138"/>
      <c r="I39" s="138"/>
      <c r="J39" s="138"/>
      <c r="K39" s="344"/>
      <c r="L39" s="339" t="s">
        <v>242</v>
      </c>
      <c r="M39" s="339">
        <v>13.4524993675</v>
      </c>
      <c r="N39" s="339">
        <v>13.713851442499999</v>
      </c>
    </row>
    <row r="40" spans="1:14" ht="10.5" customHeight="1">
      <c r="A40" s="536" t="s">
        <v>458</v>
      </c>
      <c r="B40" s="413">
        <v>6.0410269574999997</v>
      </c>
      <c r="C40" s="413"/>
      <c r="D40" s="396" t="str">
        <f t="shared" si="0"/>
        <v/>
      </c>
      <c r="E40" s="138"/>
      <c r="F40" s="138"/>
      <c r="G40" s="138"/>
      <c r="H40" s="138"/>
      <c r="I40" s="138"/>
      <c r="J40" s="138"/>
      <c r="K40" s="344"/>
      <c r="L40" s="341" t="s">
        <v>402</v>
      </c>
      <c r="M40" s="339">
        <v>14.4008622175</v>
      </c>
      <c r="N40" s="339">
        <v>14.4065407175</v>
      </c>
    </row>
    <row r="41" spans="1:14" ht="10.5" customHeight="1">
      <c r="A41" s="401" t="s">
        <v>457</v>
      </c>
      <c r="B41" s="414">
        <v>5.8982593724999992</v>
      </c>
      <c r="C41" s="414"/>
      <c r="D41" s="398" t="str">
        <f t="shared" si="0"/>
        <v/>
      </c>
      <c r="E41" s="138"/>
      <c r="F41" s="138"/>
      <c r="G41" s="138"/>
      <c r="H41" s="138"/>
      <c r="I41" s="138"/>
      <c r="J41" s="138"/>
      <c r="K41" s="344"/>
      <c r="L41" s="339" t="s">
        <v>113</v>
      </c>
      <c r="M41" s="339">
        <v>16.321826267500001</v>
      </c>
      <c r="N41" s="339">
        <v>17.974134992499998</v>
      </c>
    </row>
    <row r="42" spans="1:14" ht="10.5" customHeight="1">
      <c r="A42" s="402" t="s">
        <v>431</v>
      </c>
      <c r="B42" s="413">
        <v>4.7489047499999995</v>
      </c>
      <c r="C42" s="413">
        <v>4.3704773724999999</v>
      </c>
      <c r="D42" s="396">
        <f t="shared" si="0"/>
        <v>8.6587195229781422E-2</v>
      </c>
      <c r="E42" s="138"/>
      <c r="F42" s="138"/>
      <c r="G42" s="138"/>
      <c r="H42" s="138"/>
      <c r="I42" s="138"/>
      <c r="J42" s="138"/>
      <c r="L42" s="341" t="s">
        <v>455</v>
      </c>
      <c r="M42" s="339">
        <v>18.1049693625</v>
      </c>
      <c r="N42" s="339">
        <v>17.266480102500001</v>
      </c>
    </row>
    <row r="43" spans="1:14" ht="10.5" customHeight="1">
      <c r="A43" s="401" t="s">
        <v>107</v>
      </c>
      <c r="B43" s="414">
        <v>3.8023325275000004</v>
      </c>
      <c r="C43" s="414">
        <v>3.4844144999999997</v>
      </c>
      <c r="D43" s="398">
        <f t="shared" si="0"/>
        <v>9.1240013924864805E-2</v>
      </c>
      <c r="E43" s="138"/>
      <c r="F43" s="138"/>
      <c r="G43" s="138"/>
      <c r="H43" s="138"/>
      <c r="I43" s="138"/>
      <c r="J43" s="138"/>
      <c r="L43" s="341" t="s">
        <v>108</v>
      </c>
      <c r="M43" s="339">
        <v>22.301874475000005</v>
      </c>
      <c r="N43" s="339">
        <v>21.692901102500002</v>
      </c>
    </row>
    <row r="44" spans="1:14" ht="10.5" customHeight="1">
      <c r="A44" s="402" t="s">
        <v>112</v>
      </c>
      <c r="B44" s="413">
        <v>3.3394412349999998</v>
      </c>
      <c r="C44" s="413">
        <v>3.2226788800000001</v>
      </c>
      <c r="D44" s="396">
        <f t="shared" si="0"/>
        <v>3.6231458158809682E-2</v>
      </c>
      <c r="E44" s="138"/>
      <c r="F44" s="138"/>
      <c r="G44" s="138"/>
      <c r="H44" s="138"/>
      <c r="I44" s="138"/>
      <c r="J44" s="138"/>
      <c r="L44" s="342" t="s">
        <v>238</v>
      </c>
      <c r="M44" s="339">
        <v>37.451579500000001</v>
      </c>
      <c r="N44" s="339">
        <v>32.757448444999994</v>
      </c>
    </row>
    <row r="45" spans="1:14" ht="10.5" customHeight="1">
      <c r="A45" s="401" t="s">
        <v>111</v>
      </c>
      <c r="B45" s="414">
        <v>3.3092989999999998</v>
      </c>
      <c r="C45" s="414">
        <v>3.3033308000000003</v>
      </c>
      <c r="D45" s="398">
        <f t="shared" si="0"/>
        <v>1.8067218699377996E-3</v>
      </c>
      <c r="E45" s="138"/>
      <c r="F45" s="138"/>
      <c r="G45" s="138"/>
      <c r="H45" s="138"/>
      <c r="I45" s="138"/>
      <c r="J45" s="138"/>
      <c r="L45" s="341" t="s">
        <v>97</v>
      </c>
      <c r="M45" s="339">
        <v>44.014606310000005</v>
      </c>
      <c r="N45" s="339">
        <v>41.390101354999999</v>
      </c>
    </row>
    <row r="46" spans="1:14" ht="10.5" customHeight="1">
      <c r="A46" s="402" t="s">
        <v>110</v>
      </c>
      <c r="B46" s="413">
        <v>3.1982834100000002</v>
      </c>
      <c r="C46" s="413">
        <v>3.2727369275</v>
      </c>
      <c r="D46" s="396">
        <f t="shared" si="0"/>
        <v>-2.2749618789822512E-2</v>
      </c>
      <c r="E46" s="138"/>
      <c r="F46" s="138"/>
      <c r="G46" s="138"/>
      <c r="H46" s="138"/>
      <c r="I46" s="138"/>
      <c r="J46" s="138"/>
      <c r="L46" s="341" t="s">
        <v>99</v>
      </c>
      <c r="M46" s="339">
        <v>46.796291310000001</v>
      </c>
      <c r="N46" s="339">
        <v>39.74377037</v>
      </c>
    </row>
    <row r="47" spans="1:14" ht="10.5" customHeight="1">
      <c r="A47" s="401" t="s">
        <v>109</v>
      </c>
      <c r="B47" s="414">
        <v>2.9275250850000001</v>
      </c>
      <c r="C47" s="414">
        <v>2.8413957125000002</v>
      </c>
      <c r="D47" s="398">
        <f t="shared" si="0"/>
        <v>3.031234689385065E-2</v>
      </c>
      <c r="E47" s="138"/>
      <c r="F47" s="138"/>
      <c r="G47" s="138"/>
      <c r="H47" s="138"/>
      <c r="I47" s="138"/>
      <c r="J47" s="138"/>
      <c r="L47" s="341" t="s">
        <v>95</v>
      </c>
      <c r="M47" s="339">
        <v>50.641498837499995</v>
      </c>
      <c r="N47" s="339">
        <v>53.306523067499995</v>
      </c>
    </row>
    <row r="48" spans="1:14" ht="10.5" customHeight="1">
      <c r="A48" s="402" t="s">
        <v>120</v>
      </c>
      <c r="B48" s="413">
        <v>2.5531149850000001</v>
      </c>
      <c r="C48" s="413">
        <v>5.9306113324999998</v>
      </c>
      <c r="D48" s="396">
        <f t="shared" si="0"/>
        <v>-0.56950222466799971</v>
      </c>
      <c r="E48" s="138"/>
      <c r="F48" s="138"/>
      <c r="G48" s="138"/>
      <c r="H48" s="138"/>
      <c r="I48" s="138"/>
      <c r="J48" s="138"/>
      <c r="L48" s="339" t="s">
        <v>430</v>
      </c>
      <c r="M48" s="339">
        <v>60.631306335000005</v>
      </c>
      <c r="N48" s="339">
        <v>48.274155284999999</v>
      </c>
    </row>
    <row r="49" spans="1:14" ht="10.5" customHeight="1">
      <c r="A49" s="401" t="s">
        <v>411</v>
      </c>
      <c r="B49" s="414">
        <v>2.4690676000000003</v>
      </c>
      <c r="C49" s="414">
        <v>4.4198010925000002</v>
      </c>
      <c r="D49" s="398">
        <f t="shared" si="0"/>
        <v>-0.4413622811692175</v>
      </c>
      <c r="E49" s="138"/>
      <c r="F49" s="138"/>
      <c r="G49" s="138"/>
      <c r="H49" s="138"/>
      <c r="I49" s="138"/>
      <c r="J49" s="138"/>
      <c r="L49" s="338" t="s">
        <v>96</v>
      </c>
      <c r="M49" s="339">
        <v>61.168153510000003</v>
      </c>
      <c r="N49" s="339">
        <v>58.869007142500003</v>
      </c>
    </row>
    <row r="50" spans="1:14" ht="10.5" customHeight="1">
      <c r="A50" s="402" t="s">
        <v>492</v>
      </c>
      <c r="B50" s="413">
        <v>2.3152220425000003</v>
      </c>
      <c r="C50" s="413"/>
      <c r="D50" s="396" t="str">
        <f t="shared" si="0"/>
        <v/>
      </c>
      <c r="E50" s="138"/>
      <c r="F50" s="138"/>
      <c r="G50" s="138"/>
      <c r="H50" s="138"/>
      <c r="I50" s="138"/>
      <c r="J50" s="138"/>
      <c r="L50" s="341" t="s">
        <v>94</v>
      </c>
      <c r="M50" s="339">
        <v>63.7613017575</v>
      </c>
      <c r="N50" s="339">
        <v>70.613938875000002</v>
      </c>
    </row>
    <row r="51" spans="1:14" ht="10.5" customHeight="1">
      <c r="A51" s="401" t="s">
        <v>116</v>
      </c>
      <c r="B51" s="414">
        <v>2.2176</v>
      </c>
      <c r="C51" s="414">
        <v>2.3144</v>
      </c>
      <c r="D51" s="398">
        <f t="shared" si="0"/>
        <v>-4.1825095057034245E-2</v>
      </c>
      <c r="E51" s="138"/>
      <c r="F51" s="138"/>
      <c r="G51" s="138"/>
      <c r="H51" s="138"/>
      <c r="I51" s="138"/>
      <c r="J51" s="138"/>
      <c r="L51" s="341" t="s">
        <v>93</v>
      </c>
      <c r="M51" s="339">
        <v>66.997822694999996</v>
      </c>
      <c r="N51" s="339">
        <v>55.464974492499998</v>
      </c>
    </row>
    <row r="52" spans="1:14" ht="10.5" customHeight="1">
      <c r="A52" s="402" t="s">
        <v>114</v>
      </c>
      <c r="B52" s="413">
        <v>2.12640377</v>
      </c>
      <c r="C52" s="413">
        <v>0.64195259750000011</v>
      </c>
      <c r="D52" s="396">
        <f t="shared" si="0"/>
        <v>2.3123999782554034</v>
      </c>
      <c r="E52" s="138"/>
      <c r="F52" s="138"/>
      <c r="G52" s="138"/>
      <c r="H52" s="138"/>
      <c r="I52" s="138"/>
      <c r="J52" s="138"/>
      <c r="L52" s="341" t="s">
        <v>91</v>
      </c>
      <c r="M52" s="339">
        <v>70.159468447500004</v>
      </c>
      <c r="N52" s="339">
        <v>69.812027057500003</v>
      </c>
    </row>
    <row r="53" spans="1:14" ht="10.5" customHeight="1">
      <c r="A53" s="401" t="s">
        <v>115</v>
      </c>
      <c r="B53" s="414">
        <v>1.7968975674999998</v>
      </c>
      <c r="C53" s="414">
        <v>1.8726233400000001</v>
      </c>
      <c r="D53" s="398">
        <f t="shared" si="0"/>
        <v>-4.0438336360797633E-2</v>
      </c>
      <c r="E53" s="138"/>
      <c r="F53" s="138"/>
      <c r="G53" s="138"/>
      <c r="H53" s="138"/>
      <c r="I53" s="138"/>
      <c r="J53" s="138"/>
      <c r="L53" s="341" t="s">
        <v>98</v>
      </c>
      <c r="M53" s="339">
        <v>88.613017904999992</v>
      </c>
      <c r="N53" s="339">
        <v>82.422306442500002</v>
      </c>
    </row>
    <row r="54" spans="1:14" ht="10.5" customHeight="1">
      <c r="A54" s="402" t="s">
        <v>117</v>
      </c>
      <c r="B54" s="413">
        <v>1.1218027825000001</v>
      </c>
      <c r="C54" s="413">
        <v>1.2968324550000001</v>
      </c>
      <c r="D54" s="396">
        <f t="shared" si="0"/>
        <v>-0.13496706673646597</v>
      </c>
      <c r="E54" s="138"/>
      <c r="F54" s="138"/>
      <c r="G54" s="138"/>
      <c r="H54" s="138"/>
      <c r="I54" s="138"/>
      <c r="J54" s="138"/>
      <c r="L54" s="341" t="s">
        <v>237</v>
      </c>
      <c r="M54" s="339">
        <v>99.662383347499997</v>
      </c>
      <c r="N54" s="339">
        <v>103.07324302250001</v>
      </c>
    </row>
    <row r="55" spans="1:14" ht="10.5" customHeight="1">
      <c r="A55" s="401" t="s">
        <v>453</v>
      </c>
      <c r="B55" s="414">
        <v>0.29502389499999998</v>
      </c>
      <c r="C55" s="414">
        <v>0.1493651225</v>
      </c>
      <c r="D55" s="398">
        <f t="shared" si="0"/>
        <v>0.97518597422232878</v>
      </c>
      <c r="E55" s="138"/>
      <c r="F55" s="138"/>
      <c r="G55" s="138"/>
      <c r="H55" s="138"/>
      <c r="I55" s="138"/>
      <c r="J55" s="138"/>
      <c r="L55" s="341" t="s">
        <v>92</v>
      </c>
      <c r="M55" s="339">
        <v>112.71340004000001</v>
      </c>
      <c r="N55" s="339">
        <v>92.365385545000009</v>
      </c>
    </row>
    <row r="56" spans="1:14" ht="10.5" customHeight="1">
      <c r="A56" s="536" t="s">
        <v>118</v>
      </c>
      <c r="B56" s="413">
        <v>2.0583757499999997E-2</v>
      </c>
      <c r="C56" s="413">
        <v>0.39942037250000001</v>
      </c>
      <c r="D56" s="396">
        <f t="shared" si="0"/>
        <v>-0.94846592983936995</v>
      </c>
      <c r="E56" s="138"/>
      <c r="F56" s="138"/>
      <c r="G56" s="138"/>
      <c r="H56" s="138"/>
      <c r="I56" s="138"/>
      <c r="J56" s="138"/>
      <c r="L56" s="339" t="s">
        <v>241</v>
      </c>
      <c r="M56" s="339">
        <v>127.09308077249999</v>
      </c>
      <c r="N56" s="339">
        <v>133.59416018249999</v>
      </c>
    </row>
    <row r="57" spans="1:14" ht="10.5" customHeight="1">
      <c r="A57" s="401" t="s">
        <v>412</v>
      </c>
      <c r="B57" s="414">
        <v>1.9248000000000001E-2</v>
      </c>
      <c r="C57" s="414">
        <v>0.22750075</v>
      </c>
      <c r="D57" s="398">
        <f t="shared" si="0"/>
        <v>-0.91539368551532252</v>
      </c>
      <c r="E57" s="138"/>
      <c r="F57" s="138"/>
      <c r="G57" s="138"/>
      <c r="H57" s="138"/>
      <c r="I57" s="138"/>
      <c r="J57" s="138"/>
      <c r="L57" s="341" t="s">
        <v>100</v>
      </c>
      <c r="M57" s="339">
        <v>153.73033570749999</v>
      </c>
      <c r="N57" s="339">
        <v>125.52103481249999</v>
      </c>
    </row>
    <row r="58" spans="1:14" ht="10.5" customHeight="1">
      <c r="A58" s="402" t="s">
        <v>243</v>
      </c>
      <c r="B58" s="413">
        <v>2.3127475000000002E-3</v>
      </c>
      <c r="C58" s="413">
        <v>0.57651218999999998</v>
      </c>
      <c r="D58" s="396">
        <f>IF(C58=0,"",B58/C58-1)</f>
        <v>-0.99598838057526584</v>
      </c>
      <c r="E58" s="138"/>
      <c r="F58" s="138"/>
      <c r="G58" s="138"/>
      <c r="H58" s="138"/>
      <c r="I58" s="138"/>
      <c r="J58" s="138"/>
      <c r="L58" s="341" t="s">
        <v>90</v>
      </c>
      <c r="M58" s="339">
        <v>154.21513433499996</v>
      </c>
      <c r="N58" s="339">
        <v>159.56987290249998</v>
      </c>
    </row>
    <row r="59" spans="1:14" ht="10.5" customHeight="1">
      <c r="A59" s="401" t="s">
        <v>105</v>
      </c>
      <c r="B59" s="414">
        <v>1.3787250000000002E-4</v>
      </c>
      <c r="C59" s="414">
        <v>22.282443610000001</v>
      </c>
      <c r="D59" s="398">
        <f t="shared" si="0"/>
        <v>-0.99999381250537811</v>
      </c>
      <c r="E59" s="138"/>
      <c r="F59" s="138"/>
      <c r="G59" s="138"/>
      <c r="H59" s="138"/>
      <c r="I59" s="138"/>
      <c r="J59" s="138"/>
      <c r="L59" s="339" t="s">
        <v>239</v>
      </c>
      <c r="M59" s="339">
        <v>298.82168594000007</v>
      </c>
      <c r="N59" s="339">
        <v>392.351498795</v>
      </c>
    </row>
    <row r="60" spans="1:14" ht="10.5" customHeight="1">
      <c r="A60" s="402" t="s">
        <v>121</v>
      </c>
      <c r="B60" s="415">
        <v>0</v>
      </c>
      <c r="C60" s="415">
        <v>5.6257770449999995</v>
      </c>
      <c r="D60" s="403">
        <f t="shared" si="0"/>
        <v>-1</v>
      </c>
      <c r="E60" s="138"/>
      <c r="F60" s="138"/>
      <c r="G60" s="138"/>
      <c r="H60" s="138"/>
      <c r="I60" s="138"/>
      <c r="J60" s="138"/>
      <c r="L60" s="341" t="s">
        <v>410</v>
      </c>
      <c r="M60" s="339">
        <v>366.03391326249999</v>
      </c>
      <c r="N60" s="339">
        <v>715.561220585</v>
      </c>
    </row>
    <row r="61" spans="1:14" ht="10.5" customHeight="1">
      <c r="A61" s="404" t="s">
        <v>236</v>
      </c>
      <c r="B61" s="414">
        <v>0</v>
      </c>
      <c r="C61" s="414">
        <v>0</v>
      </c>
      <c r="D61" s="398" t="str">
        <f t="shared" si="0"/>
        <v/>
      </c>
      <c r="E61" s="138"/>
      <c r="F61" s="138"/>
      <c r="G61" s="138"/>
      <c r="H61" s="138"/>
      <c r="I61" s="138"/>
      <c r="J61" s="138"/>
      <c r="L61" s="341" t="s">
        <v>88</v>
      </c>
      <c r="M61" s="339">
        <v>455.57443099749997</v>
      </c>
      <c r="N61" s="339">
        <v>606.7002686525002</v>
      </c>
    </row>
    <row r="62" spans="1:14" s="738" customFormat="1" ht="10.5" customHeight="1">
      <c r="A62" s="402" t="s">
        <v>244</v>
      </c>
      <c r="B62" s="415">
        <v>0</v>
      </c>
      <c r="C62" s="415">
        <v>0</v>
      </c>
      <c r="D62" s="403" t="str">
        <f t="shared" si="0"/>
        <v/>
      </c>
      <c r="E62" s="138"/>
      <c r="F62" s="138"/>
      <c r="G62" s="138"/>
      <c r="H62" s="138"/>
      <c r="I62" s="138"/>
      <c r="J62" s="138"/>
      <c r="L62" s="341" t="s">
        <v>87</v>
      </c>
      <c r="M62" s="339">
        <v>577.23144132499999</v>
      </c>
      <c r="N62" s="339">
        <v>532.56405460499991</v>
      </c>
    </row>
    <row r="63" spans="1:14" s="738" customFormat="1" ht="10.5" customHeight="1">
      <c r="A63" s="404" t="s">
        <v>102</v>
      </c>
      <c r="B63" s="414">
        <v>0</v>
      </c>
      <c r="C63" s="414">
        <v>20.5833899675</v>
      </c>
      <c r="D63" s="398">
        <f t="shared" si="0"/>
        <v>-1</v>
      </c>
      <c r="E63" s="138"/>
      <c r="F63" s="138"/>
      <c r="G63" s="138"/>
      <c r="H63" s="138"/>
      <c r="I63" s="138"/>
      <c r="J63" s="138"/>
      <c r="L63" s="341" t="s">
        <v>89</v>
      </c>
      <c r="M63" s="339">
        <v>604.85600927999985</v>
      </c>
      <c r="N63" s="339">
        <v>605.81295895749997</v>
      </c>
    </row>
    <row r="64" spans="1:14" s="738" customFormat="1" ht="10.5" customHeight="1">
      <c r="A64" s="851" t="s">
        <v>119</v>
      </c>
      <c r="B64" s="852">
        <v>0</v>
      </c>
      <c r="C64" s="852">
        <v>0.26427637250000002</v>
      </c>
      <c r="D64" s="853">
        <f t="shared" si="0"/>
        <v>-1</v>
      </c>
      <c r="E64" s="138"/>
      <c r="F64" s="138"/>
      <c r="G64" s="138"/>
      <c r="H64" s="138"/>
      <c r="I64" s="138"/>
      <c r="J64" s="138"/>
      <c r="L64" s="341"/>
      <c r="M64" s="339"/>
      <c r="N64" s="339"/>
    </row>
    <row r="65" spans="1:14" ht="10.5" customHeight="1">
      <c r="A65" s="748" t="s">
        <v>42</v>
      </c>
      <c r="B65" s="749">
        <f>+SUM(B6:B64)</f>
        <v>3756.7117709449994</v>
      </c>
      <c r="C65" s="749">
        <f>+SUM(C6:C64)</f>
        <v>4289.3581011725</v>
      </c>
      <c r="D65" s="369">
        <f>IF(C65=0,"",B65/C65-1)</f>
        <v>-0.1241785641730172</v>
      </c>
      <c r="E65" s="138"/>
      <c r="F65" s="138"/>
      <c r="G65" s="138"/>
      <c r="H65" s="138"/>
      <c r="I65" s="138"/>
      <c r="J65" s="138"/>
      <c r="L65" s="341"/>
      <c r="M65" s="339"/>
      <c r="N65" s="339"/>
    </row>
    <row r="66" spans="1:14" ht="40.5" customHeight="1">
      <c r="A66" s="929" t="str">
        <f>"Cuadro N° 6: Participación de las empresas generadoras del COES en la producción de energía eléctrica (GWh) en "&amp;'1. Resumen'!Q4</f>
        <v>Cuadro N° 6: Participación de las empresas generadoras del COES en la producción de energía eléctrica (GWh) en junio</v>
      </c>
      <c r="B66" s="929"/>
      <c r="C66" s="929"/>
      <c r="D66" s="534"/>
      <c r="E66" s="928" t="str">
        <f>"Gráfico N° 10: Comparación de producción energética (GWh) de las empresas generadoras del COES en "&amp;'1. Resumen'!Q4</f>
        <v>Gráfico N° 10: Comparación de producción energética (GWh) de las empresas generadoras del COES en junio</v>
      </c>
      <c r="F66" s="928"/>
      <c r="G66" s="928"/>
      <c r="H66" s="928"/>
      <c r="I66" s="928"/>
      <c r="J66" s="928"/>
    </row>
    <row r="67" spans="1:14" ht="24" customHeight="1">
      <c r="A67" s="931"/>
      <c r="B67" s="931"/>
      <c r="C67" s="931"/>
      <c r="D67" s="931"/>
      <c r="E67" s="931"/>
      <c r="F67" s="931"/>
      <c r="G67" s="931"/>
      <c r="H67" s="931"/>
      <c r="I67" s="931"/>
      <c r="J67" s="931"/>
    </row>
    <row r="68" spans="1:14" ht="12.75" customHeight="1">
      <c r="A68" s="930"/>
      <c r="B68" s="930"/>
      <c r="C68" s="930"/>
      <c r="D68" s="930"/>
      <c r="E68" s="930"/>
      <c r="F68" s="930"/>
      <c r="G68" s="930"/>
      <c r="H68" s="930"/>
      <c r="I68" s="930"/>
      <c r="J68" s="930"/>
    </row>
    <row r="69" spans="1:14" ht="12.75" customHeight="1">
      <c r="A69" s="746"/>
      <c r="B69" s="746"/>
      <c r="C69" s="746"/>
      <c r="D69" s="746"/>
      <c r="E69" s="746"/>
      <c r="F69" s="746"/>
      <c r="G69" s="746"/>
      <c r="H69" s="746"/>
      <c r="I69" s="746"/>
      <c r="J69" s="746"/>
    </row>
    <row r="70" spans="1:14">
      <c r="A70" s="930"/>
      <c r="B70" s="930"/>
      <c r="C70" s="930"/>
      <c r="D70" s="930"/>
      <c r="E70" s="930"/>
      <c r="F70" s="930"/>
      <c r="G70" s="930"/>
      <c r="H70" s="930"/>
      <c r="I70" s="930"/>
      <c r="J70" s="930"/>
    </row>
    <row r="71" spans="1:14">
      <c r="A71" s="922"/>
      <c r="B71" s="922"/>
      <c r="C71" s="922"/>
      <c r="D71" s="922"/>
      <c r="E71" s="922"/>
      <c r="F71" s="922"/>
      <c r="G71" s="922"/>
      <c r="H71" s="922"/>
      <c r="I71" s="922"/>
      <c r="J71" s="922"/>
    </row>
    <row r="72" spans="1:14">
      <c r="A72" s="923"/>
      <c r="B72" s="923"/>
      <c r="C72" s="923"/>
      <c r="D72" s="923"/>
      <c r="E72" s="923"/>
      <c r="F72" s="923"/>
      <c r="G72" s="923"/>
      <c r="H72" s="923"/>
      <c r="I72" s="923"/>
      <c r="J72" s="923"/>
    </row>
    <row r="73" spans="1:14">
      <c r="A73" s="922"/>
      <c r="B73" s="922"/>
      <c r="C73" s="922"/>
      <c r="D73" s="922"/>
      <c r="E73" s="922"/>
      <c r="F73" s="922"/>
      <c r="G73" s="922"/>
      <c r="H73" s="922"/>
      <c r="I73" s="922"/>
      <c r="J73" s="922"/>
    </row>
    <row r="74" spans="1:14">
      <c r="A74" s="923"/>
      <c r="B74" s="923"/>
      <c r="C74" s="923"/>
      <c r="D74" s="923"/>
      <c r="E74" s="923"/>
      <c r="F74" s="923"/>
      <c r="G74" s="923"/>
      <c r="H74" s="923"/>
      <c r="I74" s="923"/>
      <c r="J74" s="923"/>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Junio 2020
INFSGI-MES-06-2020
13/07/2020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2.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2020-07-14T18:34:28Z</cp:lastPrinted>
  <dcterms:created xsi:type="dcterms:W3CDTF">2018-02-13T14:18:17Z</dcterms:created>
  <dcterms:modified xsi:type="dcterms:W3CDTF">2020-07-14T18:34:35Z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