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drawings/drawing7.xml" ContentType="application/vnd.openxmlformats-officedocument.drawing+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drawings/drawing8.xml" ContentType="application/vnd.openxmlformats-officedocument.drawing+xml"/>
  <Override PartName="/xl/charts/chart14.xml" ContentType="application/vnd.openxmlformats-officedocument.drawingml.chart+xml"/>
  <Override PartName="/xl/drawings/drawing9.xml" ContentType="application/vnd.openxmlformats-officedocument.drawing+xml"/>
  <Override PartName="/xl/charts/chart15.xml" ContentType="application/vnd.openxmlformats-officedocument.drawingml.chart+xml"/>
  <Override PartName="/xl/drawings/drawing10.xml" ContentType="application/vnd.openxmlformats-officedocument.drawing+xml"/>
  <Override PartName="/xl/charts/chart16.xml" ContentType="application/vnd.openxmlformats-officedocument.drawingml.chart+xml"/>
  <Override PartName="/xl/drawings/drawing11.xml" ContentType="application/vnd.openxmlformats-officedocument.drawing+xml"/>
  <Override PartName="/xl/charts/chart17.xml" ContentType="application/vnd.openxmlformats-officedocument.drawingml.chart+xml"/>
  <Override PartName="/xl/drawings/drawing12.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drawings/drawing13.xml" ContentType="application/vnd.openxmlformats-officedocument.drawing+xml"/>
  <Override PartName="/xl/charts/chart20.xml" ContentType="application/vnd.openxmlformats-officedocument.drawingml.chart+xml"/>
  <Override PartName="/xl/drawings/drawing14.xml" ContentType="application/vnd.openxmlformats-officedocument.drawing+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drawings/drawing15.xml" ContentType="application/vnd.openxmlformats-officedocument.drawing+xml"/>
  <Override PartName="/xl/charts/chart24.xml" ContentType="application/vnd.openxmlformats-officedocument.drawingml.chart+xml"/>
  <Override PartName="/xl/charts/chart25.xml" ContentType="application/vnd.openxmlformats-officedocument.drawingml.chart+xml"/>
  <Override PartName="/xl/charts/style5.xml" ContentType="application/vnd.ms-office.chartstyle+xml"/>
  <Override PartName="/xl/charts/colors5.xml" ContentType="application/vnd.ms-office.chartcolorstyle+xml"/>
  <Override PartName="/xl/charts/chart2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xml"/>
  <Override PartName="/xl/drawings/drawing17.xml" ContentType="application/vnd.openxmlformats-officedocument.drawing+xml"/>
  <Override PartName="/xl/charts/chart27.xml" ContentType="application/vnd.openxmlformats-officedocument.drawingml.chart+xml"/>
  <Override PartName="/xl/drawings/drawing18.xml" ContentType="application/vnd.openxmlformats-officedocument.drawing+xml"/>
  <Override PartName="/xl/charts/chart28.xml" ContentType="application/vnd.openxmlformats-officedocument.drawingml.chart+xml"/>
  <Override PartName="/xl/charts/style7.xml" ContentType="application/vnd.ms-office.chartstyle+xml"/>
  <Override PartName="/xl/charts/colors7.xml" ContentType="application/vnd.ms-office.chartcolorstyle+xml"/>
  <Override PartName="/xl/charts/chart29.xml" ContentType="application/vnd.openxmlformats-officedocument.drawingml.chart+xml"/>
  <Override PartName="/xl/charts/chart3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drawings/drawing2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codeName="ThisWorkbook" defaultThemeVersion="166925"/>
  <mc:AlternateContent xmlns:mc="http://schemas.openxmlformats.org/markup-compatibility/2006">
    <mc:Choice Requires="x15">
      <x15ac:absPath xmlns:x15ac="http://schemas.microsoft.com/office/spreadsheetml/2010/11/ac" url="\\fs\Areas\SGI\1-SGI_IE   Informes - Estadistica\INFORMES\03 Informe Mensual\2020\"/>
    </mc:Choice>
  </mc:AlternateContent>
  <xr:revisionPtr revIDLastSave="0" documentId="13_ncr:1_{958D9B5F-714F-458C-B188-1B02AD78887D}" xr6:coauthVersionLast="45" xr6:coauthVersionMax="45" xr10:uidLastSave="{00000000-0000-0000-0000-000000000000}"/>
  <bookViews>
    <workbookView xWindow="-120" yWindow="-120" windowWidth="29040" windowHeight="15840" tabRatio="817" xr2:uid="{00000000-000D-0000-FFFF-FFFF00000000}"/>
  </bookViews>
  <sheets>
    <sheet name="Portada " sheetId="61" r:id="rId1"/>
    <sheet name="Índice" sheetId="2" r:id="rId2"/>
    <sheet name="1. Resumen" sheetId="4" r:id="rId3"/>
    <sheet name="2. Oferta de generación" sheetId="6" r:id="rId4"/>
    <sheet name="3. Tipo Generación" sheetId="7" r:id="rId5"/>
    <sheet name="4. Tipo Recurso" sheetId="8" r:id="rId6"/>
    <sheet name="5. RER" sheetId="9" r:id="rId7"/>
    <sheet name="6. FP RER" sheetId="10" r:id="rId8"/>
    <sheet name="7. Generacion empresa" sheetId="11" r:id="rId9"/>
    <sheet name="8. Max Potencia" sheetId="12" r:id="rId10"/>
    <sheet name="9. Pot. Empresa" sheetId="13" r:id="rId11"/>
    <sheet name="10. Volúmenes" sheetId="14" r:id="rId12"/>
    <sheet name="11. Volúmenes" sheetId="15" r:id="rId13"/>
    <sheet name="12.Caudales" sheetId="16" r:id="rId14"/>
    <sheet name="13.Caudales" sheetId="17" r:id="rId15"/>
    <sheet name="14. CMg" sheetId="18" r:id="rId16"/>
    <sheet name="15. Mapa CMg" sheetId="19" r:id="rId17"/>
    <sheet name="16. Congestiones" sheetId="21" r:id="rId18"/>
    <sheet name="17. Eventos" sheetId="22" r:id="rId19"/>
    <sheet name="18. ANEXOI-1" sheetId="23" r:id="rId20"/>
    <sheet name="19. ANEXOI-2" sheetId="37" r:id="rId21"/>
    <sheet name="20. ANEXOI-3" sheetId="38" r:id="rId22"/>
    <sheet name="21. ANEXOII-1" sheetId="36" r:id="rId23"/>
    <sheet name="22. ANEXOII-2" sheetId="45" r:id="rId24"/>
    <sheet name="23. ANEXOII-3" sheetId="46" r:id="rId25"/>
    <sheet name="24. ANEXOII-4" sheetId="44" r:id="rId26"/>
    <sheet name="25.ANEXO III -1" sheetId="62" r:id="rId27"/>
    <sheet name="26.ANEXO III-2" sheetId="63" r:id="rId28"/>
    <sheet name="27.ANEXO III-3" sheetId="64" r:id="rId29"/>
    <sheet name="28.ANEXO III-4" sheetId="65" r:id="rId30"/>
    <sheet name="Contraportada" sheetId="59" r:id="rId31"/>
  </sheets>
  <definedNames>
    <definedName name="_xlnm._FilterDatabase" localSheetId="7" hidden="1">'6. FP RER'!$T$53:$V$54</definedName>
    <definedName name="_xlnm._FilterDatabase" localSheetId="8" hidden="1">'7. Generacion empresa'!$L$4:$N$61</definedName>
    <definedName name="_xlnm._FilterDatabase" localSheetId="10" hidden="1">'9. Pot. Empresa'!$L$6:$N$61</definedName>
    <definedName name="_xlnm.Print_Area" localSheetId="2">'1. Resumen'!$A$1:$M$52</definedName>
    <definedName name="_xlnm.Print_Area" localSheetId="11">'10. Volúmenes'!$A$1:$I$60</definedName>
    <definedName name="_xlnm.Print_Area" localSheetId="12">'11. Volúmenes'!$A$1:$L$63</definedName>
    <definedName name="_xlnm.Print_Area" localSheetId="13">'12.Caudales'!$A$1:$I$64</definedName>
    <definedName name="_xlnm.Print_Area" localSheetId="14">'13.Caudales'!$A$1:$L$65</definedName>
    <definedName name="_xlnm.Print_Area" localSheetId="15">'14. CMg'!$A$1:$I$59</definedName>
    <definedName name="_xlnm.Print_Area" localSheetId="16">'15. Mapa CMg'!$A$1:$L$63</definedName>
    <definedName name="_xlnm.Print_Area" localSheetId="3">'2. Oferta de generación'!$A$1:$J$49</definedName>
    <definedName name="_xlnm.Print_Area" localSheetId="21">'20. ANEXOI-3'!$A$1:$G$56</definedName>
    <definedName name="_xlnm.Print_Area" localSheetId="22">'21. ANEXOII-1'!$A$1:$F$79</definedName>
    <definedName name="_xlnm.Print_Area" localSheetId="24">'23. ANEXOII-3'!$A$1:$F$62</definedName>
    <definedName name="_xlnm.Print_Area" localSheetId="26">'25.ANEXO III -1'!$A$1:$F$15</definedName>
    <definedName name="_xlnm.Print_Area" localSheetId="27">'26.ANEXO III-2'!$A$1:$F$14</definedName>
    <definedName name="_xlnm.Print_Area" localSheetId="28">'27.ANEXO III-3'!$A$1:$F$16</definedName>
    <definedName name="_xlnm.Print_Area" localSheetId="29">'28.ANEXO III-4'!$A$1:$F$7</definedName>
    <definedName name="_xlnm.Print_Area" localSheetId="6">'5. RER'!$A$1:$K$61</definedName>
    <definedName name="_xlnm.Print_Area" localSheetId="7">'6. FP RER'!$A$1:$K$64</definedName>
    <definedName name="_xlnm.Print_Area" localSheetId="8">'7. Generacion empresa'!$A$1:$J$69</definedName>
    <definedName name="_xlnm.Print_Area" localSheetId="9">'8. Max Potencia'!$A$1:$K$62</definedName>
    <definedName name="_xlnm.Print_Area" localSheetId="10">'9. Pot. Empresa'!$A$1:$J$70</definedName>
    <definedName name="_xlnm.Print_Area" localSheetId="1">Índice!$A$1:$L$45</definedName>
    <definedName name="_xlnm.Print_Area" localSheetId="0">'Portada '!$A$1:$L$71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8" i="22" l="1"/>
  <c r="I9" i="22"/>
  <c r="I10" i="22"/>
  <c r="I7" i="22"/>
  <c r="I12" i="22" l="1"/>
  <c r="D49" i="46"/>
  <c r="E49" i="46"/>
  <c r="G42" i="38"/>
  <c r="D31" i="6" l="1"/>
  <c r="D30" i="6"/>
  <c r="I10" i="6" l="1"/>
  <c r="H10" i="6"/>
  <c r="F43" i="45" l="1"/>
  <c r="F44" i="45"/>
  <c r="F45" i="45"/>
  <c r="F46" i="45"/>
  <c r="F47" i="45"/>
  <c r="F48" i="45"/>
  <c r="F49" i="45"/>
  <c r="F50" i="45"/>
  <c r="F51" i="45"/>
  <c r="F52" i="45"/>
  <c r="F53" i="45"/>
  <c r="F54" i="45"/>
  <c r="F55" i="45"/>
  <c r="F56" i="45"/>
  <c r="F57" i="45"/>
  <c r="F58" i="45"/>
  <c r="F59" i="45"/>
  <c r="F60" i="45"/>
  <c r="F61" i="45"/>
  <c r="F62" i="45"/>
  <c r="F63" i="45"/>
  <c r="F64" i="45"/>
  <c r="F65" i="45"/>
  <c r="F66" i="45"/>
  <c r="F67" i="45"/>
  <c r="F68" i="45"/>
  <c r="F69" i="45"/>
  <c r="F70" i="45"/>
  <c r="F71" i="45"/>
  <c r="F72" i="45"/>
  <c r="E12" i="21" l="1"/>
  <c r="F12" i="21"/>
  <c r="C12" i="22" l="1"/>
  <c r="D12" i="22"/>
  <c r="E12" i="22"/>
  <c r="F12" i="22"/>
  <c r="G12" i="22"/>
  <c r="H12" i="22"/>
  <c r="B12" i="22"/>
  <c r="J12" i="22"/>
  <c r="I11" i="22"/>
  <c r="E34" i="6" l="1"/>
  <c r="G12" i="21" l="1"/>
  <c r="B16" i="7" l="1"/>
  <c r="C16" i="7"/>
  <c r="D16" i="7"/>
  <c r="E16" i="7"/>
  <c r="F10" i="46" l="1"/>
  <c r="F9" i="46"/>
  <c r="E5" i="36"/>
  <c r="E4" i="36"/>
  <c r="F42" i="38"/>
  <c r="C66" i="13" l="1"/>
  <c r="C65" i="11"/>
  <c r="B65" i="11"/>
  <c r="B66" i="13"/>
  <c r="D64" i="11"/>
  <c r="G12" i="7" l="1"/>
  <c r="D12" i="7"/>
  <c r="F46" i="46" l="1"/>
  <c r="D6" i="11"/>
  <c r="E2" i="46" l="1"/>
  <c r="D2" i="46"/>
  <c r="C2" i="46"/>
  <c r="E2" i="45"/>
  <c r="D2" i="45"/>
  <c r="C2" i="45"/>
  <c r="D58" i="11" l="1"/>
  <c r="D34" i="11"/>
  <c r="C47" i="46" l="1"/>
  <c r="C49" i="46" s="1"/>
  <c r="D47" i="46"/>
  <c r="F79" i="36"/>
  <c r="F78" i="36"/>
  <c r="F77" i="36"/>
  <c r="F76" i="36"/>
  <c r="F75" i="36"/>
  <c r="F74" i="36"/>
  <c r="F73" i="36"/>
  <c r="F72" i="36"/>
  <c r="F71" i="36"/>
  <c r="F70" i="36"/>
  <c r="F69" i="36"/>
  <c r="F68" i="36"/>
  <c r="F67" i="36"/>
  <c r="F66" i="36"/>
  <c r="F65" i="36"/>
  <c r="F64" i="36"/>
  <c r="F63" i="36"/>
  <c r="F62" i="36"/>
  <c r="F61" i="36"/>
  <c r="F60" i="36"/>
  <c r="F59" i="36"/>
  <c r="F58" i="36"/>
  <c r="F57" i="36"/>
  <c r="F56" i="36"/>
  <c r="F55" i="36"/>
  <c r="F54" i="36"/>
  <c r="F53" i="36"/>
  <c r="F52" i="36"/>
  <c r="F51" i="36"/>
  <c r="F50" i="36"/>
  <c r="F49" i="36"/>
  <c r="F48" i="36"/>
  <c r="F47" i="36"/>
  <c r="F46" i="36"/>
  <c r="F45" i="36"/>
  <c r="F44" i="36"/>
  <c r="F43" i="36"/>
  <c r="F42" i="36"/>
  <c r="F41" i="36"/>
  <c r="F40" i="36"/>
  <c r="F39" i="36"/>
  <c r="F38" i="36"/>
  <c r="F37" i="36"/>
  <c r="F36" i="36"/>
  <c r="F35" i="36"/>
  <c r="F34" i="36"/>
  <c r="F33" i="36"/>
  <c r="F32" i="36"/>
  <c r="F31" i="36"/>
  <c r="F30" i="36"/>
  <c r="F29" i="36"/>
  <c r="F28" i="36"/>
  <c r="F27" i="36"/>
  <c r="F26" i="36"/>
  <c r="F25" i="36"/>
  <c r="F24" i="36"/>
  <c r="F23" i="36"/>
  <c r="F22" i="36"/>
  <c r="F21" i="36"/>
  <c r="F20" i="36"/>
  <c r="F19" i="36"/>
  <c r="F18" i="36"/>
  <c r="F17" i="36"/>
  <c r="F16" i="36"/>
  <c r="F15" i="36"/>
  <c r="F14" i="36"/>
  <c r="F13" i="36"/>
  <c r="F12" i="36"/>
  <c r="F11" i="36"/>
  <c r="F10" i="36"/>
  <c r="F9" i="36"/>
  <c r="F8" i="36"/>
  <c r="F7" i="36"/>
  <c r="E3" i="46" l="1"/>
  <c r="E3" i="45"/>
  <c r="N8" i="18"/>
  <c r="F5" i="45" l="1"/>
  <c r="F6" i="45"/>
  <c r="F7" i="45"/>
  <c r="F8" i="45"/>
  <c r="F9" i="45"/>
  <c r="F10" i="45"/>
  <c r="F11" i="45"/>
  <c r="F12" i="45"/>
  <c r="F13" i="45"/>
  <c r="F14" i="45"/>
  <c r="F15" i="45"/>
  <c r="F16" i="45"/>
  <c r="F17" i="45"/>
  <c r="F18" i="45"/>
  <c r="F19" i="45"/>
  <c r="F23" i="45"/>
  <c r="F24" i="45"/>
  <c r="F25" i="45"/>
  <c r="F26" i="45"/>
  <c r="F27" i="45"/>
  <c r="F28" i="45"/>
  <c r="F29" i="45"/>
  <c r="F30" i="45"/>
  <c r="F31" i="45"/>
  <c r="F32" i="45"/>
  <c r="F33" i="45"/>
  <c r="F34" i="45"/>
  <c r="F35" i="45"/>
  <c r="F36" i="45"/>
  <c r="F37" i="45"/>
  <c r="F38" i="45"/>
  <c r="F39" i="45"/>
  <c r="F40" i="45"/>
  <c r="F41" i="45"/>
  <c r="F42" i="45"/>
  <c r="D63" i="11" l="1"/>
  <c r="J16" i="7" l="1"/>
  <c r="H16" i="7"/>
  <c r="G16" i="7"/>
  <c r="D12" i="21" l="1"/>
  <c r="H12" i="21" l="1"/>
  <c r="F44" i="46"/>
  <c r="F43" i="46"/>
  <c r="F42" i="46"/>
  <c r="F41" i="46"/>
  <c r="F40" i="46"/>
  <c r="F39" i="46"/>
  <c r="F38" i="46"/>
  <c r="F37" i="46"/>
  <c r="F36" i="46"/>
  <c r="F35" i="46"/>
  <c r="F34" i="46"/>
  <c r="F33" i="46"/>
  <c r="F32" i="46"/>
  <c r="F26" i="46"/>
  <c r="F25" i="46"/>
  <c r="F24" i="46"/>
  <c r="F23" i="46"/>
  <c r="F22" i="46"/>
  <c r="F21" i="46"/>
  <c r="F20" i="46"/>
  <c r="F19" i="46"/>
  <c r="F18" i="46"/>
  <c r="F17" i="46"/>
  <c r="F16" i="46"/>
  <c r="F15" i="46"/>
  <c r="F14" i="46"/>
  <c r="F13" i="46"/>
  <c r="F12" i="46"/>
  <c r="F11" i="46"/>
  <c r="F8" i="46"/>
  <c r="F7" i="46"/>
  <c r="F6" i="46"/>
  <c r="F5" i="46"/>
  <c r="D63" i="13" l="1"/>
  <c r="D62" i="13"/>
  <c r="D61" i="13"/>
  <c r="D60" i="13"/>
  <c r="D59" i="13"/>
  <c r="D58" i="13"/>
  <c r="D57" i="13"/>
  <c r="D56" i="13"/>
  <c r="D55" i="13"/>
  <c r="D54" i="13"/>
  <c r="D53" i="13"/>
  <c r="D52" i="13"/>
  <c r="D51" i="13"/>
  <c r="D50" i="13"/>
  <c r="D49" i="13"/>
  <c r="D48" i="13"/>
  <c r="D47" i="13"/>
  <c r="D46" i="13"/>
  <c r="D45" i="13"/>
  <c r="D44" i="13"/>
  <c r="D43" i="13"/>
  <c r="D42" i="13"/>
  <c r="D41" i="13"/>
  <c r="D40" i="13"/>
  <c r="D39" i="13"/>
  <c r="D38" i="13"/>
  <c r="D37" i="13"/>
  <c r="D36" i="13"/>
  <c r="D35" i="13"/>
  <c r="D34" i="13"/>
  <c r="D33" i="13"/>
  <c r="D32" i="13"/>
  <c r="D31" i="13"/>
  <c r="D30" i="13"/>
  <c r="D29" i="13"/>
  <c r="D28" i="13"/>
  <c r="D27" i="13"/>
  <c r="D26" i="13"/>
  <c r="D25" i="13"/>
  <c r="D24" i="13"/>
  <c r="D23" i="13"/>
  <c r="D22" i="13"/>
  <c r="D21" i="13"/>
  <c r="D20" i="13"/>
  <c r="D19" i="13"/>
  <c r="D18" i="13"/>
  <c r="D17" i="13"/>
  <c r="D16" i="13"/>
  <c r="D15" i="13"/>
  <c r="D14" i="13"/>
  <c r="D13" i="13"/>
  <c r="D12" i="13"/>
  <c r="D11" i="13"/>
  <c r="D10" i="13"/>
  <c r="D9" i="13"/>
  <c r="D8" i="13"/>
  <c r="D62" i="11"/>
  <c r="D61" i="11"/>
  <c r="D60" i="11"/>
  <c r="D59" i="11"/>
  <c r="D57" i="11"/>
  <c r="D56" i="11"/>
  <c r="D55" i="11"/>
  <c r="D54" i="11"/>
  <c r="D53" i="11"/>
  <c r="D52" i="11"/>
  <c r="D51" i="11"/>
  <c r="D50" i="11"/>
  <c r="D49" i="11"/>
  <c r="D48" i="11"/>
  <c r="D47" i="11"/>
  <c r="D46" i="11"/>
  <c r="D45" i="11"/>
  <c r="D44" i="11"/>
  <c r="D43" i="11"/>
  <c r="D42" i="11"/>
  <c r="D41" i="11"/>
  <c r="D40" i="11"/>
  <c r="D39" i="11"/>
  <c r="D38" i="11"/>
  <c r="D37" i="11"/>
  <c r="D36" i="11"/>
  <c r="D35" i="11"/>
  <c r="D33" i="11"/>
  <c r="D32" i="11"/>
  <c r="D31" i="11"/>
  <c r="D30" i="11"/>
  <c r="D29" i="11"/>
  <c r="D28" i="11"/>
  <c r="D27" i="11"/>
  <c r="D26" i="11"/>
  <c r="D25" i="11"/>
  <c r="D24" i="11"/>
  <c r="D23" i="11"/>
  <c r="D22" i="11"/>
  <c r="D21" i="11"/>
  <c r="D20" i="11"/>
  <c r="D19" i="11"/>
  <c r="D18" i="11"/>
  <c r="D17" i="11"/>
  <c r="D16" i="11"/>
  <c r="D15" i="11"/>
  <c r="D14" i="11"/>
  <c r="D13" i="11"/>
  <c r="D12" i="11"/>
  <c r="D11" i="11"/>
  <c r="D10" i="11"/>
  <c r="D9" i="11"/>
  <c r="D8" i="11"/>
  <c r="D7" i="11"/>
  <c r="B11" i="9" l="1"/>
  <c r="C11" i="9"/>
  <c r="D11" i="9"/>
  <c r="E11" i="9"/>
  <c r="D7" i="13" l="1"/>
  <c r="K12" i="12" l="1"/>
  <c r="K11" i="12"/>
  <c r="F49" i="46" l="1"/>
  <c r="E4" i="45" l="1"/>
  <c r="E4" i="46" s="1"/>
  <c r="B14" i="12" l="1"/>
  <c r="F14" i="8"/>
  <c r="A64" i="10" l="1"/>
  <c r="A43" i="10"/>
  <c r="N14" i="18" l="1"/>
  <c r="J11" i="9" l="1"/>
  <c r="H11" i="9"/>
  <c r="G11" i="9"/>
  <c r="D6" i="16" l="1"/>
  <c r="C28" i="14" l="1"/>
  <c r="A37" i="22" l="1"/>
  <c r="F6" i="36" l="1"/>
  <c r="A66" i="11" l="1"/>
  <c r="F22" i="8" l="1"/>
  <c r="B19" i="8"/>
  <c r="C19" i="8"/>
  <c r="D19" i="8"/>
  <c r="E19" i="8"/>
  <c r="E12" i="9" s="1"/>
  <c r="J12" i="7"/>
  <c r="H12" i="7"/>
  <c r="E12" i="7"/>
  <c r="C12" i="7"/>
  <c r="B12" i="7"/>
  <c r="F19" i="8" l="1"/>
  <c r="I18" i="12"/>
  <c r="F18" i="12"/>
  <c r="J14" i="12"/>
  <c r="H14" i="12"/>
  <c r="G14" i="12"/>
  <c r="E14" i="12"/>
  <c r="D14" i="12"/>
  <c r="C14" i="12"/>
  <c r="F14" i="12" l="1"/>
  <c r="I14" i="12"/>
  <c r="K14" i="12"/>
  <c r="F14" i="7" l="1"/>
  <c r="I14" i="7"/>
  <c r="K14" i="7"/>
  <c r="F15" i="7"/>
  <c r="I15" i="7"/>
  <c r="K15" i="7"/>
  <c r="C3" i="4"/>
  <c r="F7" i="16" l="1"/>
  <c r="F8" i="16"/>
  <c r="F9" i="16"/>
  <c r="F10" i="16"/>
  <c r="F11" i="16"/>
  <c r="F12" i="16"/>
  <c r="F13" i="16"/>
  <c r="F14" i="16"/>
  <c r="F15" i="16"/>
  <c r="F16" i="16"/>
  <c r="F17" i="16"/>
  <c r="F18" i="16"/>
  <c r="F19" i="16"/>
  <c r="F20" i="16"/>
  <c r="F21" i="16"/>
  <c r="F22" i="16"/>
  <c r="F23" i="16"/>
  <c r="F24" i="16"/>
  <c r="F25" i="16"/>
  <c r="F26" i="16"/>
  <c r="F27" i="16"/>
  <c r="F28" i="16"/>
  <c r="F29" i="16"/>
  <c r="F30" i="16"/>
  <c r="F10" i="7"/>
  <c r="F12" i="7"/>
  <c r="D12" i="9" l="1"/>
  <c r="B47" i="4" l="1"/>
  <c r="A9" i="4"/>
  <c r="A54" i="21" l="1"/>
  <c r="A61" i="9" l="1"/>
  <c r="A34" i="9"/>
  <c r="A63" i="8"/>
  <c r="B49" i="4" l="1"/>
  <c r="F2" i="38" l="1"/>
  <c r="F9" i="8" l="1"/>
  <c r="D66" i="13" l="1"/>
  <c r="N29" i="18"/>
  <c r="N28" i="18"/>
  <c r="N27" i="18"/>
  <c r="N26" i="18"/>
  <c r="N25" i="18"/>
  <c r="N24" i="18"/>
  <c r="N23" i="18"/>
  <c r="N20" i="18"/>
  <c r="N19" i="18"/>
  <c r="N18" i="18"/>
  <c r="N17" i="18"/>
  <c r="N16" i="18"/>
  <c r="N15" i="18"/>
  <c r="N12" i="18"/>
  <c r="N11" i="18"/>
  <c r="N10" i="18"/>
  <c r="N9" i="18"/>
  <c r="H47" i="4" l="1"/>
  <c r="A53" i="22" l="1"/>
  <c r="B58" i="18"/>
  <c r="B40" i="18"/>
  <c r="B21" i="18"/>
  <c r="A58" i="12"/>
  <c r="F67" i="13"/>
  <c r="B18" i="12" l="1"/>
  <c r="B20" i="12" s="1"/>
  <c r="C18" i="12"/>
  <c r="D18" i="12"/>
  <c r="D20" i="12" s="1"/>
  <c r="E18" i="12"/>
  <c r="E20" i="12" s="1"/>
  <c r="G18" i="12"/>
  <c r="G20" i="12" s="1"/>
  <c r="H18" i="12"/>
  <c r="H20" i="12" s="1"/>
  <c r="J18" i="12"/>
  <c r="J20" i="12" s="1"/>
  <c r="F31" i="6" l="1"/>
  <c r="F33" i="6"/>
  <c r="F11" i="14" l="1"/>
  <c r="F32" i="6" l="1"/>
  <c r="F30" i="6"/>
  <c r="A58" i="7" l="1"/>
  <c r="E29" i="6"/>
  <c r="E66" i="11" l="1"/>
  <c r="C45" i="10"/>
  <c r="D3" i="36" l="1"/>
  <c r="C3" i="36"/>
  <c r="F2" i="37"/>
  <c r="F3" i="23"/>
  <c r="C2" i="23"/>
  <c r="C1" i="37" s="1"/>
  <c r="C1" i="38" s="1"/>
  <c r="E16" i="22"/>
  <c r="A16" i="22"/>
  <c r="A13" i="22"/>
  <c r="A13" i="21"/>
  <c r="F6" i="21"/>
  <c r="E6" i="21"/>
  <c r="D6" i="21"/>
  <c r="B47" i="18"/>
  <c r="B28" i="18"/>
  <c r="B10" i="18"/>
  <c r="C31" i="16"/>
  <c r="E6" i="16"/>
  <c r="A67" i="13"/>
  <c r="B3" i="13"/>
  <c r="B5" i="11"/>
  <c r="C5" i="11" s="1"/>
  <c r="B4" i="11"/>
  <c r="G6" i="7"/>
  <c r="G4" i="8" s="1"/>
  <c r="G4" i="9" s="1"/>
  <c r="D7" i="7"/>
  <c r="E7" i="7" s="1"/>
  <c r="A49" i="6"/>
  <c r="B35" i="6"/>
  <c r="D5" i="8" l="1"/>
  <c r="C7" i="7"/>
  <c r="B7" i="7" s="1"/>
  <c r="B5" i="8" s="1"/>
  <c r="D4" i="46"/>
  <c r="C4" i="46"/>
  <c r="D4" i="45"/>
  <c r="C4" i="45"/>
  <c r="D4" i="36"/>
  <c r="D5" i="36"/>
  <c r="C5" i="36"/>
  <c r="C4" i="36"/>
  <c r="D3" i="45" l="1"/>
  <c r="D3" i="46"/>
  <c r="C3" i="46"/>
  <c r="C3" i="45"/>
  <c r="C6" i="13"/>
  <c r="B6" i="13"/>
  <c r="C5" i="13"/>
  <c r="B5" i="13"/>
  <c r="C5" i="8" l="1"/>
  <c r="D5" i="9"/>
  <c r="B5" i="9"/>
  <c r="J23" i="8"/>
  <c r="E23" i="8"/>
  <c r="D23" i="8"/>
  <c r="C23" i="8"/>
  <c r="B23" i="8"/>
  <c r="K22" i="8"/>
  <c r="K21" i="8"/>
  <c r="I21" i="8"/>
  <c r="F21" i="8"/>
  <c r="F8" i="8"/>
  <c r="A2" i="8"/>
  <c r="A4" i="7"/>
  <c r="D29" i="6"/>
  <c r="D34" i="6"/>
  <c r="C5" i="9" l="1"/>
  <c r="F39" i="9"/>
  <c r="F34" i="6"/>
  <c r="B12" i="9"/>
  <c r="G23" i="8"/>
  <c r="H23" i="8"/>
  <c r="I22" i="8"/>
  <c r="I20" i="4" l="1"/>
  <c r="C20" i="4"/>
  <c r="F27" i="14"/>
  <c r="F26" i="14"/>
  <c r="F25" i="14"/>
  <c r="F24" i="14"/>
  <c r="F23" i="14"/>
  <c r="F22" i="14"/>
  <c r="F21" i="14"/>
  <c r="F20" i="14"/>
  <c r="F19" i="14"/>
  <c r="F18" i="14"/>
  <c r="F17" i="14"/>
  <c r="F16" i="14"/>
  <c r="F15" i="14"/>
  <c r="F14" i="14"/>
  <c r="F13" i="14"/>
  <c r="F12" i="14"/>
  <c r="F10" i="14"/>
  <c r="F9" i="14"/>
  <c r="F8" i="14"/>
  <c r="F7" i="14"/>
  <c r="K16" i="12"/>
  <c r="K13" i="12"/>
  <c r="I13" i="12"/>
  <c r="F13" i="12"/>
  <c r="I12" i="12"/>
  <c r="F12" i="12"/>
  <c r="I11" i="12"/>
  <c r="F11" i="12"/>
  <c r="K10" i="12"/>
  <c r="I10" i="12"/>
  <c r="C20" i="12"/>
  <c r="K10" i="9"/>
  <c r="I10" i="9"/>
  <c r="F10" i="9"/>
  <c r="K9" i="9"/>
  <c r="I9" i="9"/>
  <c r="F9" i="9"/>
  <c r="K8" i="9"/>
  <c r="I8" i="9"/>
  <c r="F8" i="9"/>
  <c r="I7" i="9"/>
  <c r="F7" i="9"/>
  <c r="K6" i="9"/>
  <c r="F6" i="9"/>
  <c r="K18" i="8"/>
  <c r="I18" i="8"/>
  <c r="F18" i="8"/>
  <c r="K17" i="8"/>
  <c r="I17" i="8"/>
  <c r="F17" i="8"/>
  <c r="K16" i="8"/>
  <c r="I16" i="8"/>
  <c r="F16" i="8"/>
  <c r="K15" i="8"/>
  <c r="I15" i="8"/>
  <c r="F15" i="8"/>
  <c r="K14" i="8"/>
  <c r="I14" i="8"/>
  <c r="K13" i="8"/>
  <c r="I13" i="8"/>
  <c r="F13" i="8"/>
  <c r="K12" i="8"/>
  <c r="I12" i="8"/>
  <c r="F12" i="8"/>
  <c r="K11" i="8"/>
  <c r="I11" i="8"/>
  <c r="F11" i="8"/>
  <c r="K10" i="8"/>
  <c r="I10" i="8"/>
  <c r="F10" i="8"/>
  <c r="K9" i="8"/>
  <c r="I9" i="8"/>
  <c r="K8" i="8"/>
  <c r="I8" i="8"/>
  <c r="K7" i="8"/>
  <c r="I7" i="8"/>
  <c r="K6" i="8"/>
  <c r="I6" i="8"/>
  <c r="F6" i="8"/>
  <c r="K13" i="7"/>
  <c r="K11" i="7"/>
  <c r="I11" i="7"/>
  <c r="F11" i="7"/>
  <c r="K10" i="7"/>
  <c r="I10" i="7"/>
  <c r="K9" i="7"/>
  <c r="I9" i="7"/>
  <c r="F9" i="7"/>
  <c r="K8" i="7"/>
  <c r="I8" i="7"/>
  <c r="F8" i="7"/>
  <c r="K18" i="12" l="1"/>
  <c r="F10" i="12"/>
  <c r="K17" i="12"/>
  <c r="C12" i="9"/>
  <c r="K7" i="9"/>
  <c r="I6" i="9"/>
  <c r="G19" i="8"/>
  <c r="F7" i="8"/>
  <c r="H19" i="8"/>
  <c r="J19" i="8"/>
  <c r="I12" i="7"/>
  <c r="E5" i="8"/>
  <c r="I19" i="8" l="1"/>
  <c r="E5" i="9"/>
  <c r="I20" i="12"/>
  <c r="K20" i="12"/>
  <c r="F40" i="9"/>
  <c r="M39" i="9" s="1"/>
  <c r="F20" i="12"/>
  <c r="K19" i="8"/>
  <c r="J12" i="9"/>
  <c r="G12" i="9"/>
  <c r="K12" i="7"/>
  <c r="I11" i="9"/>
  <c r="H12" i="9"/>
  <c r="F11" i="9"/>
  <c r="K11" i="9"/>
  <c r="D65" i="11"/>
</calcChain>
</file>

<file path=xl/sharedStrings.xml><?xml version="1.0" encoding="utf-8"?>
<sst xmlns="http://schemas.openxmlformats.org/spreadsheetml/2006/main" count="1623" uniqueCount="734">
  <si>
    <t>CONTENIDO</t>
  </si>
  <si>
    <t>Página N°</t>
  </si>
  <si>
    <t>2</t>
  </si>
  <si>
    <t>3</t>
  </si>
  <si>
    <t>4</t>
  </si>
  <si>
    <t>5</t>
  </si>
  <si>
    <t>6</t>
  </si>
  <si>
    <t>7</t>
  </si>
  <si>
    <t xml:space="preserve">                   </t>
  </si>
  <si>
    <t>8</t>
  </si>
  <si>
    <t>9</t>
  </si>
  <si>
    <t>10</t>
  </si>
  <si>
    <t>12</t>
  </si>
  <si>
    <t>14</t>
  </si>
  <si>
    <t>15</t>
  </si>
  <si>
    <t>16</t>
  </si>
  <si>
    <t>17</t>
  </si>
  <si>
    <t>I. PRODUCCIÓN DE ELECTRICIDAD MENSUAL POR EMPRESA Y TIPO DE GENERACIÓN</t>
  </si>
  <si>
    <t>18</t>
  </si>
  <si>
    <t>21</t>
  </si>
  <si>
    <t>III. LISTADO DE EVENTOS Y FALLAS</t>
  </si>
  <si>
    <t>25</t>
  </si>
  <si>
    <t>INFORME DE LA OPERACIÓN MENSUAL</t>
  </si>
  <si>
    <t>-</t>
  </si>
  <si>
    <t>Hidro</t>
  </si>
  <si>
    <t>Gas Natural</t>
  </si>
  <si>
    <t>Carbón</t>
  </si>
  <si>
    <t>Diesel2/Residual500/Residual 6</t>
  </si>
  <si>
    <t>Bagazo / Biogás</t>
  </si>
  <si>
    <t>Eólico</t>
  </si>
  <si>
    <t>Solar</t>
  </si>
  <si>
    <t>RECURSO</t>
  </si>
  <si>
    <t>Por tipo de Generación</t>
  </si>
  <si>
    <t>últimos 3 meses</t>
  </si>
  <si>
    <t>Año Anterior</t>
  </si>
  <si>
    <t>Var (%)</t>
  </si>
  <si>
    <t>Hidroeléctrica</t>
  </si>
  <si>
    <t>Termoeléctrica</t>
  </si>
  <si>
    <t>Eólica</t>
  </si>
  <si>
    <t>Importación</t>
  </si>
  <si>
    <t>Exportación</t>
  </si>
  <si>
    <t>Intercambios Internacionales</t>
  </si>
  <si>
    <t>Total</t>
  </si>
  <si>
    <t xml:space="preserve">Por tipo de Recurso Energético </t>
  </si>
  <si>
    <t>Agua</t>
  </si>
  <si>
    <t>Residual 500</t>
  </si>
  <si>
    <t>Residual 6</t>
  </si>
  <si>
    <t>Diesel 2</t>
  </si>
  <si>
    <t>Bagazo</t>
  </si>
  <si>
    <t>Biogás</t>
  </si>
  <si>
    <t>G.N. de Camisea</t>
  </si>
  <si>
    <t>G.N. de Malacas</t>
  </si>
  <si>
    <t>G.N. de Aguaytía</t>
  </si>
  <si>
    <t>G.N. de La Isla</t>
  </si>
  <si>
    <t>CENTRAL</t>
  </si>
  <si>
    <t>Producción (GWh)</t>
  </si>
  <si>
    <t>Factor de planta</t>
  </si>
  <si>
    <t>C.H. RUNATULLO III</t>
  </si>
  <si>
    <t>AGUA</t>
  </si>
  <si>
    <t>C.H. YARUCAYA</t>
  </si>
  <si>
    <t>C.H. RUNATULLO II</t>
  </si>
  <si>
    <t>C.H. LAS PIZARRAS</t>
  </si>
  <si>
    <t>C.H. CARHUAQUERO IV</t>
  </si>
  <si>
    <t>C.H. POTRERO</t>
  </si>
  <si>
    <t>C.H. HUASAHUASI II</t>
  </si>
  <si>
    <t>C.H. HUASAHUASI I</t>
  </si>
  <si>
    <t>C.H. LA JOYA</t>
  </si>
  <si>
    <t>C.H. SANTA CRUZ II</t>
  </si>
  <si>
    <t>C.H. SANTA CRUZ I</t>
  </si>
  <si>
    <t>C.H. POECHOS II</t>
  </si>
  <si>
    <t>C.H. CANCHAYLLO</t>
  </si>
  <si>
    <t>C.H. CAÑA BRAVA</t>
  </si>
  <si>
    <t>C.H. RONCADOR</t>
  </si>
  <si>
    <t>C.H. YANAPAMPA</t>
  </si>
  <si>
    <t>C.H. IMPERIAL</t>
  </si>
  <si>
    <t>C.H. PURMACANA</t>
  </si>
  <si>
    <t>C.E. TRES HERMANAS</t>
  </si>
  <si>
    <t>C.E. CUPISNIQUE</t>
  </si>
  <si>
    <t>C.E. MARCONA</t>
  </si>
  <si>
    <t>C.E. TALARA</t>
  </si>
  <si>
    <t>SOLAR</t>
  </si>
  <si>
    <t>C.S. MOQUEGUA FV</t>
  </si>
  <si>
    <t>C.S. REPARTICION</t>
  </si>
  <si>
    <t>C.T. PARAMONGA</t>
  </si>
  <si>
    <t>C.T. HUAYCOLORO</t>
  </si>
  <si>
    <t>C.T. LA GRINGA</t>
  </si>
  <si>
    <t>C.T. MAPLE ETANOL</t>
  </si>
  <si>
    <t>ENGIE</t>
  </si>
  <si>
    <t>ENEL GENERACION PERU</t>
  </si>
  <si>
    <t>ELECTROPERU</t>
  </si>
  <si>
    <t>STATKRAFT</t>
  </si>
  <si>
    <t>EGASA</t>
  </si>
  <si>
    <t>EGEMSA</t>
  </si>
  <si>
    <t>CHINANGO</t>
  </si>
  <si>
    <t>CELEPSA</t>
  </si>
  <si>
    <t>SAN GABAN</t>
  </si>
  <si>
    <t>ENEL GENERACION PIURA</t>
  </si>
  <si>
    <t>ENERGÍA EÓLICA</t>
  </si>
  <si>
    <t>ENEL GREEN POWER PERU</t>
  </si>
  <si>
    <t>P.E. TRES HERMANAS</t>
  </si>
  <si>
    <t>TERMOCHILCA</t>
  </si>
  <si>
    <t>EGESUR</t>
  </si>
  <si>
    <t>SDF ENERGIA</t>
  </si>
  <si>
    <t>HIDROELECTRICA HUANCHOR</t>
  </si>
  <si>
    <t>RIO DOBLE</t>
  </si>
  <si>
    <t>TERMOSELVA</t>
  </si>
  <si>
    <t>AIPSA</t>
  </si>
  <si>
    <t>PANAMERICANA SOLAR</t>
  </si>
  <si>
    <t>GEPSA</t>
  </si>
  <si>
    <t>TACNA SOLAR</t>
  </si>
  <si>
    <t>MOQUEGUA FV</t>
  </si>
  <si>
    <t>GTS MAJES</t>
  </si>
  <si>
    <t>GTS REPARTICION</t>
  </si>
  <si>
    <t>SINERSA</t>
  </si>
  <si>
    <t>EGECSAC</t>
  </si>
  <si>
    <t>ELECTRICA YANAPAMPA</t>
  </si>
  <si>
    <t>HIDROCAÑETE</t>
  </si>
  <si>
    <t>MAJA ENERGIA</t>
  </si>
  <si>
    <t>IYEPSA</t>
  </si>
  <si>
    <t>SHOUGESA</t>
  </si>
  <si>
    <t>AGUA AZUL</t>
  </si>
  <si>
    <t>AGROAURORA</t>
  </si>
  <si>
    <t>Var 
(%)</t>
  </si>
  <si>
    <t>Por Empresa Integrante  (MW)</t>
  </si>
  <si>
    <t>LAGUNA/ EMBALSE</t>
  </si>
  <si>
    <t>VARIACION
%</t>
  </si>
  <si>
    <t>Represa Aguada Blanca</t>
  </si>
  <si>
    <t>Represa El Frayle</t>
  </si>
  <si>
    <t>Represa El Pañe</t>
  </si>
  <si>
    <t>Represa Pillones</t>
  </si>
  <si>
    <t xml:space="preserve">Represa Bamputañe </t>
  </si>
  <si>
    <t>Represa Challhuanca</t>
  </si>
  <si>
    <t>Laguna Sibinacocha</t>
  </si>
  <si>
    <t>Laguna Aricota</t>
  </si>
  <si>
    <t>Lagunas San Gaban</t>
  </si>
  <si>
    <t>Lago Junín</t>
  </si>
  <si>
    <t>Lagunas ELECTROPERU</t>
  </si>
  <si>
    <t>Lago Viconga</t>
  </si>
  <si>
    <t>Lagunas STATKRAFT</t>
  </si>
  <si>
    <t>Pomacocha</t>
  </si>
  <si>
    <t>Lagunas Cullicocha (ORAZUL)</t>
  </si>
  <si>
    <t>Lagunas Aguashcocha (ORAZUL)</t>
  </si>
  <si>
    <t>Lagunas ENEL</t>
  </si>
  <si>
    <t>Laguna Yuracmayo</t>
  </si>
  <si>
    <t>Laguna Paucarcocha</t>
  </si>
  <si>
    <t>Gallito Ciego</t>
  </si>
  <si>
    <t>CAUDAL PROMEDIO</t>
  </si>
  <si>
    <t>Natural San Gaban</t>
  </si>
  <si>
    <t>Descargado Lagunas San Gaban</t>
  </si>
  <si>
    <t>Descarga Upamayo</t>
  </si>
  <si>
    <t>Mejorada- Ingreso Tablachaca</t>
  </si>
  <si>
    <t>Descargado Paucarcocha</t>
  </si>
  <si>
    <t>Natural Cañete</t>
  </si>
  <si>
    <t>Natural Tarma + Natural Yanango</t>
  </si>
  <si>
    <t>Natural Tulumayo</t>
  </si>
  <si>
    <t>Descarga Lagunas STATKRAFT</t>
  </si>
  <si>
    <t>Descarga Lagunas ENEL</t>
  </si>
  <si>
    <t>Descargado Yuracmayo (Rimac)</t>
  </si>
  <si>
    <t>Descargado Viconga</t>
  </si>
  <si>
    <t>Ingreso Toma Cahua (Pativilca)</t>
  </si>
  <si>
    <t>Descargado Pomacocha</t>
  </si>
  <si>
    <t>Natural Santa</t>
  </si>
  <si>
    <t>Natural Chancay</t>
  </si>
  <si>
    <t>Ingreso Toma Tamboraque</t>
  </si>
  <si>
    <t>Natural Jequetepeque</t>
  </si>
  <si>
    <t>Descargado Gallito Ciego</t>
  </si>
  <si>
    <t>BARRA</t>
  </si>
  <si>
    <t>PIURA OESTE 220</t>
  </si>
  <si>
    <t>CHICLAYO 220</t>
  </si>
  <si>
    <t>CHIMBOTE1 138</t>
  </si>
  <si>
    <t>TRUJILLO 220</t>
  </si>
  <si>
    <t>CAJAMARCA 220</t>
  </si>
  <si>
    <t>Cmg (USD/MWh)</t>
  </si>
  <si>
    <t>SANTA ROSA 220</t>
  </si>
  <si>
    <t>SAN JUAN 220</t>
  </si>
  <si>
    <t>INDEPENDENCIA 220</t>
  </si>
  <si>
    <t>CARABAYLLO 220</t>
  </si>
  <si>
    <t>POMACOCHA 220</t>
  </si>
  <si>
    <t>OROYA NUEVA 50</t>
  </si>
  <si>
    <t>TINTAYA NUEVA 220</t>
  </si>
  <si>
    <t>PUNO 138</t>
  </si>
  <si>
    <t>SOCABAYA 220</t>
  </si>
  <si>
    <t>MOQUEGUA 138</t>
  </si>
  <si>
    <t>DOLORESPATA 138</t>
  </si>
  <si>
    <t>COTARUSE 220</t>
  </si>
  <si>
    <t>SAN GABAN 138</t>
  </si>
  <si>
    <t>ÁREA OPERATIVA</t>
  </si>
  <si>
    <t>EQUIPO DE TRANSMISIÓN</t>
  </si>
  <si>
    <t>DESCRIPCIÓN</t>
  </si>
  <si>
    <t>CENTRO</t>
  </si>
  <si>
    <t>TOTAL HORAS DE CONGESTIÓN EN EL SEIN</t>
  </si>
  <si>
    <t>TIPO DE EQUIPO</t>
  </si>
  <si>
    <t>FENOMENOS AMBIENTALES</t>
  </si>
  <si>
    <t>FALLAS DE EQUIPO</t>
  </si>
  <si>
    <t>FALLA EXTERNA</t>
  </si>
  <si>
    <t>OTRAS CAUSA DISTINTAS A LAS ANTERIORES</t>
  </si>
  <si>
    <t>FALLAS CUYA CAUSA NO FUE IDENTIFICADA</t>
  </si>
  <si>
    <t>FALLA DEL SISTEMA DE PROTECCIÓN</t>
  </si>
  <si>
    <t>FALLA HUMANA</t>
  </si>
  <si>
    <t>TOTAL</t>
  </si>
  <si>
    <t>ENERGÍA INTERRUMPIDA APROXIMADA</t>
  </si>
  <si>
    <t>FNA</t>
  </si>
  <si>
    <t>FEC</t>
  </si>
  <si>
    <t>EXT</t>
  </si>
  <si>
    <t>OTR</t>
  </si>
  <si>
    <t>FNI</t>
  </si>
  <si>
    <t>FEP</t>
  </si>
  <si>
    <t>FHU</t>
  </si>
  <si>
    <t>MWh</t>
  </si>
  <si>
    <t>NOTA: El valor de la estimación de la energía interrumpida es obtenida  con los registros de potencia de las interrupciones y/o disminuciones de carga por su respectivo periodo de interrupción.</t>
  </si>
  <si>
    <t>La estadística de fallas corresponde a los eventos y fallas que ocasionaron interrupción y/o disminución del suministro eléctrico.</t>
  </si>
  <si>
    <t>ANEXOS</t>
  </si>
  <si>
    <t>mes:</t>
  </si>
  <si>
    <t>año:</t>
  </si>
  <si>
    <t>Tipo de Generación</t>
  </si>
  <si>
    <t>HIDROELÉCTRICA</t>
  </si>
  <si>
    <t>TERMOELÉCTRICA</t>
  </si>
  <si>
    <t>EÓLICA</t>
  </si>
  <si>
    <t>POTENCIA INSTALADA (MW)</t>
  </si>
  <si>
    <t>VARIACIÓN
 (%)</t>
  </si>
  <si>
    <t>Cuadro N° 3: Producción de energía eléctrica (GWh) por tipo de generación en el SEIN.</t>
  </si>
  <si>
    <t>3. PRODUCCIÓN DE ENERGÍA ELÉCTRICA EN EL SEIN (GWh)</t>
  </si>
  <si>
    <t>Cuadro N° 4: Producción de energía eléctrica (GWh) por tipo de recurso energético en el SEIN.</t>
  </si>
  <si>
    <t>Total RER</t>
  </si>
  <si>
    <t>Participación en el SEIN (%)</t>
  </si>
  <si>
    <t>Cuadro N° 5: Producción de energía eléctrica (GWh) con recursos energético renovables en el SEIN.</t>
  </si>
  <si>
    <r>
      <t xml:space="preserve">Recursos Energéticos Renovables (RER) </t>
    </r>
    <r>
      <rPr>
        <b/>
        <vertAlign val="superscript"/>
        <sz val="8"/>
        <color theme="0"/>
        <rFont val="Arial"/>
        <family val="2"/>
      </rPr>
      <t>(*)</t>
    </r>
  </si>
  <si>
    <t>GWh</t>
  </si>
  <si>
    <t xml:space="preserve">  PRODUCCIÓN TOTAL  SEIN :</t>
  </si>
  <si>
    <t xml:space="preserve">  PRODUCCIÓN TOTAL RER : </t>
  </si>
  <si>
    <t>3.3. PRODUCCIÓN POR RECURSOS ENERGÉTICOS RENOVABLES (GWh)</t>
  </si>
  <si>
    <t>C.S. TACNA SOLAR</t>
  </si>
  <si>
    <t>C.S. PANAMERICANA SOLAR</t>
  </si>
  <si>
    <t>C.S. MAJES SOLAR</t>
  </si>
  <si>
    <t>3.4. FACTOR DE PLANTA DE LAS CENTRALES RER DEL SEIN</t>
  </si>
  <si>
    <t>3.5. PARTICIPACIÓN DE LA PRODUCCIÓN (GWh) POR EMPRESAS INTEGRANTES</t>
  </si>
  <si>
    <t>CERRO VERDE</t>
  </si>
  <si>
    <t>EMGE HUALLAGA</t>
  </si>
  <si>
    <t>EMGE HUANZA</t>
  </si>
  <si>
    <t>FENIX POWER</t>
  </si>
  <si>
    <t>HUAURA POWER</t>
  </si>
  <si>
    <t>ORAZUL ENERGY PERÚ</t>
  </si>
  <si>
    <t>P.E. MARCONA</t>
  </si>
  <si>
    <t>PLANTA  ETEN</t>
  </si>
  <si>
    <t>SAMAY I</t>
  </si>
  <si>
    <t>Empresa Integrante  (GWh)</t>
  </si>
  <si>
    <t>4. MÁXIMA POTENCIA COINCIDENTE A NIVEL DE GENERACIÓN EN EL SEIN (MW)</t>
  </si>
  <si>
    <t>Total Máxima Potencia</t>
  </si>
  <si>
    <t>Máxima Potencia Anual</t>
  </si>
  <si>
    <t>Últimos 3 meses</t>
  </si>
  <si>
    <t>EMPRESA</t>
  </si>
  <si>
    <t>4.2. PARTICIPACIÓN DE LAS EMPRESAS INTEGRANTES EN LA MÁXIMA POTENCIA COINCIDENTE (MW)</t>
  </si>
  <si>
    <t>5. HIDROLOGÍA PARA LA OPERACIÓN DEL SEIN</t>
  </si>
  <si>
    <t xml:space="preserve">Natural Paucartambo </t>
  </si>
  <si>
    <t>Natural Vilcanota</t>
  </si>
  <si>
    <t>Turbinado de la C.H. Charcani V</t>
  </si>
  <si>
    <t>Tubinado de la C.H. Platanal</t>
  </si>
  <si>
    <t>Turbinado de la C.H. Aricota</t>
  </si>
  <si>
    <t>Hidrología EDEGEL</t>
  </si>
  <si>
    <t>Volumen Lagunas Edegel (Santa Eulalia y Marca)</t>
  </si>
  <si>
    <t>Volumen Útil del Lago Junín Electroperú</t>
  </si>
  <si>
    <t>VOLUMEN UTIL RESERVORIOS EGASA ( (El Frayle, Pañe, Pillones,  Aguada Blanca, Chalhuanca y Bamputañe)</t>
  </si>
  <si>
    <t>SEMANA</t>
  </si>
  <si>
    <t>PATIVILCA</t>
  </si>
  <si>
    <t>SANTA</t>
  </si>
  <si>
    <t>CHANCAY</t>
  </si>
  <si>
    <t>RÍMAC</t>
  </si>
  <si>
    <t>SANTA EULALIA</t>
  </si>
  <si>
    <t>MANTARO</t>
  </si>
  <si>
    <t>TULUMAYO</t>
  </si>
  <si>
    <t>TARMA</t>
  </si>
  <si>
    <t>TURBINADO CHARCANI V</t>
  </si>
  <si>
    <t>INGRESO ARICOTA</t>
  </si>
  <si>
    <t>VILCANOTA</t>
  </si>
  <si>
    <t>SAN GABÁN</t>
  </si>
  <si>
    <t>ANEXO I: PRODUCCIÓN DE ELECTRICIDAD MENSUAL POR EMPRESA Y TIPO DE GENERACIÓN EN EL SEIN</t>
  </si>
  <si>
    <t>ANUAL</t>
  </si>
  <si>
    <t>GENERACIÓN</t>
  </si>
  <si>
    <t xml:space="preserve">ACUMULADO </t>
  </si>
  <si>
    <t>RER (*)</t>
  </si>
  <si>
    <t>(MWh)</t>
  </si>
  <si>
    <t>C.H. PLATANAL</t>
  </si>
  <si>
    <t>C.T. RECKA</t>
  </si>
  <si>
    <t>C.H. CHIMAY</t>
  </si>
  <si>
    <t>C.H. YANANGO</t>
  </si>
  <si>
    <t>C.H. CHARCANI I</t>
  </si>
  <si>
    <t>C.H. CHARCANI II</t>
  </si>
  <si>
    <t>C.H. CHARCANI III</t>
  </si>
  <si>
    <t>C.H. CHARCANI IV</t>
  </si>
  <si>
    <t>C.H. CHARCANI V</t>
  </si>
  <si>
    <t>C.H. CHARCANI VI</t>
  </si>
  <si>
    <t>C.T. CHILINA DIESEL</t>
  </si>
  <si>
    <t>C.T. MOLLENDO DIESEL</t>
  </si>
  <si>
    <t>C.T. PISCO</t>
  </si>
  <si>
    <t>C.H. MACHUPICCHU</t>
  </si>
  <si>
    <t>C.H. ARICOTA I</t>
  </si>
  <si>
    <t>C.H. ARICOTA II</t>
  </si>
  <si>
    <t>C.T. INDEPENDENCIA</t>
  </si>
  <si>
    <t>C.H. MANTARO</t>
  </si>
  <si>
    <t>C.H. RESTITUCION</t>
  </si>
  <si>
    <t>C.T. TUMBES</t>
  </si>
  <si>
    <t>C.H. CHAGLLA</t>
  </si>
  <si>
    <t>P.C.H CHAGLLA</t>
  </si>
  <si>
    <t>C.H. HUANZA</t>
  </si>
  <si>
    <t>C.H. HUAMPANI</t>
  </si>
  <si>
    <t>C.H. HUINCO</t>
  </si>
  <si>
    <t>C.H. MATUCANA</t>
  </si>
  <si>
    <t>C.H. MOYOPAMPA</t>
  </si>
  <si>
    <t>C.T. SANTA ROSA</t>
  </si>
  <si>
    <t>C.T. SANTA ROSA II</t>
  </si>
  <si>
    <t>C.T. VENTANILLA</t>
  </si>
  <si>
    <t>C.T. MALACAS 1</t>
  </si>
  <si>
    <t>C.T. MALACAS 2</t>
  </si>
  <si>
    <t>C.T. R.F. DE GENERACION TALARA</t>
  </si>
  <si>
    <t>C.H. QUITARACSA</t>
  </si>
  <si>
    <t>C.H. YUNCAN</t>
  </si>
  <si>
    <t>C.T. CHILCA 1</t>
  </si>
  <si>
    <t>C.T. CHILCA 2</t>
  </si>
  <si>
    <t>C.T. ILO 2</t>
  </si>
  <si>
    <t>C.T. NEPI</t>
  </si>
  <si>
    <t>C.T. R.F. PLANTA ILO</t>
  </si>
  <si>
    <t>C.T. FENIX</t>
  </si>
  <si>
    <t>C.H. HUANCHOR</t>
  </si>
  <si>
    <t>C.H. MARAÑON</t>
  </si>
  <si>
    <t>C.T. R.F. PTO MALDONADO</t>
  </si>
  <si>
    <t>C.T. R.F. PUCALLPA</t>
  </si>
  <si>
    <t>C.T. KALLPA</t>
  </si>
  <si>
    <t>C.T. LAS FLORES</t>
  </si>
  <si>
    <t>M.C.H. CERRO DEL AGUILA</t>
  </si>
  <si>
    <t>C.H. CAÑON DEL PATO</t>
  </si>
  <si>
    <t>C.H. CARHUAQUERO</t>
  </si>
  <si>
    <t>C.T. R. F. GENERACION ETEN</t>
  </si>
  <si>
    <t>C.T. PUERTO BRAVO</t>
  </si>
  <si>
    <t>C.H. SAN GABAN II</t>
  </si>
  <si>
    <t>C.T. OQUENDO</t>
  </si>
  <si>
    <t>C.T. SAN NICOLAS</t>
  </si>
  <si>
    <t>C.H. CAHUA</t>
  </si>
  <si>
    <t>C.H. CHEVES</t>
  </si>
  <si>
    <t>C.H. GALLITO CIEGO</t>
  </si>
  <si>
    <t>C.H. HUAYLLACHO</t>
  </si>
  <si>
    <t>C.H. MALPASO</t>
  </si>
  <si>
    <t>C.H. MISAPUQUIO</t>
  </si>
  <si>
    <t>C.H. OROYA</t>
  </si>
  <si>
    <t>C.H. PACHACHACA</t>
  </si>
  <si>
    <t>C.H. PARIAC</t>
  </si>
  <si>
    <t>C.H. SAN ANTONIO</t>
  </si>
  <si>
    <t>C.H. SAN IGNACIO</t>
  </si>
  <si>
    <t>C.H. YAUPI</t>
  </si>
  <si>
    <t>C.T. AGUAYTIA</t>
  </si>
  <si>
    <t>IMPORTACIÓN</t>
  </si>
  <si>
    <t>EXPORTACIÓN</t>
  </si>
  <si>
    <t>Variación</t>
  </si>
  <si>
    <t>%</t>
  </si>
  <si>
    <t xml:space="preserve">ANEXO II: MÁXIMA POTENCIA COINCIDENTE MENSUAL </t>
  </si>
  <si>
    <t>MÁXIMA POTENCIA COINCIDENTE (MW)</t>
  </si>
  <si>
    <t>FECHA</t>
  </si>
  <si>
    <t>HFP</t>
  </si>
  <si>
    <t>HP</t>
  </si>
  <si>
    <t>HORA</t>
  </si>
  <si>
    <t>HH:MM</t>
  </si>
  <si>
    <t>MW</t>
  </si>
  <si>
    <t>DEMANDA
 SEIN</t>
  </si>
  <si>
    <t>MÁXIMA DEMANDA MENSUAL</t>
  </si>
  <si>
    <t>Fecha:</t>
  </si>
  <si>
    <t>Hora:</t>
  </si>
  <si>
    <t>ANEXO III: LISTADO DE EVENTOS Y FALLAS QUE OCASIONARON INTERRUPCIÓN Y DISMINUCIÓN DE SUMINISTRO ELÉCTRICO</t>
  </si>
  <si>
    <t>EQUIPO</t>
  </si>
  <si>
    <t>DESCRIPCIÓN DEL EVENTO</t>
  </si>
  <si>
    <t>INTERRUPCIÓN
(MW)</t>
  </si>
  <si>
    <t>DISMINUCIÓN 
(MW)</t>
  </si>
  <si>
    <t>3.1. Producción por tipo de Generación</t>
  </si>
  <si>
    <t>3.3. Producción por Recursos Energéticos Renovables</t>
  </si>
  <si>
    <t>3.4. Factor de planta de las centrales RER</t>
  </si>
  <si>
    <t>3.5. Participación de la producción por empresas Integrantes</t>
  </si>
  <si>
    <t>5.2. Evolución de volúmenes de embalses y lagunas</t>
  </si>
  <si>
    <t>6.2. Ubicación geográfica de las principales barras en el SEIN.</t>
  </si>
  <si>
    <t>7. HORAS DE CONGESTIÓN EN LAS PRINCIPALES EQUIPOS DE TRANSMISIÓN DEL SEIN (Horas)</t>
  </si>
  <si>
    <t>8. EVENTOS Y FALLAS QUE OCASIONARON DISMINUCIÓN O INTERRUPCIÓN DE SUMINISTROS</t>
  </si>
  <si>
    <t>8.1. Fallas por tipo de equipo y causa según clasificación CIER</t>
  </si>
  <si>
    <t>3.2. Producción por tipo de Recurso Energético</t>
  </si>
  <si>
    <t>5.4. Evolución de los caudales</t>
  </si>
  <si>
    <t>2.2. Potencia Instalada en el SEIN</t>
  </si>
  <si>
    <t>2.2. POTENCIA INSTALADA EN EL SEIN</t>
  </si>
  <si>
    <t>4.1. MÁXIMA POTENCIA COINCIDENTE POR TIPO DE GENERACIÓN (MW)</t>
  </si>
  <si>
    <t>5.3. PROMEDIO MENSUAL DE LOS CAUDALES (m3/s)</t>
  </si>
  <si>
    <t>5.4. EVOLUCIÓN DE LOS CAUDALES</t>
  </si>
  <si>
    <t>6. COSTOS MARGINALES PROMEDIO MENSUAL DEL SEIN</t>
  </si>
  <si>
    <t>6.1.- PRINCIPALES BARRAS EN EL SEIN (US$/MWh)</t>
  </si>
  <si>
    <t>6.1.1. Área Norte</t>
  </si>
  <si>
    <t>6.1.2. Área Centro</t>
  </si>
  <si>
    <t>6.1.3. Área Sur</t>
  </si>
  <si>
    <t>7. HORAS DE CONGESTIÓN DE LOS PRINCIPALES EQUIPOS DE TRANSMISIÓN DEL SEIN (Horas)</t>
  </si>
  <si>
    <t>6.2.- UBICACIÓN GEOGRÁFICA DE LAS PRINCIPALES BARRAS EN EL SEIN.</t>
  </si>
  <si>
    <t>4. MÁXIMA POTENCIA COINCIDENTE A NIVEL DE GENERACIÓN EN EL SEIN</t>
  </si>
  <si>
    <t>3. PRODUCCIÓN DE ENERGÍA ELÉCTRICA EN EL SEIN</t>
  </si>
  <si>
    <t>4.1 Máxima Potencia Coincidente Por tipo de generación</t>
  </si>
  <si>
    <t>5.3. Promedio mensual de los caudales</t>
  </si>
  <si>
    <t xml:space="preserve">5.1. Volumen útil de los embalses y lagunas </t>
  </si>
  <si>
    <t>6.1. Costos Marginales Promedio Mensual del SEIN</t>
  </si>
  <si>
    <t>7.1. Horas de congestión por Área Operativa</t>
  </si>
  <si>
    <t>II. MÁXIMA POTENCIA COINCIDENTE MENSUAL</t>
  </si>
  <si>
    <t>1. RESUMEN</t>
  </si>
  <si>
    <t>SANTA ANA</t>
  </si>
  <si>
    <t>BIOCOMBUSTIBLE</t>
  </si>
  <si>
    <t>TOTAL MÁXIMA POTENCIA COINCIDENTE</t>
  </si>
  <si>
    <t>Cuadro N°7 : Máxima potencia coincidente (MW) por tipo de generación en el SEIN.</t>
  </si>
  <si>
    <t>C.H. RENOVANDES H1</t>
  </si>
  <si>
    <t>Gráfico N°24: Porcentaje de participación por tipo de causa en el número de fallas.</t>
  </si>
  <si>
    <t>Gráfico N°25: Comparación en el número de fallas por tipo de equipo.</t>
  </si>
  <si>
    <t>Máxima Demanda:</t>
  </si>
  <si>
    <t>KALLPA</t>
  </si>
  <si>
    <t>PETRAMAS</t>
  </si>
  <si>
    <t>HYDRO PATAPO</t>
  </si>
  <si>
    <t>C.H. ÁNGEL II</t>
  </si>
  <si>
    <t>C.H. ÁNGEL III</t>
  </si>
  <si>
    <t>C.H. ÁNGEL I</t>
  </si>
  <si>
    <t>C.H. HER 1</t>
  </si>
  <si>
    <t>Lagunas Rajucolta (ORAZUL)</t>
  </si>
  <si>
    <t>ANDEAN POWER</t>
  </si>
  <si>
    <t>8. EVENTOS Y FALLAS QUE OCASIONARON INTERRUPCIÓN Y DISMINUCIÓN DE SUMINISTRO ELÉCTRICO</t>
  </si>
  <si>
    <t>C.H. CARHUAC</t>
  </si>
  <si>
    <t>ELECTRO ZAÑA</t>
  </si>
  <si>
    <t>TOTAL MWh</t>
  </si>
  <si>
    <t>Var (%)
2019/2018</t>
  </si>
  <si>
    <t>C.H. ZAÑA</t>
  </si>
  <si>
    <t>HIDROMARAÑON/ CELEPSA RENOVABLES</t>
  </si>
  <si>
    <t>C.E. WAYRA I</t>
  </si>
  <si>
    <t>C.S. RUBI</t>
  </si>
  <si>
    <t>C.S. INTIPAMPA</t>
  </si>
  <si>
    <t>C.T. DOÑA CATALINA</t>
  </si>
  <si>
    <t>INLAND</t>
  </si>
  <si>
    <t>SAN JACINTO</t>
  </si>
  <si>
    <t>C.H. CERRO DEL AGUILA</t>
  </si>
  <si>
    <t>C.T. OLLEROS</t>
  </si>
  <si>
    <t>C.H. SANTA TERESA</t>
  </si>
  <si>
    <t>Var. (2019/2018)</t>
  </si>
  <si>
    <t>2019 / 2018</t>
  </si>
  <si>
    <t>SOLARES</t>
  </si>
  <si>
    <t>TERMOELÉCTRICAS</t>
  </si>
  <si>
    <t>4.2. Participación por Empresas Integrantes en la máxima potencia coincidente</t>
  </si>
  <si>
    <t>5.2. EVOLUCIÓN DEL VOLUMEN DE LOS EMBALSES Y LAGUNAS</t>
  </si>
  <si>
    <t>5.1. VOLUMEN ÚTIL DE LOS EMBALSES Y LAGUNAS (Millones de m3)</t>
  </si>
  <si>
    <t>VARIACIÓN
%</t>
  </si>
  <si>
    <t>8.1. FALLAS POR TIPO DE EQUIPO Y CAUSA SEGÚN CLASIFICACIÓN CIER</t>
  </si>
  <si>
    <t>7.1. HORAS DE CONGESTIÓN POR ÁREA OPERATIVA</t>
  </si>
  <si>
    <t>EÓLICAS</t>
  </si>
  <si>
    <t>RIO BAÑOS</t>
  </si>
  <si>
    <t>CHAVARRIA 220</t>
  </si>
  <si>
    <t>2.1.  INICIO DE OPERACIÓN COMERCIAL EN EL SEIN</t>
  </si>
  <si>
    <t>2.1. Inicio de Operación Comercial en el SEIN</t>
  </si>
  <si>
    <t>19:30</t>
  </si>
  <si>
    <t>19:45</t>
  </si>
  <si>
    <t>HIDROELÉCTRICAS</t>
  </si>
  <si>
    <t>ELECTRICA SANTA ROSA / ATRIA</t>
  </si>
  <si>
    <t>TOTAL (CONSIDERANDO LA IMPORTACIÓN)</t>
  </si>
  <si>
    <t>EMGE JUNÍN / SANTA CRUZ</t>
  </si>
  <si>
    <t xml:space="preserve"> </t>
  </si>
  <si>
    <t>BIOENERGIA</t>
  </si>
  <si>
    <t>GENERACIÓN ANDINA</t>
  </si>
  <si>
    <t>C.H. EL CARMEN</t>
  </si>
  <si>
    <t>C.H. RUCUY</t>
  </si>
  <si>
    <t>C.H. CHANCAY</t>
  </si>
  <si>
    <t>(*) Se denomina RER a los Recursos Energéticos Renovables (biomasa, eólica, solar, geotérmica, mareomotriz), e hidroléctricas cuya capacidad instalada no sobrepase los 20 MW, según D.L. N° 1002. Son consideradas las centrales RER adjudicadas por susbasta además de las centrales no adjudicadas de bagazo C.T. Maple, C.T. San Jacinto y C.T. Caña Brava.</t>
  </si>
  <si>
    <t>C.H. 8 DE AGOSTO</t>
  </si>
  <si>
    <t>C.T. CAÑA BRAVA</t>
  </si>
  <si>
    <t>C.H. CALLAHUANCA</t>
  </si>
  <si>
    <t>C.H. PATAPO</t>
  </si>
  <si>
    <t>C.T. SAN JACINTO</t>
  </si>
  <si>
    <t>2. MODIFICACIÓN DE LA OFERTA DE GENERACIÓN ELÉCTRICA DEL SEIN EN EL 2020</t>
  </si>
  <si>
    <t>Gráfico N°17: Evolución del promedio semanal de caudales de los ríos RÍMAC y SANTA EULALIA en los años 2017 - 2020.</t>
  </si>
  <si>
    <t>Gráfico N°18: Evolución del promedio semanal de caudales de los ríos MANTARO, TULUMAYO y TARMA  en los años 2017 - 2020.</t>
  </si>
  <si>
    <t>Gráfico N°19: Evolución del promedio semanal de caudales de las cuencas CHILI, ARICOTA, VILCANOTA Y SAN GABÁN en los años 2017 - 2020.</t>
  </si>
  <si>
    <t>Gráfico N°16: Evolución del promedio semanal de caudales de los ríos SANTA, CHANCAY y PATIVILCA en los años 2017 - 2020.</t>
  </si>
  <si>
    <t>Gráfico N°14: Evolución semanal del volumen del lago JUNÍN durante los años 2017 - 2020</t>
  </si>
  <si>
    <t>Gráfico N°15: Evolución semanal del volumen de los embalses de EGASA durante los años 2017 - 2020.</t>
  </si>
  <si>
    <t>Gráfico N°13: Evolución semanal del volumen de las lagunas de ENEL durante los años 2017 - 2020</t>
  </si>
  <si>
    <t>Var (%)
2020/2019</t>
  </si>
  <si>
    <t>Variación 2020/2019 (GWh)</t>
  </si>
  <si>
    <t>Variación 2020/2019 (MW)</t>
  </si>
  <si>
    <t>2020 / 2019</t>
  </si>
  <si>
    <t>(*) Se denomina RER a los Recursos Energéticos Renovables tales como biomasa, eólica, solar, geotérmica, mareomotriz e hidráulicas cuya capacidad instalada no sobrepasa de los 20 MW, según D.L. N° 1002, Se consideran RER a las centrales adjudicadas,  además de las centrales no adjudicadas C.T. Maple, C.T. San Jacinto y C.T. Caña Brava.</t>
  </si>
  <si>
    <t>Var. (2020/2019)</t>
  </si>
  <si>
    <t>MARCONA</t>
  </si>
  <si>
    <t>19:15</t>
  </si>
  <si>
    <t>19:00</t>
  </si>
  <si>
    <t>12:30</t>
  </si>
  <si>
    <t>INVERSION DE ENERGÍA RENOVABLES</t>
  </si>
  <si>
    <t>AGROAURORA Total</t>
  </si>
  <si>
    <t>AGUA AZUL Total</t>
  </si>
  <si>
    <t>AIPSA Total</t>
  </si>
  <si>
    <t>ANDEAN POWER Total</t>
  </si>
  <si>
    <t>BIOENERGIA Total</t>
  </si>
  <si>
    <t>CELEPSA Total</t>
  </si>
  <si>
    <t>CERRO VERDE Total</t>
  </si>
  <si>
    <t>CHINANGO Total</t>
  </si>
  <si>
    <t>EGASA Total</t>
  </si>
  <si>
    <t>EGECSAC Total</t>
  </si>
  <si>
    <t>EGEMSA Total</t>
  </si>
  <si>
    <t>EGESUR Total</t>
  </si>
  <si>
    <t>ELECTRICA SANTA ROSA / ATRIA Total</t>
  </si>
  <si>
    <t>ELECTRICA YANAPAMPA Total</t>
  </si>
  <si>
    <t>ELECTRO ZAÑA Total</t>
  </si>
  <si>
    <t>ELECTROPERU Total</t>
  </si>
  <si>
    <t>EMGE HUALLAGA Total</t>
  </si>
  <si>
    <t>EMGE HUANZA Total</t>
  </si>
  <si>
    <t>EMGE JUNÍN / SANTA CRUZ Total</t>
  </si>
  <si>
    <t>ENEL GENERACION PERU Total</t>
  </si>
  <si>
    <t>ENEL GENERACION PIURA Total</t>
  </si>
  <si>
    <t>ENEL GREEN POWER PERU Total</t>
  </si>
  <si>
    <t>ENERGÍA EÓLICA Total</t>
  </si>
  <si>
    <t>ENGIE Total</t>
  </si>
  <si>
    <t>FENIX POWER Total</t>
  </si>
  <si>
    <t>GENERACIÓN ANDINA Total</t>
  </si>
  <si>
    <t>GEPSA Total</t>
  </si>
  <si>
    <t>GTS MAJES Total</t>
  </si>
  <si>
    <t>GTS REPARTICION Total</t>
  </si>
  <si>
    <t>HIDROCAÑETE Total</t>
  </si>
  <si>
    <t>HIDROELECTRICA HUANCHOR Total</t>
  </si>
  <si>
    <t>HIDROMARAÑON/ CELEPSA RENOVABLES Total</t>
  </si>
  <si>
    <t>HUAURA POWER Total</t>
  </si>
  <si>
    <t>HYDRO PATAPO Total</t>
  </si>
  <si>
    <t>INLAND Total</t>
  </si>
  <si>
    <t>INVERSION DE ENERGÍA RENOVABLES Total</t>
  </si>
  <si>
    <t>IYEPSA Total</t>
  </si>
  <si>
    <t>KALLPA Total</t>
  </si>
  <si>
    <t>MAJA ENERGIA Total</t>
  </si>
  <si>
    <t>MOQUEGUA FV Total</t>
  </si>
  <si>
    <t>ORAZUL ENERGY PERÚ Total</t>
  </si>
  <si>
    <t>P.E. MARCONA Total</t>
  </si>
  <si>
    <t>P.E. TRES HERMANAS Total</t>
  </si>
  <si>
    <t>PANAMERICANA SOLAR Total</t>
  </si>
  <si>
    <t>PETRAMAS Total</t>
  </si>
  <si>
    <t>PLANTA  ETEN Total</t>
  </si>
  <si>
    <t>RIO BAÑOS Total</t>
  </si>
  <si>
    <t>RIO DOBLE Total</t>
  </si>
  <si>
    <t>SAMAY I Total</t>
  </si>
  <si>
    <t>SAN GABAN Total</t>
  </si>
  <si>
    <t>SAN JACINTO Total</t>
  </si>
  <si>
    <t>SANTA ANA Total</t>
  </si>
  <si>
    <t>SDF ENERGIA Total</t>
  </si>
  <si>
    <t>SHOUGESA Total</t>
  </si>
  <si>
    <t>SINERSA Total</t>
  </si>
  <si>
    <t>STATKRAFT Total</t>
  </si>
  <si>
    <t>TACNA SOLAR Total</t>
  </si>
  <si>
    <t>TERMOCHILCA Total</t>
  </si>
  <si>
    <t>TERMOSELVA Total</t>
  </si>
  <si>
    <t>12:00</t>
  </si>
  <si>
    <t>12:15</t>
  </si>
  <si>
    <t>14:45</t>
  </si>
  <si>
    <t>18:45</t>
  </si>
  <si>
    <t>00:15</t>
  </si>
  <si>
    <t>Empresa</t>
  </si>
  <si>
    <t>Recurso Energético</t>
  </si>
  <si>
    <t>Tipo de Tecnologia</t>
  </si>
  <si>
    <t>Central</t>
  </si>
  <si>
    <t>Unidad</t>
  </si>
  <si>
    <t>Tensión  
(kV)</t>
  </si>
  <si>
    <t>Potencia Instalada (MW)</t>
  </si>
  <si>
    <t xml:space="preserve">Potencia Efectiva  (MW) </t>
  </si>
  <si>
    <t>Operación Comercial</t>
  </si>
  <si>
    <t>Central Solar</t>
  </si>
  <si>
    <t>Central Hidroeléctrica</t>
  </si>
  <si>
    <t>Turbina de Vapor</t>
  </si>
  <si>
    <t>Central Eólica</t>
  </si>
  <si>
    <t>Central a Biogás</t>
  </si>
  <si>
    <t>MCI</t>
  </si>
  <si>
    <t>G1 ; G2</t>
  </si>
  <si>
    <t>13.07.2020</t>
  </si>
  <si>
    <t>PERUANA DE INVERSIONES EN ENERGÍAS RENOVABLES</t>
  </si>
  <si>
    <t>16.07.2020</t>
  </si>
  <si>
    <t>Pelton</t>
  </si>
  <si>
    <t>11:30</t>
  </si>
  <si>
    <t>20:00</t>
  </si>
  <si>
    <t>11:45</t>
  </si>
  <si>
    <t>(1) Inicio de operación comercial de la C.T. Callao propiedad de PETRAMÁS S.A. a las 00:00 horas del 13.07.2020</t>
  </si>
  <si>
    <t>C.T. CALLAO  (1)</t>
  </si>
  <si>
    <t>C.H. MANTA I  (2)</t>
  </si>
  <si>
    <t>C.T. CALLAO</t>
  </si>
  <si>
    <t>C.H. MANTA</t>
  </si>
  <si>
    <t>RED DE ENERGIA DEL PERU S.A.</t>
  </si>
  <si>
    <t>CONCESIONARIA LINEA DE TRANSMISION CCNCM S.A.C.</t>
  </si>
  <si>
    <t>TRANSFORMADOR 3D</t>
  </si>
  <si>
    <t>15:00</t>
  </si>
  <si>
    <t>20:45</t>
  </si>
  <si>
    <t>14:30</t>
  </si>
  <si>
    <t>L-2205  L-2206</t>
  </si>
  <si>
    <t>POMACOCHA - SAN JUAN</t>
  </si>
  <si>
    <t>T62-161  T6-261</t>
  </si>
  <si>
    <t>C.H. MANTA I</t>
  </si>
  <si>
    <t>1.1. Producción de energía eléctrica en octubre 2020 en comparación al mismo mes del año anterior</t>
  </si>
  <si>
    <t>octubre</t>
  </si>
  <si>
    <t>ETENORTE</t>
  </si>
  <si>
    <t>L. CHIMBOTE 1 - HUALLANCA - LINEA L-1105</t>
  </si>
  <si>
    <t>Desconectó la línea L-1105 (Chimbote - Huallanca) de 138 kV, por falla monofásica en la fase “T”, ubicada a 62 km desde la S.E. Huallanca, la causa de la falla se encuentra en investigación, según lo informado por ETENORTE titular de la línea. No hubo interrupción de suministros, a las 11:49 h declaró disponible la línea, a las 11:50 h se realizó intento de cierre en la SE Huallanca con resultado no exitoso, a la misma hora se produjo reducción de carga del cliente libre Sider Peru en 2 MW, a las 12:00 h recuperó su carga Sider Perú. La línea quedo fuera de servicio para su inspección.</t>
  </si>
  <si>
    <t>ELECTRO SUR ESTE</t>
  </si>
  <si>
    <t>L. SAN GABÁN II - MAZUCO - LINEA L-1014</t>
  </si>
  <si>
    <t>Desconectó la línea L-1014 (San Gabán II - Mazuco) de 138 kV, por falla bifásica entre las fases "S" y "T" a tierra, a una distancia de 37.36 km de la S.E. San Gabán II, debido a fuertes lluvias y viento en la zona, según lo informado por ELECTRO SUR ESTE titular de la línea. Como consecuencia se interrumpió la carga de las subestaciones Mazuco y Puerto Maldonado en total 15.26 MW aproximadamente, simultáneamente desconectó la C.H. El Angel con 12 MW. A las 17:02 h, se coordinó restablecer la C.H. El Angel. A las 17:05 h, se coordinó arranque de la CTRF Puerto Maldonado. A las 17:06 h, se conectó la línea L-1014 desde la S.E. San Gabán II y se inició la recuperación de la carga interrumpida. A las 17:08 h, se canceló el arranque de la CTRF Puerto Maldonado. A las 17:10 h, se conectó la línea L-1015. A las 17:11 h, CC-ESE recuperó toda la carga interrumpida.</t>
  </si>
  <si>
    <t>S.E. TINGO MARÍA - TRAFO T69-11</t>
  </si>
  <si>
    <t>Desconectó el transformador T69-11 de 138/10 kV de la S.E. Tingo María, por actuación de su protección diferencial (87T), debido a falla de un pararrayos fase “T” del lado 138 kV del transformador, según lo informado por Red de Energía del Perú, titular del equipo. Como consecuencia se interrumpió el suministro en 10 kV con un total de 5.62 MW. El transformador quedó indisponible. A las 20:27 h, la carga de 10 kV fue trasladada al autotransformador AT82-211. A las 01:27 h del 06.10.2020 se conectó por pruebas el transformador T69-11. A las 01:38 h del 06.10.2020, se desconectó el transformador para su revisión.</t>
  </si>
  <si>
    <t>HIDRANDINA</t>
  </si>
  <si>
    <t>L. CHIMBOTE SUR - TRAPECIO - LINEA L-1129</t>
  </si>
  <si>
    <t>Desconectó la línea en 138 kV L-1129 (Chimbote Sur - Trapecio), por actuación de su protección discrepancia de polos, cuya causa probable es por la falla en la línea L-1103 (Huallanca – Chimbote 1) que ocurrió en ese mismo instante; según lo informado por Hidrandina, titular de la línea L-1129. Como consecuencia se interrumpió la carga de la S.E. Trapecio en 11.85 MW y el usuario Sider Perú redujo 7 MW de su carga. A las 16:09 h, se puso en servicio la línea y se procedió a recuperar el suministro interrumpido.</t>
  </si>
  <si>
    <t>L. CHIMBOTE 1 - HUALLANCA - LINEA L-1104</t>
  </si>
  <si>
    <t>Desconexión de la línea L-1104 (Chimbote1 - Huallanca) de 138 kV por falla bifásica entre las fases “S y T” ubicada a 7,7km desde la S.E. Chimbote, debido a quema de vegetación en la zona, según lo informado por ETENORTE, titular de la línea. Asimismo, de manera simultánea se registró recierre en la línea L-1103 (Chimbote1 - Huallanca) de 138 kV, por falla monofásica en la fase R. Como consecuencia el usuario libre Sider Perú disminuyó su carga en 11MW por actuación de sus protecciones internas. A las 15:43 h, se coordinó con el CC-SID, normalizar su carga interrumpida. A las 16:02 h se conectó la línea L-1104.</t>
  </si>
  <si>
    <t>S.E. TINGO MARÍA - BARRA BARRA10</t>
  </si>
  <si>
    <t>Desconectó la barra de 10 kV de la S.E. Tingo María asociado al autotransformador AT82-211 de 220/138/10 kV, por actuación de la protección de sobretensión homopolar (59N), debido a falla en una de las radiales en 10 kV de Electrocentro, según lo informado por REP, titular del autotransformador. Como consecuencia se interrumpió 3.5 MW de carga. Previamente, a las 15:17 h, se registró la desconexión de la línea L-1035 de Electrocentro e informaron de lluvias y descargas atmosféricas en la zona. A las 15:48 h, la barra de 10 kV en servicio y se inicia con la normalización del suministro interrumpido.</t>
  </si>
  <si>
    <t>Desconectó la barra de 10 kV de la S.E. Tingo María asociado al autotransformador AT82-211 de 220/138/10 kV, por actuación de la protección de sobretensión homopolar (59N), debido a falla en una de las radiales en 10 kV de Electrocentro, según lo informado por REP, titular del autotransformador. Como consecuencia se interrumpió 2.68 MW. A las 16:48 h, la barra de 10 kV en servicio y se inicia con la normalización del suministro interrumpido.</t>
  </si>
  <si>
    <t>Desconectó la barra de 10 kV de la S.E. Tingo María asociado al autotransformador AT82-211 de 220/138/10 kV, por actuación de la protección de sobretensión homopolar (59N). Esta desconexión se produjo al momento de energizar la línea L-1038 de 10 kV, durante maniobras de restablecimiento de los alimentadores de Electrocentro, según lo informado por REP, titular del autotransformador. Como consecuencia se interrumpió 1.13 MW. A las 16:58 h, la barra de 10 kV en servicio y se inicia con la normalización del suministro interrumpido.</t>
  </si>
  <si>
    <t>Desconectó la barra de 10 kV de la S.E. Tingo María asociado al autotransformador AT82-211 de 220/138/10 kV, por actuación de la protección de sobretensión homopolar (59N), debido a falla monofásica en una de las radiales de 10 kV de Electrocentro, según lo informado por REP, titular del autotransformador. Como consecuencia se interrumpió 4.95 MW.  A las 17:56 h, luego de finalizado los trabajos correctivos en el transformador T69-11 de 138/10 kV de la S.E. Tingo María, el cual se encontraba indisponible desde el 05.10.2020, se declara disponible al COES; a las 17:59 h se energiza la barra 10kV con el cierre del interruptor IN-1516 iniciándose el restablecimiento de la carga de Electro Centro.</t>
  </si>
  <si>
    <t>Desconectó el transformador T69-11 de 138/10 kV de la S.E. Tingo María por actuación de la función diferencial 87T, por falla en la fase "T" del pararrayos de la fase del lado 138kV del transformador, según lo informado por REP, titular del equipo. Como consecuencia se interrumpió el suministro de 10 kV de la S.E. Tingo María con 3.51 MW. A las 05:01 h, se energizó la barra de 10 kV con el transformador AT82-211 y se procedió a recuperar el suministro interrumpido.</t>
  </si>
  <si>
    <t>L. ARICOTA 2 - TOMASIRI - LINEA L-6620</t>
  </si>
  <si>
    <t>Desconexión de la línea L-6620 (Aricota 2 - Tomasiri) de 66 kV, por falla en la fase "R”, debido a rotura de conductor en el cuello muerto de la estructura N° 242, informada por Egesur, titular de la línea. Como consecuencia se produjo interrupción de suministros de la S.E. Tomasiri con un total de 0.9 MW. A las 08:20 h, en servicio la línea L-6620.</t>
  </si>
  <si>
    <t xml:space="preserve">SEAL                                              </t>
  </si>
  <si>
    <t>S.E. PQUE. INDUSTRIAL_AQ - TRAFO T4-103</t>
  </si>
  <si>
    <t>Desconectó el transformador T4-103 de 138/33 kV, 75 MVA de la SE Parque Industrial, por falla en el cable subterráneo de salida del transformador, informado por SEAL, titular del equipo. Asimismo, desconectaron los transformadores T42-32 y T41-31 de 33/10 kV, por su lógica de protección, producto de la falla en el transformador T4-103. Como consecuencia se interrumpió 26.85 MW de la S.E Parque Industrial. A las 09:55 h se energizan los transformadores T42-32 y T41-31 en 33 kV y seguidamente en su lado 10 kV, iniciando la recuperación de los suministros interrumpidos. A las 10:33 h, se conectaron las líneas L-3080/L-3081 (Socabaya – Parque Industrial) de 33 kV. El transformador T4-103 quedó indisponible para su reparación.</t>
  </si>
  <si>
    <t>Desconectó la línea en 138 kV L-1014 (San Gabán - Mazuco) por falla monofásica en la fase "T", debido a caída de árbol sobre la línea, según lo informado por Electro Sur Este, titular de la línea. Como consecuencia se interrumpió el suministro de las SS.EE. Mazuco y Puerto Maldonado con un total de 20.5 MW. Asimismo, desconectaron las unidades UG1 y UG2 de la C.H. Ángel III y II respectivamente, con un total de 9.8 MW. A las 18:59 h, se dio orden de arranque a la C.T.R.F Puerto Maldonado para que opere en sistema aislado con la carga de Puerto Maldonado. A las 00:52 h del 08.10.2020, se puso en servicio la línea L-1014 (San Gabán - Mazuco), la barra de 138 kV y el transformador de la S.E. Mazuco, y se procedió a recuperar la carga interrumpida. A la 01:05 h, se puso en servicio la línea L-1015 (Mazuco - Puerto Maldonado), la barra de 138 kV y el transformador de la S.E. Puerto Maldonado, y se procedió a recuperar la carga interrumpida. A las 01:09 h, salió de servicio la C.T.R.F. Puerto Maldonado.</t>
  </si>
  <si>
    <t>L. TRUJILLO NORTE - PORVENIR - LINEA L-1117</t>
  </si>
  <si>
    <t>Se produjo la desconexión de la línea L-1117 (Trujillo Norte - Porvenir) de 138 kV en la S.E. Porvenir por falla, cuya causa se encuentra en investigación. Como consecuencia, se interrumpieron las subestaciones Porvenir y Trujillo Sur con . A las 07:54 h, HID conectó la línea L-1150 (Trujillo Noroeste - Trujillo Sur) de 138 kV y procedió a recuperar su carga interrumpida. A las 08:45 h, se conectó la línea L-1117 después de declararse disponible; y a las 08:46 h, se desconectó la línea L-1150.</t>
  </si>
  <si>
    <t>COMPAÑIA TRANSMISORA ANDINA S.A.</t>
  </si>
  <si>
    <t>L. TRUJILLO NORTE - ALTO CHICAMA - LINEA L-1136</t>
  </si>
  <si>
    <t>Se produjo la desconexión de la línea L-1136 (Trujillo Norte - Alto Chicama) de 138 KV por falla monofásica en la fase "R" a 0.5 km desde la S.E.Trujillo Norte, según lo informado por Compañía Transmisora Andina, titular de la línea, se identificó presencia de neblina y alta humedad en la zona. Como consecuencia, se interrumpió el suministro de Minera Barrick en la S.E. Alto Chicama. Asimismo, redujeron su carga los usuarios libres Cementos Pacasmayo en 2,20 MW y Mina Yanacocha. A las 07:55 h, se coordinó con Mina Yanacocha la recuperación de su carga. A las A las 07:56 h, se coordinó con el CC-Cementos Pacasmayo normalizar el total de sus suministros reducidos. La línea quedó indisponible para su inspección. A las 08:11 h, se conectó la línea L-1136 y se coordinó con Mina Barrick recuperar su carga interrumpida.</t>
  </si>
  <si>
    <t>Desconectó la línea L-1129 (Chimbote Sur – Trapecio) de 138 kV, por falla cuya causa investiga HIDRANDINA propietario de la línea. Como consecuencia se interrumpe el suministro de la S.E. Trapecio en 9.82 MW. A las 10:05 h, se conectó la línea L-1129 y se inició el restablecimiento del suministro interrumpido.</t>
  </si>
  <si>
    <t>L. CHICLAYO OESTE - FELAM - LINEA L-2238</t>
  </si>
  <si>
    <t>Se produjo recierre exitoso de la línea L-2238 (Chiclayo Oeste-Felam) de 220 kV, por falla monofásica en la fase “R”, el sistema de protección despejo la falla con disparo monopolar con posterior recierre en ambos extremos de la línea, como consecuencia, Cementos Pacasmayo S.A.A. redujo su carga en 3.49 MW; la falla se debió a contaminación de aislamiento, según lo informado por Transmantaro, titular de la línea. A las 04:15 h, se coordinó recuperar la carga de Cementos Pacasmayo al 100%</t>
  </si>
  <si>
    <t>ELECTRO PUNO</t>
  </si>
  <si>
    <t>L. AZÁNGARO - PUTINA - LINEA L-6024</t>
  </si>
  <si>
    <t>Desconectaron las líneas L-6024, L-6025 y L-6026 (Azángaro – Putina – Ananea - Huancané) de 60 kV, por falla trifásica en la línea L-6025 (Putina – Ananea), debido a descargas atmosféricas en la zona, según lo informado por Electro Puno, titular de las líneas. Como consecuencia, se interrumpieron las subestaciones Ananea, Huancané, Putina y Alimentadores en M.T. asociados con una carga total de 8.28 MW. A las 10:31 h, se conectó la línea L-6024 y se inició el restablecimiento del suministro interrumpido.</t>
  </si>
  <si>
    <t>L. COMBAPATA - SICUANI - LINEA L-6001</t>
  </si>
  <si>
    <t>Desconectó la línea L-0630 (Combapata - Sicuani) de 60 kV con 0.29 MW por falla cuya causa no ha sido informada por ELSE, titular de la línea. Como consecuencia, se interrumpió el suministro de la S.E. Sicuani. A las 11:54 h, ELSE declaró disponible su línea y energizó desde la S.E. Combapata con resultado negativo. A las 12:35 h, se conectó la línea desde la S.E. Combapata y se recuperó la carga interrumpida.</t>
  </si>
  <si>
    <t>L. CAJAMARCA NORTE - CACLIC - LINEA L-2192</t>
  </si>
  <si>
    <t>Desconexión de la línea L-2192 (Cajamarca Norte - Caclic) de 220 KV por falla bifásica entre las fases “R y T”, ubicada a una distancia de 67.2 km de la S.E. Cajamarca Norte, la falla se debió a vientos huracanados en la zona de Cajamarca, según lo informado por LT CCNCM, titular de la línea. Como consecuencia, se produjo la interrupción de suministros de Electro Oriente con 17.361 MW en la S.E Moyobamba por actuación de su Esquema de Mínima Tensión, el cliente libre minera Yanacocha redujo su carga con un total de 14.27 MW, así mismo, producto de las sobretensiones registradas se produjo la desconexión de la línea L-2194 (Caclic - Belaunde) de 220 kV en la S.E. Belaunde, por actuación de su protección de sobretensión (59). A las 14:39 h se recuperó la carga de Yanacocha, a las 14:42 h se recuperó la carga de Electro Oriente. A las 14:54 h se conectó la línea L-2192, a las 14:57 h se conectó la línea L-2194.</t>
  </si>
  <si>
    <t>Desconectó la línea L-2192 (Cajamarca Norte - Cáclic) de 220 kV, por falla bifásica entre las fases "R" y "S" a 21,1 km desde la S.E. Cajamarca Norte, debido a acercamiento de árbol a la línea, según lo informado por Concesionaria Línea de Transmisión CCNCM, titular de la línea. como consecuencia se interrumpió la carga de Electro Oriente en 19.282 MW, asimismo, se produjo la desconexión de la línea L-2194 (Cáclic - Belaunde) por actuación de su protección de sobretensión y se afectaron los suministros de la Minera Yanacocha en 17.27 MW y la Minera Cerro Corona en 11.7 MW. A las 11:02 h, se coordinó recuperar la carga de la Minera Yanacocha. A las 11:03 h, se coordinó recuperar la carga de la Minera Cerro Corona. A las 11:07 h, se conectó la línea L-2192. A las 11:10 h, se conectó la línea L-2194. A las 11:12 h, se cerró el anillo Cajamarca - Belaunde - Tingo María y se coordinó recuperar la carga interrumpida de Electro Oriente. A las 11:18 h, desconectó nuevamente la línea L-2192 por falla bifásica entre las fases "R" y "S" a 19,3 km desde la S.E. Cajamarca Norte, quedando la línea L-2192 indisponible; como consecuencia se interrumpió la carga de Electro Oriente en 10.322 MW, asimismo, se produjo la desconexión de la línea L-2194 (Cáclic - Belaunde) por actuación de su protección de sobretensión. A las 11:25 h, se coordinó rechazar la carga de Industria del Espino en 1.78 MW por sobrecarga de la línea L-1122 (Tingo María – Aucayacu) de 138 kV, a las 11:40 h, se coordinó el rechazo de 5 MW de carga regulada con Electro Oriente. A las A las 11:47 h, se conectó la línea L-2192. A las 11:49 h, se conectó la línea L-2194. A las 11:51 h, se cerró el anillo Cajamarca - Belaunde - Tingo María y se coordinó recuperar toda la carga interrumpida.</t>
  </si>
  <si>
    <t>MINERA ARUNTANI</t>
  </si>
  <si>
    <t>L. PUNO - TUCARI - LINEA L-6007</t>
  </si>
  <si>
    <t>Desconectó la línea L-6007 (Puno - Tukari) de 60 kV, por falla monofásica en la fase "R" ubicada a 55 km desde la S.E. Puno, debido a descargas atmosféricas en la zona, según lo informado por Minera Aruntani, titular de la línea. Como consecuencia se interrumpió la carga de Mina Aruntani en 1.925 MW. A las 12:55 h, se conectó la línea y se procedió a recuperar la carga interrumpida.</t>
  </si>
  <si>
    <t>Desconectó la línea L-6024, L-6025, L-6026 (Azángaro – Putina – Ananea - Huancané) de 60 kV por falla, debido a descarga atmosféricas que afectó a la línea L-6026 (Putina-Huancané), según lo informado por Electro Puno, titular del equipo. Como consecuencia se interrumpió el suministro de Ananea y Huancané en total 9.18 MW. A las 12:14 h, se conectaron las líneas L-6024, L-6025 y L-6026, y se procedió a normalizar el suministro interrumpido.</t>
  </si>
  <si>
    <t>L. PUTINA - HUANCANÉ - LINEA L-6026</t>
  </si>
  <si>
    <t>Desconectaron las líneas L-6024/L-6025 (Azángaro – Putina – Ananea) y la L-6026 (Putina – Huancané) de 60 kV por falla en la L-6026, debido a descarga atmosférica. Como consecuencia se interrumpió el suministro de Ananea y Huancané en total 9.08 MW. A las 12:17 h, se conectaron las líneas L-6024/L-6025 y la L-6026 y se procedió a normalizar el suministro interrumpido.</t>
  </si>
  <si>
    <t xml:space="preserve">ELECTRO DUNAS                                     </t>
  </si>
  <si>
    <t>L. INDEPENDENCIA - PARACAS - LINEA L-6606</t>
  </si>
  <si>
    <t>Desconectó la línea L-6606 (Independencia - Paracas) de 60 kV, por falla monofásica en la fase “T” a 25.5 km desde la S.E. Independencia, debido al acercamiento de tolva de vehículo (camión) a la línea, ocasionando la caída de conductor de la fase “T”, según informó Electro Dunas, propietario de la línea. Como consecuencia se interrumpió a Paracas y Minsur en total 9.59 MW. A las 13:22 h, se conectó la línea L-6606 y se procedió a normalizar el suministro interrumpido.</t>
  </si>
  <si>
    <t>TRANSMANTARO</t>
  </si>
  <si>
    <t>L. CARABAYLLO - CHIMBOTE1 - LINEA L-5006</t>
  </si>
  <si>
    <t>Se produjo la desconexión de la línea L-5006 (Carabayllo - Chimbote Nueva) de 500 KV por falla bifásica a tierra entre las fases "S" y "T" a 93 km desde la S.E. Carabayllo, debido a la quema de caña, según lo informado por Transmantaro, titular de la línea. Luego de la desconexión se presentó recierre en la línea L-2215 (Paramonga Chimbote) en el lado Paramonga, se registró la desconexión del SVC-1 de Trujillo, el SVC de Chiclayo y el banco BC21 de Piura por sobretensión. Como consecuencia hubo una reducción de carga del área norte del SEIN, correspondiente a los usuarios de Hidrandina, Enosa, Minera Yanacocha, Atria, Sider Perú, Cementos Pacasmayo y Minera Antamina, con un total de 184,312 MW.  Así mismo desconectaron las CC.HH. Carhuaquero con 10,73 MW, Curumuy con 5.07 MW, Poechos II con 5.6 MW, el generador G6 de la C.H. Cañón del Pato con 25,27 MW, Malpaso con 8,37 MW y la C.T. Maple con 20 MW. El CC-ENO también reportó la desconexión de la C.T. Tablazo. A las 11:14 h, se inició la recuperación del suministro reducido. A las 12:16 h, se energizó la línea L-5006 desde la S.E. Carabayllo. A las 14:44 h, se conectó la línea L-5006 en la S.E. Chimbote Nueva.</t>
  </si>
  <si>
    <t>L. PUNO - POMATA - ILAVE - LINEA L-6027</t>
  </si>
  <si>
    <t>Desconectó la línea L-6027 (Puno-Pomata) de 60 kV por falla, debido a descargas atmosféricas en la zona de Juli-Pomata, según lo informado por EPU, titular de la línea. Como consecuencia, salieron de servicio las subestaciones de Ilave, Pomata y derivaciones en MT, con una carga de 3.02 MW. A las 16:24 h, se conectó la línea L-6024 y EPU inicio la recuperación de sus suministros interrumpidos.</t>
  </si>
  <si>
    <t>CONELSUR LT SAC</t>
  </si>
  <si>
    <t>L. HUANCAVELICA - INGENIO - LINEA L-6643</t>
  </si>
  <si>
    <t>Desconectaron las líneas L-6643/L-6644 (Huancavelica - Ingenio - Caudalosa) de 50 KV, por falla monofásica en la fase "T" de la línea L-6643 a 19.1 km desde la S.E. Huancavelica, debido a descargas atmosféricas en la zona, según lo informado por Conelsur, titular de la línea. Como consecuencia se interrumpió el suministro de las SS.EE. Ingenio y Caudalosa con un total de 9 MW. A las 13:10 h se conectó la línea con el SEIN y se procedió a recuperar los suministros interrumpidos.</t>
  </si>
  <si>
    <t>L. AZÁNGARO - ANTAUTA - LINEA L-6021</t>
  </si>
  <si>
    <t>Desconectó la línea L-6021 (Azangaro - Antauta) de 60 kV, por falla monofásica en la fase "S", cuya causa no ha sido informada por Electro Puno, titular de la línea. Como consecuencia, se interrumpió la carga de la S.E. Antauta con 0.71 MW. A las 11:51 h, se conectó la línea y se procedió a normalizar el suministro interrumpido.</t>
  </si>
  <si>
    <t>S.E. PUEBLO NUEVO - TRAFO3D PN TR2</t>
  </si>
  <si>
    <t>Desconectó el transformador TR2 de 60/22.9/10 kV de la S.E. Pueblo Nuevo, debido al acoplamiento de una señal en el circuito de protección, en circunstancias que se realizaban trabajos de levantamiento de esquemas funcionales de control del transformador, informada por Electro Dunas, titular del equipo. Como consecuencia se interrumpió el suministro de la S.E. Pueblo Nuevo en 3.08 MW. A las 08:43 h, se puso en servicio el transformador y se procedió a recuperar los suministros interrumpidos.</t>
  </si>
  <si>
    <t>Desconectó la línea L-6021 (Azángaro – Antauta) de 60 kV por falla que se investiga. Como consecuencia se interrumpió el suministro de Antauta con 0.99 MW. A las 07:42 h del 23.10.2020, se energizó la línea L-6021 desde la SE San Rafael, previa apertura del cuello muerto en la estructura T-333 y cierre del cuello en la T-335 procediéndose a normalizar el suministro interrumpido</t>
  </si>
  <si>
    <t>S.E. CHARCANI I - BARRA BARRA33KV</t>
  </si>
  <si>
    <t>Desconectaron las líneas L-3103/L-3104 (Chilina – Charcani I) de 33 kV en la SE Charcani, por falla en la fase T y cuya causa se investiga. Como consecuencia desconectaron las CCHH Charcani I, II y III con 1.617 MW, 0.581 MW y 4.681 MW respectivamente. Se interrumpió el suministro de la SE Alto Cayma con 4.37 MW. A las 09:41 h, se conectó la línea L-3103. A las 09:42 h, se inició la normalización de suministro interrumpido. A las 09:59 h, se conectó la L-3104 en la S.E. Charcani I. A las 09:57 h, 09:58 h y 10:18 h, sincronizaron las CCHH Charcani II, Charcani III y Charcani I respectivamente con el SEIN.</t>
  </si>
  <si>
    <t>COMPAÑIA TRANSMISORA SUR ANDINO S.A.C.</t>
  </si>
  <si>
    <t>L. INGENIO - CAUDALOSA - LINEA L-6644</t>
  </si>
  <si>
    <t>Desconexión de la línea L-6644 (Ingenio-Caudalosa) de 60 kV por falla bifásica entre las fases "R y T", debido a descargas atmosféricas en la zona, según lo informado por Conelsur, titular de la línea. Como consecuencia se interrumpió el suministro de Castrovirreyna con 0.56 MW y de la Minera Kolpa con 2.84 MW. A las 16:06 h, se conectó la línea y se procedió a normalizar el suministro interrumpido.</t>
  </si>
  <si>
    <t>ATN S.A.</t>
  </si>
  <si>
    <t>L. RAMADA - PAMPA HONDA - LINEA L-2273 - NEW</t>
  </si>
  <si>
    <t>Recierre de la línea L-2273 (Ramada-Pampa Honda) 220 kV, por falla monofásica en la fase "R, la falla fue despejada por la protección diferencial de línea, con disparo monopolar de la fase R, y cumplido el tiempo muerto, se produjo el recierre exitoso; la falla se debió a descargas atmosféricas en la zona, según lo informado por ATN, titular de la línea.  A las 15:28 h, Minera Yanacocha reportó reducción de 15 MW de carga, a esa hora se coordinó normalizar la carga interrumpida.</t>
  </si>
  <si>
    <t>Desconectó la línea L-1136 (Trujillo Norte - Alto Chicama) de 138 kV, por falla en la fase "R" ubicada a 28.2 km desde la S.E. Trujillo Norte, debido a presencia de Neblina de alta densidad en la zona, informada por Compañía Transmisora Andina, titular de la línea. Como consecuencia, se interrumpió 10 MW correspondiente al suministro de Minera Barrick en la S.E. Alto Chicama. La línea quedó indisponible para su inspección.</t>
  </si>
  <si>
    <t>Desconectaron las líneas L-6024/L6025/L-6026 (Azángaro – Putina – Ananea-Huancané) de 60 kV, por falla debido a descargas atmosféricas. Como consecuencia se interrumpió el suministro de Huancané y Ananea con un total de 9.21 MW. A las 14:07 h, se conectó la línea L-6024/L-6025/L-6026, procediendo a normalizar el suministro interrumpido.</t>
  </si>
  <si>
    <t>Desconectó la línea L-6024, L-6025 y L-6026 (Azángaro – Putina – Ananea - Huancané) de 60 kV por falla, originado por descarga atmosférica que afectó  a la línea L-6024 (Azangaro – Putina), según lo informado por Electro Puno, titular del equipo. Como consecuencia se interrumpió el suministro de Ananea y Huancané en total 9.28 MW. A las 14:24 h, se conectaron las líneas L-6024, L-6025 y L-6026 respectivamente.</t>
  </si>
  <si>
    <t>S.E. COMBAPATA - BARRA BARRA66KV</t>
  </si>
  <si>
    <t>Desconectó la barra de 66 kV de la S.E. Combapata, por apertura del interruptor IN-6200 del transformador T46-162, debido a falla en línea L-6019 (Combapata – Lluscos) de 66 kV, que no fue despejada por su protección, según lo informado por REP, titular del interruptor IN-6200. Como consecuencia se interrumpió el suministro a Sicuani y LLusco en total 5.38 MW. A las 17:18 h, se energizó la barra de 66 kV y se procedió a normalizar el suministro interrumpido de Lluscos. La línea L-0630 (Combapata – Sicuani) de 66 kV se conectó a las 17:19 h.</t>
  </si>
  <si>
    <t>L. KIMAN AYLLU - SIHUAS - LINEA L-1132</t>
  </si>
  <si>
    <t>Desconectó la línea L-1132 (Kiman Ayllu – Sihuas) de 138 kV por falla bifásica a tierra entre las fases “R y S”, la falla se produjo mientras se realizaba maniobra de desconexión por emergencia de la línea L-1134 (Tayabamba - Llacuabamba) de 138 kV, a solicitud de minera Marsa titular de la línea L-1134; según lo informado por Hidrandina, titular de la línea L-1132. Como consecuencia se interrumpió el suministro de Sihuas, Pomabamba, Huari, Tayabamba, Llacuabamba y la minera Horizonte en total 2.54 MW. A las 21:35 h, se energizó la línea L-1132 y se procedió a normalizar los suministros interrumpidos.</t>
  </si>
  <si>
    <t>L. INTIPAMPA - MILLSITE - LINEA L-1394</t>
  </si>
  <si>
    <t>Desconectó la línea L-1394 (Intipampa - Millsite) de 138 kV, por falla monofásica en la fase "R" del seccionador DS724 en la S.E. Millsite, durante el lavado de aisladores por mantenimiento de la S.E. Millsite, según lo informado por Southern, titular de la subestación Millsite. Como consecuencia, Southern redujo su carga en las unidades operativas Cuajone (6.5 MW), Toquepala (132.1 MW) e Ilo (1.6 MW). A las 10:03 h, se coordinó con Southern recuperar toda su carga. A las 10:16 h, se puso en servicio la línea.</t>
  </si>
  <si>
    <t>C.T. SAN NICOLÁS - GT TV3</t>
  </si>
  <si>
    <t>Desconectó el generador TV3 de la C.T. San Nicolás con 21 MW por problemas de vacío en el condensador, según lo informado por Shougesa, titular de la central. Como consecuencia desconectó la línea en 60 kV L-6629 (Marcona - Mina) con una carga de 11 MW, debido al incremento de carga en el transformador T62-261 de la S.E Marcona, registrando un incremento de carga de 69,6MVA a 90,2MVA, el cual ocasionó la actuación del esquema especial de protección que evita la sobrecarga en los transformadores de Marcona produciendo el disparo trifásico definitivo de la línea L-6629; el transformador en paralelo T6-261, se encontraba fuera de servicio por mantenimiento programado, según lo informado por REP titular de los transformadores. A las 10:39 h, se puso en servicio la línea L-6629 y se coordinó con Shougang recuperar 1 MW de carga. A las 10:44 h, se coordinó con Shougang recuperar hasta 5 MW de carga. A las 10:45 h, sincronizó la TV3 con el SEIN. A las 11:23 h, se coordinó con Shougang recuperar toda la carga.</t>
  </si>
  <si>
    <t>Desconectó la línea L-6027 (Puno - Pomata - Ilave) de 60 kV por falla, causada por fuertes vientos en la zona de Pomata, según lo informado por Electro Puno, titular de la línea. Como consecuencia se interrumpió el suministro de las subestaciones Ilave - Pomata, con 6.33 MW. A las 20:39 h se energizó la línea L-6027, iniciando la recuperación de los suministros interrumpidos.</t>
  </si>
  <si>
    <t>Desconectó la línea L-6027 (Puno - Pomata - Ilave) de 60 kV por falla, causada por fuertes vientos en la zona de Pomata, según lo informado por Electro Puno, titular de la línea. Como consecuencia se interrumpió el suministro de las subestaciones Ilave - Pomata, con 4.48 MW. A las 21:34 h se energizó la línea L-6027, iniciando la recuperación de los suministros interrumpidos.</t>
  </si>
  <si>
    <t>Desconectó la línea L-6027 (Puno - Pomata - Ilave) de 60 kV por falla, causada por fuertes vientos en la zona de Pomata, según lo informado por Electro Puno, titular de la línea. Como consecuencia se interrumpió el suministro de las subestaciones Ilave - Pomata, con 3.91 MW. A las 21:42 h se energizó la línea L-6027, iniciando la recuperación de los suministros interrumpidos.</t>
  </si>
  <si>
    <t xml:space="preserve">LINEA DE TRANSMISION          </t>
  </si>
  <si>
    <t>TRANSFORMADOR 2D</t>
  </si>
  <si>
    <t>GENERADOR TERMOELÉCTRICO</t>
  </si>
  <si>
    <t>L-2003  L-2004</t>
  </si>
  <si>
    <t>SANTA ROSA N. - CHAVARRÍA</t>
  </si>
  <si>
    <t>L-6627  L-6628</t>
  </si>
  <si>
    <t>MARCONA - SAN NICOLÁS</t>
  </si>
  <si>
    <t>T-30  T3-261  T4-261</t>
  </si>
  <si>
    <t>INDEPENDENCIA</t>
  </si>
  <si>
    <t>VOLUMEN ÚTIL
31-10-2020</t>
  </si>
  <si>
    <t>VOLUMEN ÚTIL
31-10-2019</t>
  </si>
  <si>
    <t>El total de la producción de energía eléctrica de la empresas generadoras integrantes del COES en el mes de octubre 2020 fue de 4 464,68  GWh, lo que representa una disminución de 17,89 GWh (-0,40%) en comparación con el año 2019.</t>
  </si>
  <si>
    <t>La producción de electricidad con centrales hidroeléctricas durante el mes de octubre 2020 fue de 2 050,49 GWh (3,56% menor al registrado durante octubre del año 2019).</t>
  </si>
  <si>
    <t>La producción de electricidad con centrales termoeléctricas durante el mes de octubre 2020 fue de 2 165,79 GWh, 2,29% mayor al registrado durante octubre del año 2019. La participación del gas natural de Camisea fue de 44,98%, mientras que las del gas que proviene de los yacimientos de Aguaytía y Malacas fue del 1,78%, la producción con diesel, residual, carbón, biogás y bagazo tuvieron una intervención del 0,68%, 0,04%, 0,19%, 0,15%, 0,68% respectivamente.</t>
  </si>
  <si>
    <t>La producción de energía eléctrica con centrales eólicas fue de 172,07 GWh y con centrales solares fue de 76,33 GWh, los cuales tuvieron una participación de 3,85% y 1,71% respectivamente.</t>
  </si>
  <si>
    <t>01/10/2020</t>
  </si>
  <si>
    <t>02/10/2020</t>
  </si>
  <si>
    <t>03/10/2020</t>
  </si>
  <si>
    <t>11:15</t>
  </si>
  <si>
    <t>04/10/2020</t>
  </si>
  <si>
    <t>20:30</t>
  </si>
  <si>
    <t>05/10/2020</t>
  </si>
  <si>
    <t>06/10/2020</t>
  </si>
  <si>
    <t>07/10/2020</t>
  </si>
  <si>
    <t>08/10/2020</t>
  </si>
  <si>
    <t>09/10/2020</t>
  </si>
  <si>
    <t>10/10/2020</t>
  </si>
  <si>
    <t>11/10/2020</t>
  </si>
  <si>
    <t>13:00</t>
  </si>
  <si>
    <t>12/10/2020</t>
  </si>
  <si>
    <t>21:00</t>
  </si>
  <si>
    <t>13/10/2020</t>
  </si>
  <si>
    <t>14/10/2020</t>
  </si>
  <si>
    <t>21:30</t>
  </si>
  <si>
    <t>15/10/2020</t>
  </si>
  <si>
    <t>16/10/2020</t>
  </si>
  <si>
    <t>17/10/2020</t>
  </si>
  <si>
    <t>18/10/2020</t>
  </si>
  <si>
    <t>19/10/2020</t>
  </si>
  <si>
    <t>15:15</t>
  </si>
  <si>
    <t>20/10/2020</t>
  </si>
  <si>
    <t>21/10/2020</t>
  </si>
  <si>
    <t>22/10/2020</t>
  </si>
  <si>
    <t>23/10/2020</t>
  </si>
  <si>
    <t>24/10/2020</t>
  </si>
  <si>
    <t>25/10/2020</t>
  </si>
  <si>
    <t>26/10/2020</t>
  </si>
  <si>
    <t>27/10/2020</t>
  </si>
  <si>
    <t>28/10/2020</t>
  </si>
  <si>
    <t>15:30</t>
  </si>
  <si>
    <t>29/10/2020</t>
  </si>
  <si>
    <t>20:15</t>
  </si>
  <si>
    <t>30/10/2020</t>
  </si>
  <si>
    <t>31/10/2020</t>
  </si>
  <si>
    <t>C.T. Callao</t>
  </si>
  <si>
    <t>C.H. Manta I</t>
  </si>
  <si>
    <t>Nota: Los valores de potencia efectiva de C.T. Callao y C.H. Manta I corresponden a lo presentado en su ficha técnica para su operación comercial.</t>
  </si>
  <si>
    <t>(2) Inicio de operación comercial de la C.H. Manta I propiedad de PERUANA DE INVERSIÓN EN ENERGÍAS RENOVABLES S.A. a las 00:00 horas del 16.07.2020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</si>
</sst>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5">
    <numFmt numFmtId="43" formatCode="_-* #,##0.00_-;\-* #,##0.00_-;_-* &quot;-&quot;??_-;_-@_-"/>
    <numFmt numFmtId="164" formatCode="_-&quot;S/.&quot;* #,##0.00_-;\-&quot;S/.&quot;* #,##0.00_-;_-&quot;S/.&quot;* &quot;-&quot;??_-;_-@_-"/>
    <numFmt numFmtId="165" formatCode="0.0;\-0.0;\-"/>
    <numFmt numFmtId="166" formatCode="0.0"/>
    <numFmt numFmtId="167" formatCode="0.0%"/>
    <numFmt numFmtId="168" formatCode="###\ ###\ ##0.0"/>
    <numFmt numFmtId="169" formatCode="[$-409]mmmmm/yy;@"/>
    <numFmt numFmtId="170" formatCode="#,##0.0"/>
    <numFmt numFmtId="171" formatCode="_ [$€]* #,##0.00_ ;_ [$€]* \-#,##0.00_ ;_ [$€]* &quot;-&quot;??_ ;_ @_ "/>
    <numFmt numFmtId="172" formatCode="#,##0_ ;\-#,##0\ "/>
    <numFmt numFmtId="173" formatCode="[$-F400]h:mm:ss\ AM/PM"/>
    <numFmt numFmtId="174" formatCode="#,##0.000"/>
    <numFmt numFmtId="175" formatCode="0.000"/>
    <numFmt numFmtId="176" formatCode="0.000%"/>
    <numFmt numFmtId="177" formatCode="_-* #,##0.000_-;\-* #,##0.000_-;_-* &quot;-&quot;??_-;_-@_-"/>
  </numFmts>
  <fonts count="89">
    <font>
      <sz val="8"/>
      <color theme="1"/>
      <name val="Arial"/>
      <family val="2"/>
    </font>
    <font>
      <sz val="8"/>
      <color theme="1"/>
      <name val="Arial"/>
      <family val="2"/>
    </font>
    <font>
      <b/>
      <sz val="8"/>
      <color theme="0"/>
      <name val="Arial"/>
      <family val="2"/>
    </font>
    <font>
      <b/>
      <sz val="8"/>
      <color theme="1"/>
      <name val="Arial"/>
      <family val="2"/>
    </font>
    <font>
      <b/>
      <sz val="10"/>
      <name val="Arial"/>
      <family val="2"/>
    </font>
    <font>
      <sz val="10"/>
      <name val="Arial"/>
      <family val="2"/>
    </font>
    <font>
      <b/>
      <sz val="9"/>
      <name val="Arial"/>
      <family val="2"/>
    </font>
    <font>
      <sz val="9"/>
      <name val="Arial"/>
      <family val="2"/>
    </font>
    <font>
      <sz val="9"/>
      <color theme="1"/>
      <name val="Arial"/>
      <family val="2"/>
    </font>
    <font>
      <sz val="10"/>
      <color theme="1"/>
      <name val="Arial"/>
      <family val="2"/>
    </font>
    <font>
      <i/>
      <sz val="10"/>
      <name val="Arial"/>
      <family val="2"/>
    </font>
    <font>
      <b/>
      <sz val="11"/>
      <name val="Arial"/>
      <family val="2"/>
    </font>
    <font>
      <b/>
      <sz val="12"/>
      <name val="Arial"/>
      <family val="2"/>
    </font>
    <font>
      <sz val="8"/>
      <name val="Arial"/>
      <family val="2"/>
    </font>
    <font>
      <sz val="8"/>
      <color rgb="FF00B0F0"/>
      <name val="Arial"/>
      <family val="2"/>
    </font>
    <font>
      <b/>
      <sz val="10"/>
      <color theme="1"/>
      <name val="Arial"/>
      <family val="2"/>
    </font>
    <font>
      <i/>
      <sz val="10"/>
      <color theme="1"/>
      <name val="Arial"/>
      <family val="2"/>
    </font>
    <font>
      <b/>
      <sz val="12"/>
      <color theme="1"/>
      <name val="Arial"/>
      <family val="2"/>
    </font>
    <font>
      <b/>
      <sz val="14"/>
      <color theme="1"/>
      <name val="Arial"/>
      <family val="2"/>
    </font>
    <font>
      <sz val="10"/>
      <color theme="0"/>
      <name val="Arial"/>
      <family val="2"/>
    </font>
    <font>
      <b/>
      <sz val="10"/>
      <color theme="0"/>
      <name val="Arial"/>
      <family val="2"/>
    </font>
    <font>
      <b/>
      <sz val="8"/>
      <name val="Arial"/>
      <family val="2"/>
    </font>
    <font>
      <b/>
      <i/>
      <sz val="8"/>
      <name val="Arial"/>
      <family val="2"/>
    </font>
    <font>
      <i/>
      <sz val="8"/>
      <name val="Arial"/>
      <family val="2"/>
    </font>
    <font>
      <i/>
      <sz val="9"/>
      <name val="Arial"/>
      <family val="2"/>
    </font>
    <font>
      <b/>
      <sz val="16"/>
      <color theme="1"/>
      <name val="Arial"/>
      <family val="2"/>
    </font>
    <font>
      <sz val="11"/>
      <name val="Arial"/>
      <family val="2"/>
    </font>
    <font>
      <sz val="7"/>
      <name val="Arial"/>
      <family val="2"/>
    </font>
    <font>
      <b/>
      <vertAlign val="superscript"/>
      <sz val="8"/>
      <color theme="0"/>
      <name val="Arial"/>
      <family val="2"/>
    </font>
    <font>
      <sz val="7"/>
      <color theme="1"/>
      <name val="Arial"/>
      <family val="2"/>
    </font>
    <font>
      <sz val="6"/>
      <color theme="1"/>
      <name val="Arial"/>
      <family val="2"/>
    </font>
    <font>
      <b/>
      <sz val="7"/>
      <color theme="0"/>
      <name val="Arial"/>
      <family val="2"/>
    </font>
    <font>
      <b/>
      <sz val="7"/>
      <name val="Arial"/>
      <family val="2"/>
    </font>
    <font>
      <i/>
      <sz val="8"/>
      <color theme="1"/>
      <name val="Arial"/>
      <family val="2"/>
    </font>
    <font>
      <sz val="8"/>
      <color theme="1"/>
      <name val="Arial Narrow"/>
      <family val="2"/>
    </font>
    <font>
      <b/>
      <sz val="6"/>
      <color theme="0"/>
      <name val="Arial"/>
      <family val="2"/>
    </font>
    <font>
      <i/>
      <sz val="7"/>
      <name val="Arial"/>
      <family val="2"/>
    </font>
    <font>
      <b/>
      <sz val="7"/>
      <color theme="4"/>
      <name val="Arial"/>
      <family val="2"/>
    </font>
    <font>
      <sz val="11"/>
      <name val="Calibri"/>
      <family val="2"/>
    </font>
    <font>
      <b/>
      <sz val="7"/>
      <color theme="1"/>
      <name val="Arial"/>
      <family val="2"/>
    </font>
    <font>
      <b/>
      <sz val="7"/>
      <color rgb="FFFFFFFF"/>
      <name val="Arial"/>
      <family val="2"/>
    </font>
    <font>
      <sz val="10"/>
      <name val="Calibri "/>
    </font>
    <font>
      <b/>
      <sz val="10"/>
      <color theme="0" tint="-0.34998626667073579"/>
      <name val="Arial"/>
      <family val="2"/>
    </font>
    <font>
      <sz val="8"/>
      <color theme="0" tint="-0.34998626667073579"/>
      <name val="Arial"/>
      <family val="2"/>
    </font>
    <font>
      <sz val="10"/>
      <color theme="0" tint="-0.34998626667073579"/>
      <name val="Arial"/>
      <family val="2"/>
    </font>
    <font>
      <i/>
      <sz val="8"/>
      <color theme="0" tint="-0.34998626667073579"/>
      <name val="Arial"/>
      <family val="2"/>
    </font>
    <font>
      <sz val="8"/>
      <color theme="4" tint="-0.249977111117893"/>
      <name val="Arial"/>
      <family val="2"/>
    </font>
    <font>
      <b/>
      <sz val="11"/>
      <color theme="3"/>
      <name val="Arial"/>
      <family val="2"/>
    </font>
    <font>
      <b/>
      <sz val="10"/>
      <color theme="3"/>
      <name val="Arial"/>
      <family val="2"/>
    </font>
    <font>
      <sz val="8"/>
      <color theme="3"/>
      <name val="Arial"/>
      <family val="2"/>
    </font>
    <font>
      <sz val="10"/>
      <color theme="3"/>
      <name val="Arial"/>
      <family val="2"/>
    </font>
    <font>
      <sz val="6"/>
      <color theme="3"/>
      <name val="Calibri"/>
      <family val="2"/>
      <scheme val="minor"/>
    </font>
    <font>
      <sz val="9"/>
      <color theme="3"/>
      <name val="Arial"/>
      <family val="2"/>
    </font>
    <font>
      <b/>
      <sz val="10"/>
      <color theme="3"/>
      <name val="Tahoma"/>
      <family val="2"/>
    </font>
    <font>
      <b/>
      <sz val="8.5"/>
      <color theme="3"/>
      <name val="Tahoma"/>
      <family val="2"/>
    </font>
    <font>
      <sz val="8.5"/>
      <color theme="3"/>
      <name val="Tahoma"/>
      <family val="2"/>
    </font>
    <font>
      <sz val="8"/>
      <color theme="3"/>
      <name val="Helvetica"/>
      <family val="2"/>
    </font>
    <font>
      <b/>
      <sz val="11"/>
      <color theme="1"/>
      <name val="Arial"/>
      <family val="2"/>
    </font>
    <font>
      <sz val="6"/>
      <color theme="8" tint="-0.499984740745262"/>
      <name val="Calibri"/>
      <family val="2"/>
      <scheme val="minor"/>
    </font>
    <font>
      <sz val="5.5"/>
      <color theme="1"/>
      <name val="Arial"/>
      <family val="2"/>
    </font>
    <font>
      <b/>
      <sz val="6"/>
      <name val="Arial"/>
      <family val="2"/>
    </font>
    <font>
      <sz val="6"/>
      <name val="Arial"/>
      <family val="2"/>
    </font>
    <font>
      <sz val="8"/>
      <color rgb="FFA3A3A3"/>
      <name val="Arial"/>
      <family val="2"/>
    </font>
    <font>
      <sz val="5"/>
      <color theme="1"/>
      <name val="Arial"/>
      <family val="2"/>
    </font>
    <font>
      <sz val="8"/>
      <color theme="1" tint="0.249977111117893"/>
      <name val="Arial"/>
      <family val="2"/>
    </font>
    <font>
      <b/>
      <sz val="10"/>
      <color theme="1" tint="0.249977111117893"/>
      <name val="Tahoma"/>
      <family val="2"/>
    </font>
    <font>
      <b/>
      <sz val="8.5"/>
      <color theme="1" tint="0.249977111117893"/>
      <name val="Tahoma"/>
      <family val="2"/>
    </font>
    <font>
      <sz val="8.5"/>
      <color theme="1" tint="0.249977111117893"/>
      <name val="Tahoma"/>
      <family val="2"/>
    </font>
    <font>
      <sz val="8"/>
      <color theme="1" tint="0.249977111117893"/>
      <name val="Helvetica"/>
      <family val="2"/>
    </font>
    <font>
      <sz val="8"/>
      <color theme="1" tint="0.249977111117893"/>
      <name val="Arial Narrow"/>
      <family val="2"/>
    </font>
    <font>
      <b/>
      <sz val="6"/>
      <color theme="1"/>
      <name val="Arial"/>
      <family val="2"/>
    </font>
    <font>
      <sz val="6"/>
      <color theme="0"/>
      <name val="Arial"/>
      <family val="2"/>
    </font>
    <font>
      <b/>
      <sz val="12"/>
      <color rgb="FF1F2532"/>
      <name val="Calibri"/>
      <family val="2"/>
    </font>
    <font>
      <b/>
      <sz val="5"/>
      <name val="Arial"/>
      <family val="2"/>
    </font>
    <font>
      <sz val="5"/>
      <name val="Arial"/>
      <family val="2"/>
    </font>
    <font>
      <b/>
      <sz val="10.5"/>
      <name val="Arial"/>
      <family val="2"/>
    </font>
    <font>
      <sz val="8"/>
      <color rgb="FFFF0000"/>
      <name val="Arial"/>
      <family val="2"/>
    </font>
    <font>
      <b/>
      <sz val="11"/>
      <color rgb="FFFF0000"/>
      <name val="Arial"/>
      <family val="2"/>
    </font>
    <font>
      <b/>
      <sz val="5"/>
      <color theme="0" tint="-0.34998626667073579"/>
      <name val="Arial"/>
      <family val="2"/>
    </font>
    <font>
      <sz val="8"/>
      <color theme="0"/>
      <name val="Arial"/>
      <family val="2"/>
    </font>
    <font>
      <b/>
      <sz val="5.5"/>
      <name val="Arial"/>
      <family val="2"/>
    </font>
    <font>
      <b/>
      <sz val="8"/>
      <color theme="1" tint="0.249977111117893"/>
      <name val="Arial"/>
      <family val="2"/>
    </font>
    <font>
      <sz val="5"/>
      <color rgb="FFFF0000"/>
      <name val="Arial"/>
      <family val="2"/>
    </font>
    <font>
      <b/>
      <sz val="5"/>
      <color theme="1"/>
      <name val="Arial"/>
      <family val="2"/>
    </font>
    <font>
      <sz val="5"/>
      <color rgb="FF002060"/>
      <name val="Arial"/>
      <family val="2"/>
    </font>
    <font>
      <sz val="8"/>
      <color theme="0" tint="-0.249977111117893"/>
      <name val="Arial"/>
      <family val="2"/>
    </font>
    <font>
      <sz val="5"/>
      <color theme="0" tint="-0.34998626667073579"/>
      <name val="Arial"/>
      <family val="2"/>
    </font>
    <font>
      <i/>
      <sz val="9"/>
      <color theme="1"/>
      <name val="Arial"/>
      <family val="2"/>
    </font>
    <font>
      <sz val="8"/>
      <name val="Calibri"/>
      <family val="2"/>
    </font>
  </fonts>
  <fills count="12">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indexed="13"/>
        <bgColor indexed="64"/>
      </patternFill>
    </fill>
    <fill>
      <patternFill patternType="solid">
        <fgColor rgb="FFFFFF00"/>
        <bgColor indexed="64"/>
      </patternFill>
    </fill>
    <fill>
      <patternFill patternType="solid">
        <fgColor rgb="FF0077A5"/>
        <bgColor indexed="64"/>
      </patternFill>
    </fill>
    <fill>
      <patternFill patternType="solid">
        <fgColor rgb="FF0077A5"/>
        <bgColor theme="4" tint="-0.249977111117893"/>
      </patternFill>
    </fill>
    <fill>
      <patternFill patternType="solid">
        <fgColor rgb="FF0077A5"/>
        <bgColor theme="4"/>
      </patternFill>
    </fill>
    <fill>
      <patternFill patternType="solid">
        <fgColor rgb="FFC4E8FF"/>
      </patternFill>
    </fill>
  </fills>
  <borders count="160">
    <border>
      <left/>
      <right/>
      <top/>
      <bottom/>
      <diagonal/>
    </border>
    <border>
      <left/>
      <right/>
      <top/>
      <bottom style="dashed">
        <color auto="1"/>
      </bottom>
      <diagonal/>
    </border>
    <border>
      <left/>
      <right/>
      <top style="thin">
        <color theme="3" tint="0.39994506668294322"/>
      </top>
      <bottom/>
      <diagonal/>
    </border>
    <border>
      <left style="thin">
        <color theme="3" tint="0.39994506668294322"/>
      </left>
      <right/>
      <top/>
      <bottom/>
      <diagonal/>
    </border>
    <border>
      <left/>
      <right style="thin">
        <color theme="3" tint="0.39994506668294322"/>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3" tint="0.39994506668294322"/>
      </left>
      <right style="thin">
        <color theme="0" tint="-0.14996795556505021"/>
      </right>
      <top style="thin">
        <color theme="3" tint="0.39994506668294322"/>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3" tint="0.39994506668294322"/>
      </right>
      <top/>
      <bottom style="thin">
        <color theme="0" tint="-0.14996795556505021"/>
      </bottom>
      <diagonal/>
    </border>
    <border>
      <left style="thin">
        <color theme="3" tint="0.39994506668294322"/>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0" tint="-0.14996795556505021"/>
      </right>
      <top style="thin">
        <color theme="0" tint="-0.14996795556505021"/>
      </top>
      <bottom style="thin">
        <color theme="0" tint="-0.34998626667073579"/>
      </bottom>
      <diagonal/>
    </border>
    <border>
      <left style="thin">
        <color theme="0" tint="-0.14996795556505021"/>
      </left>
      <right style="thin">
        <color theme="3" tint="0.39994506668294322"/>
      </right>
      <top style="thin">
        <color theme="0" tint="-0.14996795556505021"/>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theme="0" tint="-0.24994659260841701"/>
      </left>
      <right/>
      <top style="thin">
        <color theme="0" tint="-0.24994659260841701"/>
      </top>
      <bottom/>
      <diagonal/>
    </border>
    <border>
      <left/>
      <right/>
      <top style="thin">
        <color theme="0" tint="-0.24994659260841701"/>
      </top>
      <bottom/>
      <diagonal/>
    </border>
    <border>
      <left/>
      <right style="thin">
        <color theme="0" tint="-0.24994659260841701"/>
      </right>
      <top style="thin">
        <color theme="0" tint="-0.24994659260841701"/>
      </top>
      <bottom/>
      <diagonal/>
    </border>
    <border>
      <left style="thin">
        <color theme="0" tint="-0.24994659260841701"/>
      </left>
      <right/>
      <top/>
      <bottom/>
      <diagonal/>
    </border>
    <border>
      <left/>
      <right style="thin">
        <color theme="0" tint="-0.24994659260841701"/>
      </right>
      <top/>
      <bottom/>
      <diagonal/>
    </border>
    <border>
      <left style="thin">
        <color theme="0" tint="-0.24994659260841701"/>
      </left>
      <right/>
      <top/>
      <bottom style="thin">
        <color theme="0" tint="-0.24994659260841701"/>
      </bottom>
      <diagonal/>
    </border>
    <border>
      <left/>
      <right/>
      <top/>
      <bottom style="thin">
        <color theme="0" tint="-0.24994659260841701"/>
      </bottom>
      <diagonal/>
    </border>
    <border>
      <left/>
      <right style="thin">
        <color theme="0" tint="-0.24994659260841701"/>
      </right>
      <top/>
      <bottom style="thin">
        <color theme="0" tint="-0.24994659260841701"/>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24994659260841701"/>
      </left>
      <right/>
      <top style="thin">
        <color theme="0" tint="-0.24994659260841701"/>
      </top>
      <bottom style="thin">
        <color theme="0" tint="-0.24994659260841701"/>
      </bottom>
      <diagonal/>
    </border>
    <border>
      <left/>
      <right/>
      <top style="thin">
        <color theme="0" tint="-0.24994659260841701"/>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3" tint="0.39994506668294322"/>
      </left>
      <right/>
      <top/>
      <bottom style="thin">
        <color theme="3" tint="0.39994506668294322"/>
      </bottom>
      <diagonal/>
    </border>
    <border>
      <left/>
      <right/>
      <top/>
      <bottom style="thin">
        <color theme="3" tint="0.39994506668294322"/>
      </bottom>
      <diagonal/>
    </border>
    <border>
      <left/>
      <right style="thin">
        <color theme="3" tint="0.39994506668294322"/>
      </right>
      <top/>
      <bottom style="thin">
        <color theme="3" tint="0.39994506668294322"/>
      </bottom>
      <diagonal/>
    </border>
    <border>
      <left style="thin">
        <color theme="0"/>
      </left>
      <right style="thin">
        <color theme="0"/>
      </right>
      <top style="thin">
        <color theme="0"/>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4" tint="0.79995117038483843"/>
      </left>
      <right style="thin">
        <color theme="4" tint="0.79995117038483843"/>
      </right>
      <top/>
      <bottom/>
      <diagonal/>
    </border>
    <border>
      <left style="thin">
        <color theme="4" tint="0.79995117038483843"/>
      </left>
      <right/>
      <top/>
      <bottom/>
      <diagonal/>
    </border>
    <border>
      <left/>
      <right/>
      <top/>
      <bottom style="thin">
        <color theme="4" tint="0.79998168889431442"/>
      </bottom>
      <diagonal/>
    </border>
    <border>
      <left/>
      <right/>
      <top style="thin">
        <color theme="4" tint="0.79998168889431442"/>
      </top>
      <bottom style="thin">
        <color theme="4" tint="0.79998168889431442"/>
      </bottom>
      <diagonal/>
    </border>
    <border>
      <left style="thin">
        <color theme="4" tint="0.79995117038483843"/>
      </left>
      <right style="thin">
        <color theme="4" tint="0.79995117038483843"/>
      </right>
      <top/>
      <bottom style="thin">
        <color theme="4" tint="0.79998168889431442"/>
      </bottom>
      <diagonal/>
    </border>
    <border>
      <left style="thin">
        <color theme="4" tint="0.79995117038483843"/>
      </left>
      <right/>
      <top/>
      <bottom style="thin">
        <color theme="4" tint="0.79998168889431442"/>
      </bottom>
      <diagonal/>
    </border>
    <border>
      <left/>
      <right/>
      <top style="thin">
        <color theme="4" tint="0.79998168889431442"/>
      </top>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style="thin">
        <color theme="3" tint="0.39994506668294322"/>
      </top>
      <bottom style="thin">
        <color theme="3" tint="0.39994506668294322"/>
      </bottom>
      <diagonal/>
    </border>
    <border>
      <left/>
      <right/>
      <top style="thin">
        <color theme="3" tint="0.39994506668294322"/>
      </top>
      <bottom style="thin">
        <color theme="3" tint="0.39994506668294322"/>
      </bottom>
      <diagonal/>
    </border>
    <border>
      <left/>
      <right style="thin">
        <color theme="3" tint="0.39994506668294322"/>
      </right>
      <top style="thin">
        <color theme="3" tint="0.39994506668294322"/>
      </top>
      <bottom style="thin">
        <color theme="3" tint="0.39994506668294322"/>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theme="0" tint="-4.9989318521683403E-2"/>
      </left>
      <right style="medium">
        <color theme="0" tint="-4.9989318521683403E-2"/>
      </right>
      <top style="thin">
        <color theme="0" tint="-4.9989318521683403E-2"/>
      </top>
      <bottom style="thin">
        <color theme="0" tint="-4.9989318521683403E-2"/>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style="medium">
        <color theme="0" tint="-4.9989318521683403E-2"/>
      </right>
      <top style="thin">
        <color theme="0" tint="-4.9989318521683403E-2"/>
      </top>
      <bottom/>
      <diagonal/>
    </border>
    <border>
      <left style="medium">
        <color theme="0" tint="-0.14996795556505021"/>
      </left>
      <right style="medium">
        <color theme="0" tint="-0.14996795556505021"/>
      </right>
      <top style="medium">
        <color theme="0" tint="-0.14996795556505021"/>
      </top>
      <bottom/>
      <diagonal/>
    </border>
    <border>
      <left style="medium">
        <color theme="0" tint="-0.14996795556505021"/>
      </left>
      <right style="medium">
        <color theme="0" tint="-0.14996795556505021"/>
      </right>
      <top/>
      <bottom/>
      <diagonal/>
    </border>
    <border>
      <left style="medium">
        <color theme="0" tint="-0.14996795556505021"/>
      </left>
      <right style="medium">
        <color theme="0" tint="-0.14996795556505021"/>
      </right>
      <top/>
      <bottom style="thin">
        <color theme="4" tint="0.79998168889431442"/>
      </bottom>
      <diagonal/>
    </border>
    <border>
      <left style="medium">
        <color theme="0" tint="-0.14996795556505021"/>
      </left>
      <right style="medium">
        <color theme="0" tint="-0.14996795556505021"/>
      </right>
      <top style="thin">
        <color theme="4" tint="0.79998168889431442"/>
      </top>
      <bottom style="thin">
        <color theme="4" tint="0.79998168889431442"/>
      </bottom>
      <diagonal/>
    </border>
    <border>
      <left style="thin">
        <color theme="3" tint="0.39994506668294322"/>
      </left>
      <right/>
      <top style="thin">
        <color theme="3" tint="0.39994506668294322"/>
      </top>
      <bottom style="thin">
        <color theme="3" tint="0.39991454817346722"/>
      </bottom>
      <diagonal/>
    </border>
    <border>
      <left style="hair">
        <color rgb="FFCCECFF"/>
      </left>
      <right style="hair">
        <color rgb="FFCCECFF"/>
      </right>
      <top style="thin">
        <color theme="3" tint="0.39994506668294322"/>
      </top>
      <bottom style="thin">
        <color theme="3" tint="0.39991454817346722"/>
      </bottom>
      <diagonal/>
    </border>
    <border>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0" tint="-0.49998474074526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4.9989318521683403E-2"/>
      </right>
      <top style="thin">
        <color theme="0" tint="-0.499984740745262"/>
      </top>
      <bottom style="thin">
        <color theme="0" tint="-0.499984740745262"/>
      </bottom>
      <diagonal/>
    </border>
    <border>
      <left style="thin">
        <color theme="0" tint="-4.9989318521683403E-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4.9989318521683403E-2"/>
      </right>
      <top style="thin">
        <color theme="0" tint="-0.499984740745262"/>
      </top>
      <bottom style="thin">
        <color theme="0" tint="-4.9989318521683403E-2"/>
      </bottom>
      <diagonal/>
    </border>
    <border>
      <left style="thin">
        <color theme="0" tint="-0.499984740745262"/>
      </left>
      <right style="thin">
        <color theme="0" tint="-0.499984740745262"/>
      </right>
      <top style="thin">
        <color theme="0" tint="-4.9989318521683403E-2"/>
      </top>
      <bottom style="thin">
        <color theme="0" tint="-0.499984740745262"/>
      </bottom>
      <diagonal/>
    </border>
    <border>
      <left style="thin">
        <color theme="3" tint="0.39994506668294322"/>
      </left>
      <right style="thin">
        <color theme="0" tint="-0.24994659260841701"/>
      </right>
      <top style="thin">
        <color theme="3" tint="0.39994506668294322"/>
      </top>
      <bottom style="hair">
        <color theme="4"/>
      </bottom>
      <diagonal/>
    </border>
    <border>
      <left style="thin">
        <color theme="0" tint="-0.24994659260841701"/>
      </left>
      <right style="thin">
        <color theme="0" tint="-0.24994659260841701"/>
      </right>
      <top style="thin">
        <color theme="3" tint="0.39994506668294322"/>
      </top>
      <bottom style="hair">
        <color theme="4"/>
      </bottom>
      <diagonal/>
    </border>
    <border>
      <left style="thin">
        <color theme="0" tint="-0.24994659260841701"/>
      </left>
      <right style="thin">
        <color theme="3" tint="0.39991454817346722"/>
      </right>
      <top style="thin">
        <color theme="3" tint="0.39994506668294322"/>
      </top>
      <bottom style="hair">
        <color theme="4"/>
      </bottom>
      <diagonal/>
    </border>
    <border>
      <left style="hair">
        <color theme="4"/>
      </left>
      <right style="hair">
        <color theme="4"/>
      </right>
      <top style="hair">
        <color theme="4"/>
      </top>
      <bottom style="hair">
        <color theme="4"/>
      </bottom>
      <diagonal/>
    </border>
    <border>
      <left style="hair">
        <color theme="4"/>
      </left>
      <right/>
      <top style="hair">
        <color theme="4"/>
      </top>
      <bottom style="hair">
        <color theme="4"/>
      </bottom>
      <diagonal/>
    </border>
    <border>
      <left/>
      <right/>
      <top style="hair">
        <color theme="4"/>
      </top>
      <bottom style="hair">
        <color theme="4"/>
      </bottom>
      <diagonal/>
    </border>
    <border>
      <left/>
      <right style="hair">
        <color theme="4"/>
      </right>
      <top style="hair">
        <color theme="4"/>
      </top>
      <bottom style="hair">
        <color theme="4"/>
      </bottom>
      <diagonal/>
    </border>
    <border>
      <left style="hair">
        <color theme="3" tint="0.39991454817346722"/>
      </left>
      <right style="hair">
        <color theme="3" tint="0.39991454817346722"/>
      </right>
      <top style="hair">
        <color theme="3" tint="0.39991454817346722"/>
      </top>
      <bottom/>
      <diagonal/>
    </border>
    <border>
      <left/>
      <right/>
      <top/>
      <bottom style="hair">
        <color theme="3"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style="thin">
        <color theme="4"/>
      </top>
      <bottom/>
      <diagonal/>
    </border>
    <border>
      <left/>
      <right/>
      <top/>
      <bottom style="thin">
        <color theme="4"/>
      </bottom>
      <diagonal/>
    </border>
    <border>
      <left style="thin">
        <color theme="0"/>
      </left>
      <right style="thin">
        <color theme="0"/>
      </right>
      <top style="thin">
        <color theme="0"/>
      </top>
      <bottom style="thin">
        <color theme="4"/>
      </bottom>
      <diagonal/>
    </border>
    <border>
      <left/>
      <right style="thin">
        <color theme="0" tint="-4.9989318521683403E-2"/>
      </right>
      <top style="thin">
        <color theme="0" tint="-4.9989318521683403E-2"/>
      </top>
      <bottom style="thin">
        <color theme="0" tint="-4.9989318521683403E-2"/>
      </bottom>
      <diagonal/>
    </border>
    <border>
      <left/>
      <right/>
      <top style="thin">
        <color theme="0" tint="-4.9989318521683403E-2"/>
      </top>
      <bottom style="thin">
        <color theme="0" tint="-4.9989318521683403E-2"/>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style="thin">
        <color theme="4"/>
      </top>
      <bottom style="thin">
        <color theme="0" tint="-0.14996795556505021"/>
      </bottom>
      <diagonal/>
    </border>
    <border>
      <left style="thin">
        <color rgb="FF000000"/>
      </left>
      <right style="thin">
        <color rgb="FF000000"/>
      </right>
      <top style="thin">
        <color rgb="FF000000"/>
      </top>
      <bottom style="thin">
        <color rgb="FF000000"/>
      </bottom>
      <diagonal/>
    </border>
    <border>
      <left style="medium">
        <color theme="0" tint="-0.14996795556505021"/>
      </left>
      <right style="medium">
        <color theme="0" tint="-0.14996795556505021"/>
      </right>
      <top style="thin">
        <color theme="4" tint="0.79998168889431442"/>
      </top>
      <bottom/>
      <diagonal/>
    </border>
    <border>
      <left/>
      <right/>
      <top style="thin">
        <color theme="0" tint="-0.499984740745262"/>
      </top>
      <bottom/>
      <diagonal/>
    </border>
    <border>
      <left style="hair">
        <color theme="3" tint="0.39991454817346722"/>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style="hair">
        <color theme="3" tint="0.39991454817346722"/>
      </bottom>
      <diagonal/>
    </border>
    <border>
      <left style="hair">
        <color theme="3" tint="0.39988402966399123"/>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style="hair">
        <color theme="3" tint="0.39991454817346722"/>
      </bottom>
      <diagonal/>
    </border>
    <border>
      <left style="thin">
        <color theme="3" tint="0.39994506668294322"/>
      </left>
      <right/>
      <top style="thin">
        <color theme="3" tint="0.39991454817346722"/>
      </top>
      <bottom/>
      <diagonal/>
    </border>
    <border>
      <left style="hair">
        <color theme="3" tint="0.39988402966399123"/>
      </left>
      <right style="hair">
        <color theme="3" tint="0.39985351115451523"/>
      </right>
      <top style="thin">
        <color theme="3" tint="0.39991454817346722"/>
      </top>
      <bottom/>
      <diagonal/>
    </border>
    <border>
      <left style="hair">
        <color theme="3" tint="0.39985351115451523"/>
      </left>
      <right style="hair">
        <color theme="3" tint="0.39988402966399123"/>
      </right>
      <top style="thin">
        <color theme="3" tint="0.39991454817346722"/>
      </top>
      <bottom/>
      <diagonal/>
    </border>
    <border>
      <left/>
      <right style="thin">
        <color theme="3" tint="0.39991454817346722"/>
      </right>
      <top style="thin">
        <color theme="3" tint="0.39991454817346722"/>
      </top>
      <bottom/>
      <diagonal/>
    </border>
    <border>
      <left style="hair">
        <color theme="3" tint="0.39988402966399123"/>
      </left>
      <right style="hair">
        <color theme="3" tint="0.39985351115451523"/>
      </right>
      <top/>
      <bottom/>
      <diagonal/>
    </border>
    <border>
      <left style="hair">
        <color theme="3" tint="0.39985351115451523"/>
      </left>
      <right style="hair">
        <color theme="3" tint="0.39988402966399123"/>
      </right>
      <top/>
      <bottom/>
      <diagonal/>
    </border>
    <border>
      <left/>
      <right style="thin">
        <color theme="3" tint="0.39991454817346722"/>
      </right>
      <top/>
      <bottom/>
      <diagonal/>
    </border>
    <border>
      <left style="hair">
        <color theme="3" tint="0.39988402966399123"/>
      </left>
      <right style="hair">
        <color theme="3" tint="0.39988402966399123"/>
      </right>
      <top style="thin">
        <color theme="3" tint="0.39991454817346722"/>
      </top>
      <bottom/>
      <diagonal/>
    </border>
    <border>
      <left style="hair">
        <color theme="3" tint="0.39988402966399123"/>
      </left>
      <right style="hair">
        <color theme="3" tint="0.39988402966399123"/>
      </right>
      <top/>
      <bottom/>
      <diagonal/>
    </border>
    <border>
      <left style="thin">
        <color theme="3" tint="0.39994506668294322"/>
      </left>
      <right/>
      <top/>
      <bottom style="thin">
        <color theme="3" tint="0.39991454817346722"/>
      </bottom>
      <diagonal/>
    </border>
    <border>
      <left style="hair">
        <color theme="3" tint="0.39988402966399123"/>
      </left>
      <right style="hair">
        <color theme="3" tint="0.39988402966399123"/>
      </right>
      <top/>
      <bottom style="thin">
        <color theme="3" tint="0.39991454817346722"/>
      </bottom>
      <diagonal/>
    </border>
    <border>
      <left/>
      <right style="thin">
        <color theme="3" tint="0.39991454817346722"/>
      </right>
      <top/>
      <bottom style="thin">
        <color theme="3" tint="0.39991454817346722"/>
      </bottom>
      <diagonal/>
    </border>
    <border>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4"/>
      </bottom>
      <diagonal/>
    </border>
    <border>
      <left style="thin">
        <color theme="0"/>
      </left>
      <right/>
      <top style="thin">
        <color theme="0"/>
      </top>
      <bottom style="thin">
        <color theme="4"/>
      </bottom>
      <diagonal/>
    </border>
    <border>
      <left/>
      <right style="thin">
        <color theme="0"/>
      </right>
      <top style="thin">
        <color theme="0"/>
      </top>
      <bottom/>
      <diagonal/>
    </border>
    <border>
      <left/>
      <right/>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top style="thin">
        <color theme="0" tint="-4.9989318521683403E-2"/>
      </top>
      <bottom/>
      <diagonal/>
    </border>
    <border>
      <left/>
      <right style="thin">
        <color theme="0" tint="-0.14996795556505021"/>
      </right>
      <top style="thin">
        <color theme="4"/>
      </top>
      <bottom style="thin">
        <color theme="0" tint="-0.14996795556505021"/>
      </bottom>
      <diagonal/>
    </border>
    <border>
      <left style="thin">
        <color theme="0" tint="-0.14996795556505021"/>
      </left>
      <right/>
      <top style="thin">
        <color theme="4"/>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style="thin">
        <color theme="0" tint="-0.14996795556505021"/>
      </right>
      <top style="thin">
        <color theme="0" tint="-0.14996795556505021"/>
      </top>
      <bottom/>
      <diagonal/>
    </border>
    <border>
      <left style="thin">
        <color theme="0" tint="-0.14996795556505021"/>
      </left>
      <right/>
      <top style="thin">
        <color theme="0" tint="-0.14996795556505021"/>
      </top>
      <bottom/>
      <diagonal/>
    </border>
    <border>
      <left/>
      <right style="thin">
        <color theme="0" tint="-0.14996795556505021"/>
      </right>
      <top style="thin">
        <color theme="0" tint="-0.14996795556505021"/>
      </top>
      <bottom style="thin">
        <color theme="4"/>
      </bottom>
      <diagonal/>
    </border>
    <border>
      <left style="thin">
        <color theme="0" tint="-0.14996795556505021"/>
      </left>
      <right style="thin">
        <color theme="0" tint="-0.14996795556505021"/>
      </right>
      <top style="thin">
        <color theme="0" tint="-0.14996795556505021"/>
      </top>
      <bottom style="thin">
        <color theme="4"/>
      </bottom>
      <diagonal/>
    </border>
    <border>
      <left style="thin">
        <color theme="0" tint="-0.14996795556505021"/>
      </left>
      <right/>
      <top style="thin">
        <color theme="0" tint="-0.14996795556505021"/>
      </top>
      <bottom style="thin">
        <color theme="4"/>
      </bottom>
      <diagonal/>
    </border>
    <border>
      <left/>
      <right style="thin">
        <color theme="0" tint="-0.14996795556505021"/>
      </right>
      <top/>
      <bottom style="thin">
        <color theme="0" tint="-0.14996795556505021"/>
      </bottom>
      <diagonal/>
    </border>
    <border>
      <left style="thin">
        <color theme="0" tint="-0.14996795556505021"/>
      </left>
      <right/>
      <top/>
      <bottom style="thin">
        <color theme="0" tint="-0.14996795556505021"/>
      </bottom>
      <diagonal/>
    </border>
    <border>
      <left style="thin">
        <color theme="0" tint="-0.24994659260841701"/>
      </left>
      <right/>
      <top/>
      <bottom style="thin">
        <color theme="4"/>
      </bottom>
      <diagonal/>
    </border>
    <border>
      <left/>
      <right style="thin">
        <color theme="0" tint="-0.24994659260841701"/>
      </right>
      <top/>
      <bottom style="thin">
        <color theme="4"/>
      </bottom>
      <diagonal/>
    </border>
    <border>
      <left style="thin">
        <color theme="0" tint="-0.24994659260841701"/>
      </left>
      <right/>
      <top/>
      <bottom style="thin">
        <color theme="0" tint="-4.9989318521683403E-2"/>
      </bottom>
      <diagonal/>
    </border>
    <border>
      <left/>
      <right style="thin">
        <color theme="0" tint="-0.24994659260841701"/>
      </right>
      <top/>
      <bottom style="thin">
        <color theme="0" tint="-4.9989318521683403E-2"/>
      </bottom>
      <diagonal/>
    </border>
    <border>
      <left style="thin">
        <color theme="0" tint="-0.24994659260841701"/>
      </left>
      <right/>
      <top style="thin">
        <color theme="4"/>
      </top>
      <bottom/>
      <diagonal/>
    </border>
    <border>
      <left/>
      <right style="thin">
        <color theme="0" tint="-0.24994659260841701"/>
      </right>
      <top style="thin">
        <color theme="4"/>
      </top>
      <bottom/>
      <diagonal/>
    </border>
    <border>
      <left style="hair">
        <color theme="3" tint="0.39991454817346722"/>
      </left>
      <right style="hair">
        <color theme="3" tint="0.39991454817346722"/>
      </right>
      <top/>
      <bottom/>
      <diagonal/>
    </border>
    <border>
      <left style="hair">
        <color theme="3" tint="0.39991454817346722"/>
      </left>
      <right style="hair">
        <color theme="3" tint="0.39988402966399123"/>
      </right>
      <top style="hair">
        <color theme="3" tint="0.39991454817346722"/>
      </top>
      <bottom/>
      <diagonal/>
    </border>
    <border>
      <left style="hair">
        <color theme="3" tint="0.39988402966399123"/>
      </left>
      <right style="hair">
        <color theme="3" tint="0.39991454817346722"/>
      </right>
      <top style="hair">
        <color theme="3" tint="0.39991454817346722"/>
      </top>
      <bottom/>
      <diagonal/>
    </border>
    <border>
      <left style="thin">
        <color theme="0" tint="-0.34998626667073579"/>
      </left>
      <right style="hair">
        <color theme="3" tint="0.39991454817346722"/>
      </right>
      <top style="thin">
        <color theme="0" tint="-0.34998626667073579"/>
      </top>
      <bottom style="thin">
        <color theme="0" tint="-0.34998626667073579"/>
      </bottom>
      <diagonal/>
    </border>
    <border>
      <left style="hair">
        <color theme="3" tint="0.39991454817346722"/>
      </left>
      <right style="hair">
        <color theme="3" tint="0.39991454817346722"/>
      </right>
      <top style="thin">
        <color theme="0" tint="-0.34998626667073579"/>
      </top>
      <bottom style="thin">
        <color theme="0" tint="-0.34998626667073579"/>
      </bottom>
      <diagonal/>
    </border>
    <border>
      <left style="hair">
        <color theme="3" tint="0.39991454817346722"/>
      </left>
      <right style="thin">
        <color theme="0" tint="-0.34998626667073579"/>
      </right>
      <top style="thin">
        <color theme="0" tint="-0.34998626667073579"/>
      </top>
      <bottom style="thin">
        <color theme="0" tint="-0.34998626667073579"/>
      </bottom>
      <diagonal/>
    </border>
    <border>
      <left/>
      <right style="thin">
        <color theme="4"/>
      </right>
      <top style="thin">
        <color theme="4"/>
      </top>
      <bottom/>
      <diagonal/>
    </border>
    <border>
      <left/>
      <right style="thin">
        <color theme="4"/>
      </right>
      <top/>
      <bottom style="thin">
        <color theme="4"/>
      </bottom>
      <diagonal/>
    </border>
    <border>
      <left/>
      <right style="thin">
        <color theme="4"/>
      </right>
      <top/>
      <bottom/>
      <diagonal/>
    </border>
    <border>
      <left style="thin">
        <color theme="4"/>
      </left>
      <right style="thin">
        <color theme="4"/>
      </right>
      <top style="thin">
        <color theme="4"/>
      </top>
      <bottom/>
      <diagonal/>
    </border>
    <border>
      <left style="thin">
        <color theme="4"/>
      </left>
      <right style="thin">
        <color theme="4"/>
      </right>
      <top/>
      <bottom style="thin">
        <color theme="4"/>
      </bottom>
      <diagonal/>
    </border>
    <border>
      <left style="thin">
        <color theme="4"/>
      </left>
      <right style="thin">
        <color theme="4"/>
      </right>
      <top/>
      <bottom/>
      <diagonal/>
    </border>
    <border>
      <left style="thin">
        <color theme="0" tint="-0.34998626667073579"/>
      </left>
      <right style="hair">
        <color theme="3" tint="0.39991454817346722"/>
      </right>
      <top style="thin">
        <color theme="0" tint="-0.34998626667073579"/>
      </top>
      <bottom/>
      <diagonal/>
    </border>
    <border>
      <left style="hair">
        <color theme="3" tint="0.39991454817346722"/>
      </left>
      <right style="hair">
        <color theme="3" tint="0.39991454817346722"/>
      </right>
      <top style="thin">
        <color theme="0" tint="-0.34998626667073579"/>
      </top>
      <bottom/>
      <diagonal/>
    </border>
    <border>
      <left style="hair">
        <color theme="3" tint="0.39991454817346722"/>
      </left>
      <right style="thin">
        <color theme="0" tint="-0.34998626667073579"/>
      </right>
      <top style="thin">
        <color theme="0" tint="-0.34998626667073579"/>
      </top>
      <bottom/>
      <diagonal/>
    </border>
    <border>
      <left style="hair">
        <color rgb="FF66CCFF"/>
      </left>
      <right style="hair">
        <color rgb="FF66CCFF"/>
      </right>
      <top/>
      <bottom/>
      <diagonal/>
    </border>
    <border>
      <left style="hair">
        <color rgb="FF66CCFF"/>
      </left>
      <right/>
      <top/>
      <bottom/>
      <diagonal/>
    </border>
    <border>
      <left style="thin">
        <color rgb="FF66CCFF"/>
      </left>
      <right/>
      <top style="thin">
        <color rgb="FF66CCFF"/>
      </top>
      <bottom style="thin">
        <color rgb="FF66CCFF"/>
      </bottom>
      <diagonal/>
    </border>
    <border>
      <left/>
      <right/>
      <top style="thin">
        <color rgb="FF66CCFF"/>
      </top>
      <bottom style="thin">
        <color rgb="FF66CCFF"/>
      </bottom>
      <diagonal/>
    </border>
    <border>
      <left/>
      <right style="thin">
        <color rgb="FF66CCFF"/>
      </right>
      <top style="thin">
        <color rgb="FF66CCFF"/>
      </top>
      <bottom style="thin">
        <color rgb="FF66CCFF"/>
      </bottom>
      <diagonal/>
    </border>
    <border>
      <left style="thin">
        <color rgb="FF66CCFF"/>
      </left>
      <right style="thin">
        <color rgb="FF66CCFF"/>
      </right>
      <top style="thin">
        <color rgb="FF66CCFF"/>
      </top>
      <bottom style="thin">
        <color rgb="FF66CCFF"/>
      </bottom>
      <diagonal/>
    </border>
  </borders>
  <cellStyleXfs count="11">
    <xf numFmtId="0" fontId="0" fillId="0" borderId="0"/>
    <xf numFmtId="43" fontId="1" fillId="0" borderId="0" applyFont="0" applyFill="0" applyBorder="0" applyAlignment="0" applyProtection="0"/>
    <xf numFmtId="9" fontId="1" fillId="0" borderId="0" applyFont="0" applyFill="0" applyBorder="0" applyAlignment="0" applyProtection="0"/>
    <xf numFmtId="171" fontId="5" fillId="0" borderId="0"/>
    <xf numFmtId="173" fontId="34" fillId="0" borderId="0"/>
    <xf numFmtId="0" fontId="38" fillId="0" borderId="0"/>
    <xf numFmtId="0" fontId="38" fillId="0" borderId="0"/>
    <xf numFmtId="16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cellStyleXfs>
  <cellXfs count="1008">
    <xf numFmtId="0" fontId="0" fillId="0" borderId="0" xfId="0"/>
    <xf numFmtId="0" fontId="5" fillId="0" borderId="0" xfId="0" quotePrefix="1" applyFont="1" applyAlignment="1">
      <alignment horizontal="left" vertical="center"/>
    </xf>
    <xf numFmtId="1" fontId="7" fillId="0" borderId="0" xfId="0" applyNumberFormat="1" applyFont="1" applyAlignment="1">
      <alignment horizontal="centerContinuous"/>
    </xf>
    <xf numFmtId="0" fontId="7" fillId="0" borderId="0" xfId="0" applyFont="1"/>
    <xf numFmtId="1" fontId="7" fillId="0" borderId="0" xfId="0" applyNumberFormat="1" applyFont="1"/>
    <xf numFmtId="1" fontId="7" fillId="0" borderId="0" xfId="0" applyNumberFormat="1" applyFont="1" applyAlignment="1">
      <alignment horizontal="right"/>
    </xf>
    <xf numFmtId="165" fontId="7" fillId="0" borderId="0" xfId="0" applyNumberFormat="1" applyFont="1" applyAlignment="1">
      <alignment horizontal="right"/>
    </xf>
    <xf numFmtId="167" fontId="7" fillId="0" borderId="0" xfId="2" applyNumberFormat="1" applyFont="1" applyAlignment="1">
      <alignment horizontal="right"/>
    </xf>
    <xf numFmtId="49" fontId="7" fillId="0" borderId="0" xfId="0" applyNumberFormat="1" applyFont="1" applyAlignment="1">
      <alignment horizontal="right"/>
    </xf>
    <xf numFmtId="0" fontId="7" fillId="0" borderId="0" xfId="0" quotePrefix="1" applyFont="1" applyAlignment="1">
      <alignment horizontal="left" vertical="center"/>
    </xf>
    <xf numFmtId="166" fontId="7" fillId="0" borderId="0" xfId="0" applyNumberFormat="1" applyFont="1" applyAlignment="1">
      <alignment horizontal="right"/>
    </xf>
    <xf numFmtId="0" fontId="8" fillId="0" borderId="0" xfId="0" applyFont="1"/>
    <xf numFmtId="1" fontId="7" fillId="0" borderId="0" xfId="0" applyNumberFormat="1" applyFont="1" applyAlignment="1">
      <alignment horizontal="center"/>
    </xf>
    <xf numFmtId="1" fontId="7" fillId="0" borderId="0" xfId="0" applyNumberFormat="1" applyFont="1" applyAlignment="1">
      <alignment horizontal="left"/>
    </xf>
    <xf numFmtId="49" fontId="7" fillId="0" borderId="0" xfId="0" applyNumberFormat="1" applyFont="1" applyAlignment="1">
      <alignment horizontal="left"/>
    </xf>
    <xf numFmtId="49" fontId="7" fillId="0" borderId="0" xfId="0" applyNumberFormat="1" applyFont="1" applyAlignment="1">
      <alignment horizontal="center"/>
    </xf>
    <xf numFmtId="165" fontId="7" fillId="0" borderId="0" xfId="0" applyNumberFormat="1" applyFont="1" applyAlignment="1">
      <alignment horizontal="center"/>
    </xf>
    <xf numFmtId="0" fontId="5" fillId="2" borderId="0" xfId="0" applyFont="1" applyFill="1"/>
    <xf numFmtId="0" fontId="4" fillId="2" borderId="0" xfId="0" applyFont="1" applyFill="1" applyAlignment="1">
      <alignment horizontal="center"/>
    </xf>
    <xf numFmtId="1" fontId="13" fillId="0" borderId="0" xfId="0" applyNumberFormat="1" applyFont="1" applyAlignment="1">
      <alignment horizontal="right"/>
    </xf>
    <xf numFmtId="0" fontId="13" fillId="0" borderId="0" xfId="0" quotePrefix="1" applyFont="1" applyAlignment="1">
      <alignment horizontal="left"/>
    </xf>
    <xf numFmtId="0" fontId="13" fillId="0" borderId="1" xfId="0" applyFont="1" applyBorder="1"/>
    <xf numFmtId="49" fontId="13" fillId="0" borderId="0" xfId="0" applyNumberFormat="1" applyFont="1" applyAlignment="1">
      <alignment horizontal="center"/>
    </xf>
    <xf numFmtId="1" fontId="13" fillId="0" borderId="0" xfId="0" applyNumberFormat="1" applyFont="1"/>
    <xf numFmtId="1" fontId="13" fillId="0" borderId="0" xfId="0" applyNumberFormat="1" applyFont="1" applyAlignment="1">
      <alignment horizontal="center"/>
    </xf>
    <xf numFmtId="0" fontId="13" fillId="0" borderId="0" xfId="0" applyFont="1"/>
    <xf numFmtId="165" fontId="13" fillId="0" borderId="0" xfId="0" applyNumberFormat="1" applyFont="1" applyAlignment="1">
      <alignment horizontal="right"/>
    </xf>
    <xf numFmtId="0" fontId="14" fillId="0" borderId="0" xfId="0" quotePrefix="1" applyFont="1" applyAlignment="1">
      <alignment horizontal="right"/>
    </xf>
    <xf numFmtId="165" fontId="13" fillId="0" borderId="1" xfId="0" applyNumberFormat="1" applyFont="1" applyBorder="1" applyAlignment="1">
      <alignment horizontal="right"/>
    </xf>
    <xf numFmtId="167" fontId="13" fillId="0" borderId="0" xfId="2" applyNumberFormat="1" applyFont="1" applyAlignment="1">
      <alignment horizontal="right"/>
    </xf>
    <xf numFmtId="165" fontId="13" fillId="0" borderId="0" xfId="0" applyNumberFormat="1" applyFont="1" applyAlignment="1">
      <alignment horizontal="center"/>
    </xf>
    <xf numFmtId="0" fontId="13" fillId="0" borderId="0" xfId="0" quotePrefix="1" applyFont="1" applyAlignment="1">
      <alignment horizontal="left" vertical="center"/>
    </xf>
    <xf numFmtId="165" fontId="13" fillId="0" borderId="0" xfId="0" applyNumberFormat="1" applyFont="1" applyAlignment="1">
      <alignment horizontal="left"/>
    </xf>
    <xf numFmtId="1" fontId="13" fillId="0" borderId="1" xfId="0" applyNumberFormat="1" applyFont="1" applyBorder="1"/>
    <xf numFmtId="166" fontId="13" fillId="0" borderId="0" xfId="0" applyNumberFormat="1" applyFont="1" applyAlignment="1">
      <alignment horizontal="right"/>
    </xf>
    <xf numFmtId="1" fontId="13" fillId="0" borderId="0" xfId="0" applyNumberFormat="1" applyFont="1" applyAlignment="1">
      <alignment horizontal="left"/>
    </xf>
    <xf numFmtId="0" fontId="11" fillId="0" borderId="0" xfId="0" applyFont="1" applyAlignment="1">
      <alignment vertical="center"/>
    </xf>
    <xf numFmtId="0" fontId="7" fillId="0" borderId="0" xfId="0" applyFont="1" applyAlignment="1">
      <alignment horizontal="left"/>
    </xf>
    <xf numFmtId="0" fontId="0" fillId="0" borderId="0" xfId="0" applyAlignment="1">
      <alignment horizontal="center"/>
    </xf>
    <xf numFmtId="0" fontId="9" fillId="2" borderId="0" xfId="0" applyFont="1" applyFill="1"/>
    <xf numFmtId="0" fontId="15" fillId="0" borderId="0" xfId="0" applyFont="1" applyAlignment="1">
      <alignment vertical="center"/>
    </xf>
    <xf numFmtId="17" fontId="15" fillId="0" borderId="0" xfId="0" applyNumberFormat="1" applyFont="1" applyAlignment="1">
      <alignment vertical="center"/>
    </xf>
    <xf numFmtId="43" fontId="15" fillId="0" borderId="0" xfId="1" applyFont="1" applyAlignment="1">
      <alignment vertical="center"/>
    </xf>
    <xf numFmtId="0" fontId="15" fillId="0" borderId="0" xfId="0" applyFont="1" applyAlignment="1">
      <alignment horizontal="center" vertical="center"/>
    </xf>
    <xf numFmtId="0" fontId="9" fillId="0" borderId="0" xfId="0" applyFont="1" applyAlignment="1">
      <alignment vertical="center"/>
    </xf>
    <xf numFmtId="0" fontId="5" fillId="0" borderId="0" xfId="0" applyFont="1" applyAlignment="1">
      <alignment horizontal="center" vertical="center"/>
    </xf>
    <xf numFmtId="0" fontId="0" fillId="0" borderId="0" xfId="0" applyAlignment="1">
      <alignment vertical="center"/>
    </xf>
    <xf numFmtId="0" fontId="9" fillId="0" borderId="0" xfId="0" applyFont="1" applyAlignment="1">
      <alignment vertical="center" wrapText="1"/>
    </xf>
    <xf numFmtId="43" fontId="9" fillId="0" borderId="0" xfId="1" applyFont="1" applyAlignment="1">
      <alignment vertical="center" wrapText="1"/>
    </xf>
    <xf numFmtId="0" fontId="15" fillId="0" borderId="0" xfId="0" applyFont="1" applyAlignment="1">
      <alignment vertical="center" wrapText="1"/>
    </xf>
    <xf numFmtId="0" fontId="9" fillId="0" borderId="0" xfId="0" applyFont="1" applyAlignment="1">
      <alignment horizontal="justify" vertical="center"/>
    </xf>
    <xf numFmtId="0" fontId="9" fillId="0" borderId="0" xfId="0" quotePrefix="1" applyFont="1" applyAlignment="1">
      <alignment horizontal="left" vertical="center"/>
    </xf>
    <xf numFmtId="0" fontId="9" fillId="0" borderId="0" xfId="0" quotePrefix="1" applyFont="1" applyAlignment="1">
      <alignment vertical="center" wrapText="1"/>
    </xf>
    <xf numFmtId="0" fontId="16" fillId="0" borderId="0" xfId="0" applyFont="1" applyAlignment="1">
      <alignment horizontal="left" vertical="center" wrapText="1"/>
    </xf>
    <xf numFmtId="0" fontId="5" fillId="0" borderId="0" xfId="0" applyFont="1" applyAlignment="1">
      <alignment vertical="center"/>
    </xf>
    <xf numFmtId="0" fontId="10" fillId="0" borderId="0" xfId="0" applyFont="1" applyAlignment="1">
      <alignment horizontal="left" vertical="center" wrapText="1"/>
    </xf>
    <xf numFmtId="0" fontId="7" fillId="0" borderId="0" xfId="0" applyFont="1" applyAlignment="1">
      <alignment vertical="center"/>
    </xf>
    <xf numFmtId="166" fontId="7" fillId="0" borderId="0" xfId="0" applyNumberFormat="1" applyFont="1" applyAlignment="1">
      <alignment horizontal="right" vertical="center"/>
    </xf>
    <xf numFmtId="49" fontId="7" fillId="0" borderId="0" xfId="0" applyNumberFormat="1" applyFont="1" applyAlignment="1">
      <alignment horizontal="center" vertical="center"/>
    </xf>
    <xf numFmtId="0" fontId="8" fillId="0" borderId="0" xfId="0" applyFont="1" applyAlignment="1">
      <alignment vertical="center"/>
    </xf>
    <xf numFmtId="0" fontId="17" fillId="0" borderId="0" xfId="0" applyFont="1" applyAlignment="1">
      <alignment vertical="center"/>
    </xf>
    <xf numFmtId="0" fontId="9" fillId="0" borderId="0" xfId="0" quotePrefix="1" applyFont="1" applyAlignment="1">
      <alignment horizontal="right" vertical="top"/>
    </xf>
    <xf numFmtId="0" fontId="15" fillId="0" borderId="0" xfId="0" quotePrefix="1" applyFont="1" applyAlignment="1">
      <alignment horizontal="right" vertical="top"/>
    </xf>
    <xf numFmtId="0" fontId="15" fillId="0" borderId="0" xfId="0" applyFont="1" applyAlignment="1">
      <alignment vertical="top"/>
    </xf>
    <xf numFmtId="0" fontId="8" fillId="0" borderId="0" xfId="0" applyFont="1" applyAlignment="1">
      <alignment horizontal="left" vertical="center" wrapText="1"/>
    </xf>
    <xf numFmtId="0" fontId="18" fillId="0" borderId="0" xfId="0" applyFont="1" applyAlignment="1">
      <alignment vertical="center"/>
    </xf>
    <xf numFmtId="0" fontId="5" fillId="2" borderId="0" xfId="0" applyFont="1" applyFill="1" applyAlignment="1">
      <alignment horizontal="left"/>
    </xf>
    <xf numFmtId="43" fontId="4" fillId="2" borderId="0" xfId="1" quotePrefix="1" applyFont="1" applyFill="1" applyAlignment="1">
      <alignment horizontal="center"/>
    </xf>
    <xf numFmtId="17" fontId="5" fillId="2" borderId="0" xfId="0" applyNumberFormat="1" applyFont="1" applyFill="1" applyAlignment="1">
      <alignment horizontal="centerContinuous"/>
    </xf>
    <xf numFmtId="0" fontId="4" fillId="2" borderId="0" xfId="0" applyFont="1" applyFill="1" applyAlignment="1">
      <alignment horizontal="centerContinuous"/>
    </xf>
    <xf numFmtId="0" fontId="5" fillId="2" borderId="0" xfId="0" applyFont="1" applyFill="1" applyAlignment="1">
      <alignment horizontal="centerContinuous"/>
    </xf>
    <xf numFmtId="0" fontId="10" fillId="2" borderId="0" xfId="0" applyFont="1" applyFill="1" applyAlignment="1">
      <alignment horizontal="right"/>
    </xf>
    <xf numFmtId="168" fontId="5" fillId="0" borderId="0" xfId="0" applyNumberFormat="1" applyFont="1" applyAlignment="1">
      <alignment horizontal="right" vertical="center"/>
    </xf>
    <xf numFmtId="0" fontId="5" fillId="2" borderId="0" xfId="0" applyFont="1" applyFill="1" applyAlignment="1">
      <alignment horizontal="right"/>
    </xf>
    <xf numFmtId="0" fontId="5" fillId="2" borderId="0" xfId="0" quotePrefix="1" applyFont="1" applyFill="1" applyAlignment="1">
      <alignment horizontal="left" vertical="top"/>
    </xf>
    <xf numFmtId="0" fontId="5" fillId="2" borderId="0" xfId="0" quotePrefix="1" applyFont="1"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vertical="center"/>
    </xf>
    <xf numFmtId="17" fontId="5" fillId="2" borderId="0" xfId="0" applyNumberFormat="1" applyFont="1" applyFill="1" applyAlignment="1">
      <alignment horizontal="centerContinuous" vertical="center"/>
    </xf>
    <xf numFmtId="0" fontId="4" fillId="2" borderId="0" xfId="0" applyFont="1" applyFill="1" applyAlignment="1">
      <alignment horizontal="centerContinuous" vertical="center"/>
    </xf>
    <xf numFmtId="0" fontId="5" fillId="2" borderId="0" xfId="0" applyFont="1" applyFill="1" applyAlignment="1">
      <alignment horizontal="centerContinuous" vertical="center"/>
    </xf>
    <xf numFmtId="0" fontId="10" fillId="2" borderId="0" xfId="0" applyFont="1" applyFill="1" applyAlignment="1">
      <alignment horizontal="right" vertical="center"/>
    </xf>
    <xf numFmtId="0" fontId="5" fillId="2" borderId="0" xfId="0" applyFont="1" applyFill="1" applyAlignment="1">
      <alignment horizontal="right" vertical="center"/>
    </xf>
    <xf numFmtId="0" fontId="5" fillId="0" borderId="0" xfId="0" applyFont="1" applyAlignment="1">
      <alignment horizontal="left" vertical="center"/>
    </xf>
    <xf numFmtId="17" fontId="4" fillId="0" borderId="0" xfId="0" quotePrefix="1" applyNumberFormat="1" applyFont="1" applyAlignment="1">
      <alignment horizontal="left" vertical="center"/>
    </xf>
    <xf numFmtId="17" fontId="5" fillId="0" borderId="0" xfId="0" applyNumberFormat="1" applyFont="1" applyAlignment="1">
      <alignment horizontal="left" vertical="center"/>
    </xf>
    <xf numFmtId="0" fontId="4" fillId="0" borderId="0" xfId="0" applyFont="1" applyAlignment="1">
      <alignment horizontal="left" vertical="center"/>
    </xf>
    <xf numFmtId="0" fontId="10" fillId="0" borderId="0" xfId="0" applyFont="1" applyAlignment="1">
      <alignment horizontal="left" vertical="center"/>
    </xf>
    <xf numFmtId="43" fontId="4" fillId="0" borderId="0" xfId="1" quotePrefix="1" applyFont="1" applyAlignment="1">
      <alignment horizontal="center" vertical="center"/>
    </xf>
    <xf numFmtId="17" fontId="5" fillId="0" borderId="0" xfId="0" applyNumberFormat="1" applyFont="1" applyAlignment="1">
      <alignment horizontal="centerContinuous" vertical="center"/>
    </xf>
    <xf numFmtId="0" fontId="4" fillId="0" borderId="0" xfId="0" applyFont="1" applyAlignment="1">
      <alignment horizontal="centerContinuous" vertical="center"/>
    </xf>
    <xf numFmtId="0" fontId="5" fillId="0" borderId="0" xfId="0" applyFont="1" applyAlignment="1">
      <alignment horizontal="centerContinuous" vertical="center"/>
    </xf>
    <xf numFmtId="0" fontId="10" fillId="0" borderId="0" xfId="0" applyFont="1" applyAlignment="1">
      <alignment horizontal="right" vertical="center"/>
    </xf>
    <xf numFmtId="17" fontId="20" fillId="0" borderId="0" xfId="0" applyNumberFormat="1" applyFont="1" applyAlignment="1">
      <alignment horizontal="center" vertical="center"/>
    </xf>
    <xf numFmtId="0" fontId="19" fillId="0" borderId="0" xfId="0" applyFont="1" applyAlignment="1">
      <alignment horizontal="center" vertical="center"/>
    </xf>
    <xf numFmtId="0" fontId="5" fillId="0" borderId="0" xfId="0" applyFont="1" applyAlignment="1">
      <alignment horizontal="right" vertical="center"/>
    </xf>
    <xf numFmtId="0" fontId="20" fillId="0" borderId="0" xfId="0" quotePrefix="1" applyFont="1" applyAlignment="1">
      <alignment horizontal="left" vertical="center"/>
    </xf>
    <xf numFmtId="0" fontId="19" fillId="0" borderId="0" xfId="0" quotePrefix="1" applyFont="1" applyAlignment="1">
      <alignment horizontal="left" vertical="center"/>
    </xf>
    <xf numFmtId="17" fontId="19" fillId="0" borderId="0" xfId="0" applyNumberFormat="1" applyFont="1" applyAlignment="1">
      <alignment horizontal="center" vertical="center"/>
    </xf>
    <xf numFmtId="0" fontId="19" fillId="0" borderId="0" xfId="0" applyFont="1" applyAlignment="1">
      <alignment horizontal="center" vertical="center" wrapText="1"/>
    </xf>
    <xf numFmtId="169" fontId="19" fillId="0" borderId="0" xfId="0" applyNumberFormat="1" applyFont="1" applyAlignment="1">
      <alignment horizontal="center" vertical="center"/>
    </xf>
    <xf numFmtId="0" fontId="19" fillId="0" borderId="0" xfId="0" quotePrefix="1" applyFont="1" applyAlignment="1">
      <alignment horizontal="center" vertical="center"/>
    </xf>
    <xf numFmtId="167" fontId="4" fillId="0" borderId="0" xfId="2" applyNumberFormat="1" applyFont="1" applyAlignment="1">
      <alignment horizontal="right" vertical="center"/>
    </xf>
    <xf numFmtId="167" fontId="4" fillId="0" borderId="0" xfId="0" applyNumberFormat="1" applyFont="1" applyAlignment="1">
      <alignment horizontal="right" vertical="center"/>
    </xf>
    <xf numFmtId="0" fontId="4" fillId="0" borderId="0" xfId="0" quotePrefix="1" applyFont="1" applyAlignment="1">
      <alignment horizontal="left" vertical="center"/>
    </xf>
    <xf numFmtId="168" fontId="4" fillId="0" borderId="0" xfId="0" applyNumberFormat="1" applyFont="1" applyAlignment="1">
      <alignment horizontal="right" vertical="center"/>
    </xf>
    <xf numFmtId="167" fontId="5" fillId="0" borderId="0" xfId="0" applyNumberFormat="1" applyFont="1" applyAlignment="1">
      <alignment horizontal="right" vertical="center"/>
    </xf>
    <xf numFmtId="9" fontId="4" fillId="0" borderId="0" xfId="2" applyFont="1" applyAlignment="1">
      <alignment horizontal="right" vertical="center"/>
    </xf>
    <xf numFmtId="167" fontId="5" fillId="0" borderId="0" xfId="2" applyNumberFormat="1" applyFont="1" applyAlignment="1">
      <alignment horizontal="right" vertical="center"/>
    </xf>
    <xf numFmtId="170" fontId="4" fillId="0" borderId="0" xfId="2" applyNumberFormat="1" applyFont="1" applyAlignment="1">
      <alignment horizontal="right" vertical="center"/>
    </xf>
    <xf numFmtId="0" fontId="13" fillId="0" borderId="0" xfId="0" applyFont="1" applyAlignment="1">
      <alignment horizontal="right" vertical="center"/>
    </xf>
    <xf numFmtId="0" fontId="13" fillId="0" borderId="0" xfId="0" applyFont="1" applyAlignment="1">
      <alignment vertical="center"/>
    </xf>
    <xf numFmtId="0" fontId="21" fillId="0" borderId="0" xfId="0" quotePrefix="1" applyFont="1" applyAlignment="1">
      <alignment horizontal="left" vertical="center"/>
    </xf>
    <xf numFmtId="168" fontId="21" fillId="0" borderId="0" xfId="0" applyNumberFormat="1" applyFont="1" applyAlignment="1">
      <alignment horizontal="right" vertical="center"/>
    </xf>
    <xf numFmtId="167" fontId="21" fillId="0" borderId="0" xfId="2" quotePrefix="1" applyNumberFormat="1" applyFont="1" applyAlignment="1">
      <alignment horizontal="left" vertical="center"/>
    </xf>
    <xf numFmtId="167" fontId="13" fillId="0" borderId="0" xfId="2" applyNumberFormat="1" applyFont="1" applyAlignment="1">
      <alignment horizontal="right" vertical="center"/>
    </xf>
    <xf numFmtId="0" fontId="13" fillId="0" borderId="6" xfId="0" quotePrefix="1" applyFont="1" applyBorder="1" applyAlignment="1">
      <alignment horizontal="left" vertical="center"/>
    </xf>
    <xf numFmtId="0" fontId="13" fillId="4" borderId="7" xfId="0" quotePrefix="1" applyFont="1" applyFill="1" applyBorder="1" applyAlignment="1">
      <alignment horizontal="left" vertical="center"/>
    </xf>
    <xf numFmtId="0" fontId="13" fillId="0" borderId="7" xfId="0" quotePrefix="1" applyFont="1" applyBorder="1" applyAlignment="1">
      <alignment horizontal="left" vertical="center"/>
    </xf>
    <xf numFmtId="0" fontId="13" fillId="4" borderId="6" xfId="0" quotePrefix="1" applyFont="1" applyFill="1" applyBorder="1" applyAlignment="1">
      <alignment horizontal="left" vertical="center"/>
    </xf>
    <xf numFmtId="167" fontId="13" fillId="4" borderId="11" xfId="2" applyNumberFormat="1" applyFont="1" applyFill="1" applyBorder="1" applyAlignment="1">
      <alignment horizontal="right" vertical="center"/>
    </xf>
    <xf numFmtId="167" fontId="13" fillId="0" borderId="13" xfId="2" applyNumberFormat="1" applyFont="1" applyBorder="1" applyAlignment="1">
      <alignment horizontal="right" vertical="center"/>
    </xf>
    <xf numFmtId="167" fontId="21" fillId="4" borderId="16" xfId="2" applyNumberFormat="1" applyFont="1" applyFill="1" applyBorder="1" applyAlignment="1">
      <alignment horizontal="right" vertical="center"/>
    </xf>
    <xf numFmtId="167" fontId="13" fillId="4" borderId="10" xfId="2" applyNumberFormat="1" applyFont="1" applyFill="1" applyBorder="1" applyAlignment="1">
      <alignment horizontal="right" vertical="center"/>
    </xf>
    <xf numFmtId="167" fontId="21" fillId="4" borderId="15" xfId="2" applyNumberFormat="1" applyFont="1" applyFill="1" applyBorder="1" applyAlignment="1">
      <alignment horizontal="right" vertical="center"/>
    </xf>
    <xf numFmtId="0" fontId="21" fillId="4" borderId="8" xfId="0" quotePrefix="1" applyFont="1" applyFill="1" applyBorder="1" applyAlignment="1">
      <alignment horizontal="left" vertical="center" wrapText="1"/>
    </xf>
    <xf numFmtId="0" fontId="19" fillId="2" borderId="0" xfId="0" applyFont="1" applyFill="1"/>
    <xf numFmtId="0" fontId="20" fillId="2" borderId="0" xfId="0" quotePrefix="1" applyFont="1" applyFill="1" applyAlignment="1">
      <alignment horizontal="centerContinuous"/>
    </xf>
    <xf numFmtId="0" fontId="19" fillId="2" borderId="0" xfId="0" applyFont="1" applyFill="1" applyAlignment="1">
      <alignment horizontal="centerContinuous"/>
    </xf>
    <xf numFmtId="0" fontId="20" fillId="2" borderId="0" xfId="0" applyFont="1" applyFill="1" applyAlignment="1">
      <alignment horizontal="centerContinuous"/>
    </xf>
    <xf numFmtId="0" fontId="19" fillId="2" borderId="0" xfId="0" applyFont="1" applyFill="1" applyAlignment="1">
      <alignment horizontal="right"/>
    </xf>
    <xf numFmtId="49" fontId="13" fillId="0" borderId="0" xfId="0" applyNumberFormat="1" applyFont="1" applyAlignment="1">
      <alignment horizontal="right"/>
    </xf>
    <xf numFmtId="0" fontId="13" fillId="2" borderId="0" xfId="0" applyFont="1" applyFill="1"/>
    <xf numFmtId="168" fontId="21" fillId="2" borderId="0" xfId="0" applyNumberFormat="1" applyFont="1" applyFill="1" applyAlignment="1">
      <alignment horizontal="right" vertical="center"/>
    </xf>
    <xf numFmtId="167" fontId="21" fillId="2" borderId="0" xfId="2" applyNumberFormat="1" applyFont="1" applyFill="1" applyAlignment="1">
      <alignment horizontal="right" vertical="center"/>
    </xf>
    <xf numFmtId="167" fontId="21" fillId="2" borderId="0" xfId="0" applyNumberFormat="1" applyFont="1" applyFill="1" applyAlignment="1">
      <alignment horizontal="right" vertical="center"/>
    </xf>
    <xf numFmtId="0" fontId="13" fillId="2" borderId="0" xfId="0" quotePrefix="1" applyFont="1" applyFill="1" applyAlignment="1">
      <alignment horizontal="left" vertical="top"/>
    </xf>
    <xf numFmtId="0" fontId="13" fillId="2" borderId="0" xfId="0" applyFont="1" applyFill="1" applyAlignment="1">
      <alignment vertical="center"/>
    </xf>
    <xf numFmtId="0" fontId="13" fillId="2" borderId="0" xfId="0" applyFont="1" applyFill="1" applyAlignment="1">
      <alignment horizontal="right"/>
    </xf>
    <xf numFmtId="168" fontId="13" fillId="0" borderId="24" xfId="0" applyNumberFormat="1" applyFont="1" applyBorder="1" applyAlignment="1">
      <alignment horizontal="left"/>
    </xf>
    <xf numFmtId="168" fontId="13" fillId="4" borderId="25" xfId="0" applyNumberFormat="1" applyFont="1" applyFill="1" applyBorder="1" applyAlignment="1">
      <alignment horizontal="left" vertical="center"/>
    </xf>
    <xf numFmtId="168" fontId="13" fillId="0" borderId="25" xfId="0" applyNumberFormat="1" applyFont="1" applyBorder="1" applyAlignment="1">
      <alignment horizontal="left" vertical="center"/>
    </xf>
    <xf numFmtId="0" fontId="13" fillId="4" borderId="24" xfId="0" quotePrefix="1" applyFont="1" applyFill="1" applyBorder="1" applyAlignment="1">
      <alignment horizontal="left" vertical="center"/>
    </xf>
    <xf numFmtId="0" fontId="13" fillId="0" borderId="25" xfId="0" quotePrefix="1" applyFont="1" applyBorder="1" applyAlignment="1">
      <alignment horizontal="left" vertical="center"/>
    </xf>
    <xf numFmtId="0" fontId="21" fillId="4" borderId="26" xfId="0" quotePrefix="1" applyFont="1" applyFill="1" applyBorder="1" applyAlignment="1">
      <alignment horizontal="left" vertical="center" wrapText="1"/>
    </xf>
    <xf numFmtId="0" fontId="21" fillId="0" borderId="5" xfId="0" quotePrefix="1" applyFont="1" applyBorder="1" applyAlignment="1">
      <alignment horizontal="left" vertical="center"/>
    </xf>
    <xf numFmtId="168" fontId="21" fillId="4" borderId="23" xfId="0" applyNumberFormat="1" applyFont="1" applyFill="1" applyBorder="1" applyAlignment="1">
      <alignment horizontal="left" vertical="center"/>
    </xf>
    <xf numFmtId="0" fontId="13" fillId="2" borderId="0" xfId="0" quotePrefix="1" applyFont="1" applyFill="1" applyAlignment="1">
      <alignment horizontal="left" vertical="top" wrapText="1"/>
    </xf>
    <xf numFmtId="0" fontId="21" fillId="0" borderId="0" xfId="0" applyFont="1" applyAlignment="1">
      <alignment vertical="center"/>
    </xf>
    <xf numFmtId="0" fontId="22" fillId="2" borderId="0" xfId="0" quotePrefix="1" applyFont="1" applyFill="1" applyAlignment="1">
      <alignment horizontal="left" vertical="top"/>
    </xf>
    <xf numFmtId="4" fontId="5" fillId="2" borderId="0" xfId="0" applyNumberFormat="1" applyFont="1" applyFill="1"/>
    <xf numFmtId="167" fontId="4" fillId="2" borderId="0" xfId="2" applyNumberFormat="1" applyFont="1" applyFill="1"/>
    <xf numFmtId="0" fontId="13" fillId="2" borderId="0" xfId="0" quotePrefix="1" applyFont="1" applyFill="1" applyAlignment="1">
      <alignment vertical="center" wrapText="1"/>
    </xf>
    <xf numFmtId="0" fontId="13" fillId="2" borderId="0" xfId="0" quotePrefix="1" applyFont="1" applyFill="1" applyAlignment="1">
      <alignment vertical="top" wrapText="1"/>
    </xf>
    <xf numFmtId="0" fontId="0" fillId="2" borderId="0" xfId="0" quotePrefix="1" applyFill="1" applyAlignment="1">
      <alignment horizontal="left" vertical="top"/>
    </xf>
    <xf numFmtId="0" fontId="2" fillId="2" borderId="0" xfId="0" applyFont="1" applyFill="1" applyAlignment="1">
      <alignment horizontal="center"/>
    </xf>
    <xf numFmtId="4" fontId="13" fillId="2" borderId="0" xfId="0" applyNumberFormat="1" applyFont="1" applyFill="1"/>
    <xf numFmtId="167" fontId="21" fillId="2" borderId="0" xfId="2" applyNumberFormat="1" applyFont="1" applyFill="1"/>
    <xf numFmtId="0" fontId="21" fillId="2" borderId="0" xfId="0" applyFont="1" applyFill="1" applyAlignment="1">
      <alignment horizontal="right"/>
    </xf>
    <xf numFmtId="17" fontId="4" fillId="2" borderId="0" xfId="0" quotePrefix="1" applyNumberFormat="1" applyFont="1" applyFill="1" applyAlignment="1">
      <alignment horizontal="center"/>
    </xf>
    <xf numFmtId="0" fontId="20" fillId="2" borderId="0" xfId="0" applyFont="1" applyFill="1" applyAlignment="1">
      <alignment horizontal="center" vertical="center" wrapText="1"/>
    </xf>
    <xf numFmtId="43" fontId="9" fillId="2" borderId="0" xfId="1" applyFont="1" applyFill="1"/>
    <xf numFmtId="4" fontId="9" fillId="2" borderId="0" xfId="0" applyNumberFormat="1" applyFont="1" applyFill="1"/>
    <xf numFmtId="0" fontId="5" fillId="0" borderId="0" xfId="0" applyFont="1"/>
    <xf numFmtId="17" fontId="4" fillId="2" borderId="0" xfId="0" quotePrefix="1" applyNumberFormat="1" applyFont="1" applyFill="1" applyAlignment="1">
      <alignment horizontal="center" vertical="center"/>
    </xf>
    <xf numFmtId="1" fontId="7" fillId="0" borderId="0" xfId="0" applyNumberFormat="1" applyFont="1" applyAlignment="1">
      <alignment horizontal="center" vertical="center"/>
    </xf>
    <xf numFmtId="1" fontId="7" fillId="0" borderId="0" xfId="0" applyNumberFormat="1" applyFont="1" applyAlignment="1">
      <alignment horizontal="right" vertical="center"/>
    </xf>
    <xf numFmtId="1" fontId="7" fillId="0" borderId="0" xfId="0" applyNumberFormat="1" applyFont="1" applyAlignment="1">
      <alignment vertical="center"/>
    </xf>
    <xf numFmtId="165" fontId="7" fillId="0" borderId="0" xfId="0" applyNumberFormat="1" applyFont="1" applyAlignment="1">
      <alignment horizontal="right" vertical="center"/>
    </xf>
    <xf numFmtId="0" fontId="13" fillId="2" borderId="0" xfId="0" applyFont="1" applyFill="1" applyAlignment="1">
      <alignment horizontal="left" vertical="center"/>
    </xf>
    <xf numFmtId="0" fontId="23" fillId="2" borderId="0" xfId="0" applyFont="1" applyFill="1" applyAlignment="1">
      <alignment horizontal="right" vertical="center"/>
    </xf>
    <xf numFmtId="0" fontId="13" fillId="2" borderId="0" xfId="0" applyFont="1" applyFill="1" applyAlignment="1">
      <alignment horizontal="right" vertical="center"/>
    </xf>
    <xf numFmtId="0" fontId="24" fillId="2" borderId="0" xfId="0" applyFont="1" applyFill="1" applyAlignment="1">
      <alignment horizontal="right" vertical="center"/>
    </xf>
    <xf numFmtId="0" fontId="0" fillId="0" borderId="0" xfId="0" applyAlignment="1">
      <alignment horizontal="left" vertical="center" wrapText="1"/>
    </xf>
    <xf numFmtId="0" fontId="13" fillId="2" borderId="0" xfId="0" quotePrefix="1" applyFont="1" applyFill="1" applyAlignment="1">
      <alignment horizontal="right" vertical="top"/>
    </xf>
    <xf numFmtId="0" fontId="13" fillId="2" borderId="0" xfId="0" quotePrefix="1" applyFont="1" applyFill="1" applyAlignment="1">
      <alignment horizontal="right"/>
    </xf>
    <xf numFmtId="0" fontId="21" fillId="2" borderId="0" xfId="0" applyFont="1" applyFill="1"/>
    <xf numFmtId="0" fontId="13" fillId="2" borderId="0" xfId="0" applyFont="1" applyFill="1" applyAlignment="1">
      <alignment horizontal="centerContinuous"/>
    </xf>
    <xf numFmtId="0" fontId="13" fillId="2" borderId="0" xfId="0" applyFont="1" applyFill="1" applyAlignment="1">
      <alignment horizontal="left"/>
    </xf>
    <xf numFmtId="0" fontId="23" fillId="2" borderId="0" xfId="0" applyFont="1" applyFill="1" applyAlignment="1">
      <alignment horizontal="right"/>
    </xf>
    <xf numFmtId="0" fontId="21" fillId="2" borderId="0" xfId="0" applyFont="1" applyFill="1" applyAlignment="1">
      <alignment vertical="center" wrapText="1"/>
    </xf>
    <xf numFmtId="0" fontId="21" fillId="2" borderId="0" xfId="0" applyFont="1" applyFill="1" applyAlignment="1">
      <alignment horizontal="center" vertical="center" wrapText="1"/>
    </xf>
    <xf numFmtId="43" fontId="13" fillId="2" borderId="0" xfId="1" applyFont="1" applyFill="1"/>
    <xf numFmtId="0" fontId="4" fillId="2" borderId="0" xfId="0" applyFont="1" applyFill="1" applyAlignment="1">
      <alignment horizontal="left" vertical="center" wrapText="1"/>
    </xf>
    <xf numFmtId="0" fontId="4" fillId="2" borderId="0" xfId="0" applyFont="1" applyFill="1" applyAlignment="1">
      <alignment vertical="center" wrapText="1"/>
    </xf>
    <xf numFmtId="43" fontId="4" fillId="2" borderId="0" xfId="1" applyFont="1" applyFill="1" applyAlignment="1">
      <alignment vertical="center" wrapText="1"/>
    </xf>
    <xf numFmtId="2" fontId="4" fillId="2" borderId="0" xfId="0" applyNumberFormat="1" applyFont="1" applyFill="1" applyAlignment="1">
      <alignment vertical="center" wrapText="1"/>
    </xf>
    <xf numFmtId="0" fontId="4" fillId="2" borderId="0" xfId="0" applyFont="1" applyFill="1" applyAlignment="1">
      <alignment vertical="center"/>
    </xf>
    <xf numFmtId="43" fontId="6" fillId="2" borderId="0" xfId="1" applyFont="1" applyFill="1" applyAlignment="1">
      <alignment vertical="center"/>
    </xf>
    <xf numFmtId="0" fontId="6" fillId="2" borderId="0" xfId="0" applyFont="1" applyFill="1" applyAlignment="1">
      <alignment vertical="center"/>
    </xf>
    <xf numFmtId="2" fontId="21" fillId="2" borderId="0" xfId="0" applyNumberFormat="1" applyFont="1" applyFill="1" applyAlignment="1">
      <alignment vertical="center" wrapText="1"/>
    </xf>
    <xf numFmtId="2" fontId="21" fillId="2" borderId="0" xfId="0" applyNumberFormat="1" applyFont="1" applyFill="1"/>
    <xf numFmtId="0" fontId="5" fillId="2" borderId="0" xfId="0" applyFont="1" applyFill="1" applyAlignment="1">
      <alignment horizontal="center"/>
    </xf>
    <xf numFmtId="0" fontId="5" fillId="2" borderId="0" xfId="0" applyFont="1" applyFill="1" applyAlignment="1">
      <alignment vertical="center" wrapText="1"/>
    </xf>
    <xf numFmtId="0" fontId="4" fillId="0" borderId="0" xfId="0" applyFont="1" applyAlignment="1">
      <alignment horizontal="center"/>
    </xf>
    <xf numFmtId="0" fontId="4" fillId="0" borderId="0" xfId="0" applyFont="1" applyAlignment="1">
      <alignment horizontal="left" vertical="center" wrapText="1"/>
    </xf>
    <xf numFmtId="0" fontId="4" fillId="0" borderId="0" xfId="0" applyFont="1" applyAlignment="1">
      <alignment vertical="center" wrapText="1"/>
    </xf>
    <xf numFmtId="0" fontId="21" fillId="0" borderId="0" xfId="0" applyFont="1" applyAlignment="1">
      <alignment vertical="center" wrapText="1"/>
    </xf>
    <xf numFmtId="2" fontId="21" fillId="0" borderId="0" xfId="0" applyNumberFormat="1" applyFont="1" applyAlignment="1">
      <alignment vertical="center" wrapText="1"/>
    </xf>
    <xf numFmtId="2" fontId="4" fillId="0" borderId="0" xfId="0" applyNumberFormat="1" applyFont="1" applyAlignment="1">
      <alignment vertical="center" wrapText="1"/>
    </xf>
    <xf numFmtId="2" fontId="13" fillId="0" borderId="0" xfId="0" applyNumberFormat="1" applyFont="1"/>
    <xf numFmtId="0" fontId="5" fillId="0" borderId="0" xfId="0" quotePrefix="1" applyFont="1" applyAlignment="1">
      <alignment horizontal="left" vertical="top"/>
    </xf>
    <xf numFmtId="0" fontId="13" fillId="0" borderId="0" xfId="0" quotePrefix="1" applyFont="1" applyAlignment="1">
      <alignment horizontal="left" vertical="top"/>
    </xf>
    <xf numFmtId="0" fontId="12" fillId="0" borderId="0" xfId="0" applyFont="1" applyAlignment="1">
      <alignment vertical="center"/>
    </xf>
    <xf numFmtId="0" fontId="4" fillId="0" borderId="0" xfId="0" applyFont="1" applyAlignment="1">
      <alignment horizontal="center" vertical="center"/>
    </xf>
    <xf numFmtId="49" fontId="7" fillId="0" borderId="0" xfId="0" applyNumberFormat="1" applyFont="1" applyAlignment="1">
      <alignment horizontal="right" vertical="center"/>
    </xf>
    <xf numFmtId="49" fontId="13" fillId="0" borderId="0" xfId="0" applyNumberFormat="1" applyFont="1" applyAlignment="1">
      <alignment horizontal="center" vertical="center"/>
    </xf>
    <xf numFmtId="165" fontId="13" fillId="0" borderId="0" xfId="0" applyNumberFormat="1" applyFont="1" applyAlignment="1">
      <alignment horizontal="center" vertical="center"/>
    </xf>
    <xf numFmtId="2" fontId="13" fillId="0" borderId="0" xfId="0" applyNumberFormat="1" applyFont="1" applyAlignment="1">
      <alignment vertical="center"/>
    </xf>
    <xf numFmtId="17" fontId="21" fillId="2" borderId="0" xfId="0" quotePrefix="1" applyNumberFormat="1" applyFont="1" applyFill="1" applyAlignment="1">
      <alignment horizontal="center" vertical="center"/>
    </xf>
    <xf numFmtId="17" fontId="13" fillId="2" borderId="0" xfId="0" applyNumberFormat="1" applyFont="1" applyFill="1" applyAlignment="1">
      <alignment horizontal="centerContinuous" vertical="center"/>
    </xf>
    <xf numFmtId="0" fontId="21" fillId="2" borderId="0" xfId="0" applyFont="1" applyFill="1" applyAlignment="1">
      <alignment horizontal="centerContinuous" vertical="center"/>
    </xf>
    <xf numFmtId="0" fontId="13" fillId="2" borderId="0" xfId="0" applyFont="1" applyFill="1" applyAlignment="1">
      <alignment horizontal="centerContinuous" vertical="center"/>
    </xf>
    <xf numFmtId="17" fontId="5" fillId="2" borderId="0" xfId="0" applyNumberFormat="1" applyFont="1" applyFill="1" applyAlignment="1">
      <alignment horizontal="center"/>
    </xf>
    <xf numFmtId="0" fontId="13" fillId="2" borderId="0" xfId="0" applyFont="1" applyFill="1" applyAlignment="1">
      <alignment horizontal="center"/>
    </xf>
    <xf numFmtId="0" fontId="13" fillId="2" borderId="0" xfId="0" quotePrefix="1" applyFont="1" applyFill="1" applyAlignment="1">
      <alignment horizontal="center"/>
    </xf>
    <xf numFmtId="0" fontId="1" fillId="0" borderId="0" xfId="0" applyFont="1"/>
    <xf numFmtId="1" fontId="7" fillId="0" borderId="0" xfId="0" quotePrefix="1" applyNumberFormat="1" applyFont="1" applyAlignment="1">
      <alignment horizontal="centerContinuous"/>
    </xf>
    <xf numFmtId="43" fontId="13" fillId="0" borderId="0" xfId="1" applyFont="1"/>
    <xf numFmtId="17" fontId="26" fillId="2" borderId="0" xfId="0" applyNumberFormat="1" applyFont="1" applyFill="1" applyAlignment="1">
      <alignment horizontal="centerContinuous" vertical="center"/>
    </xf>
    <xf numFmtId="0" fontId="11" fillId="2" borderId="0" xfId="0" applyFont="1" applyFill="1" applyAlignment="1">
      <alignment horizontal="centerContinuous" vertical="center"/>
    </xf>
    <xf numFmtId="0" fontId="26" fillId="2" borderId="0" xfId="0" applyFont="1" applyFill="1" applyAlignment="1">
      <alignment horizontal="centerContinuous" vertical="center"/>
    </xf>
    <xf numFmtId="0" fontId="26" fillId="2" borderId="0" xfId="0" applyFont="1" applyFill="1" applyAlignment="1">
      <alignment horizontal="left" vertical="center"/>
    </xf>
    <xf numFmtId="0" fontId="0" fillId="0" borderId="0" xfId="0" applyAlignment="1">
      <alignment vertical="center" wrapText="1"/>
    </xf>
    <xf numFmtId="0" fontId="13" fillId="2" borderId="0" xfId="0" quotePrefix="1" applyFont="1" applyFill="1" applyAlignment="1">
      <alignment horizontal="left" vertical="center"/>
    </xf>
    <xf numFmtId="170" fontId="13" fillId="2" borderId="0" xfId="0" applyNumberFormat="1" applyFont="1" applyFill="1"/>
    <xf numFmtId="0" fontId="13" fillId="2" borderId="0" xfId="0" quotePrefix="1" applyFont="1" applyFill="1" applyAlignment="1">
      <alignment horizontal="left" vertical="center" indent="3"/>
    </xf>
    <xf numFmtId="0" fontId="21" fillId="2" borderId="0" xfId="2" applyNumberFormat="1" applyFont="1" applyFill="1" applyAlignment="1">
      <alignment horizontal="right"/>
    </xf>
    <xf numFmtId="0" fontId="13" fillId="2" borderId="0" xfId="0" applyFont="1" applyFill="1" applyAlignment="1">
      <alignment horizontal="center" vertical="center"/>
    </xf>
    <xf numFmtId="0" fontId="0" fillId="0" borderId="0" xfId="0" applyAlignment="1">
      <alignment horizontal="center" vertical="center"/>
    </xf>
    <xf numFmtId="0" fontId="23" fillId="2" borderId="0" xfId="0" applyFont="1" applyFill="1"/>
    <xf numFmtId="0" fontId="23" fillId="0" borderId="0" xfId="0" applyFont="1" applyAlignment="1">
      <alignment vertical="center"/>
    </xf>
    <xf numFmtId="2" fontId="13" fillId="0" borderId="12" xfId="0" applyNumberFormat="1" applyFont="1" applyBorder="1" applyAlignment="1">
      <alignment horizontal="right" vertical="center"/>
    </xf>
    <xf numFmtId="2" fontId="13" fillId="0" borderId="0" xfId="0" applyNumberFormat="1" applyFont="1" applyAlignment="1">
      <alignment horizontal="right" vertical="center"/>
    </xf>
    <xf numFmtId="2" fontId="13" fillId="0" borderId="13" xfId="0" applyNumberFormat="1" applyFont="1" applyBorder="1" applyAlignment="1">
      <alignment horizontal="right" vertical="center"/>
    </xf>
    <xf numFmtId="2" fontId="13" fillId="4" borderId="9" xfId="0" applyNumberFormat="1" applyFont="1" applyFill="1" applyBorder="1" applyAlignment="1">
      <alignment horizontal="right" vertical="center"/>
    </xf>
    <xf numFmtId="2" fontId="13" fillId="4" borderId="10" xfId="0" applyNumberFormat="1" applyFont="1" applyFill="1" applyBorder="1" applyAlignment="1">
      <alignment horizontal="right" vertical="center"/>
    </xf>
    <xf numFmtId="10" fontId="21" fillId="0" borderId="11" xfId="2" applyNumberFormat="1" applyFont="1" applyBorder="1" applyAlignment="1">
      <alignment horizontal="right" vertical="center"/>
    </xf>
    <xf numFmtId="10" fontId="21" fillId="4" borderId="13" xfId="2" applyNumberFormat="1" applyFont="1" applyFill="1" applyBorder="1" applyAlignment="1">
      <alignment horizontal="right" vertical="center"/>
    </xf>
    <xf numFmtId="10" fontId="21" fillId="0" borderId="13" xfId="2" applyNumberFormat="1" applyFont="1" applyBorder="1" applyAlignment="1">
      <alignment horizontal="right" vertical="center"/>
    </xf>
    <xf numFmtId="10" fontId="21" fillId="0" borderId="37" xfId="2" applyNumberFormat="1" applyFont="1" applyBorder="1" applyAlignment="1">
      <alignment horizontal="right" vertical="center"/>
    </xf>
    <xf numFmtId="10" fontId="21" fillId="0" borderId="10" xfId="2" applyNumberFormat="1" applyFont="1" applyBorder="1" applyAlignment="1">
      <alignment horizontal="right" vertical="center"/>
    </xf>
    <xf numFmtId="10" fontId="21" fillId="4" borderId="0" xfId="2" applyNumberFormat="1" applyFont="1" applyFill="1" applyAlignment="1">
      <alignment horizontal="right" vertical="center"/>
    </xf>
    <xf numFmtId="10" fontId="21" fillId="0" borderId="0" xfId="2" applyNumberFormat="1" applyFont="1" applyAlignment="1">
      <alignment horizontal="right" vertical="center"/>
    </xf>
    <xf numFmtId="10" fontId="21" fillId="0" borderId="36" xfId="2" applyNumberFormat="1" applyFont="1" applyBorder="1" applyAlignment="1">
      <alignment horizontal="right" vertical="center"/>
    </xf>
    <xf numFmtId="2" fontId="21" fillId="4" borderId="14" xfId="0" applyNumberFormat="1" applyFont="1" applyFill="1" applyBorder="1" applyAlignment="1">
      <alignment horizontal="right" vertical="center"/>
    </xf>
    <xf numFmtId="2" fontId="21" fillId="4" borderId="15" xfId="0" applyNumberFormat="1" applyFont="1" applyFill="1" applyBorder="1" applyAlignment="1">
      <alignment horizontal="right" vertical="center"/>
    </xf>
    <xf numFmtId="43" fontId="13" fillId="4" borderId="0" xfId="1" applyFont="1" applyFill="1" applyAlignment="1">
      <alignment horizontal="right" vertical="center"/>
    </xf>
    <xf numFmtId="43" fontId="13" fillId="0" borderId="0" xfId="1" applyFont="1" applyAlignment="1">
      <alignment horizontal="right" vertical="center"/>
    </xf>
    <xf numFmtId="10" fontId="21" fillId="0" borderId="0" xfId="2" applyNumberFormat="1" applyFont="1" applyAlignment="1">
      <alignment horizontal="right"/>
    </xf>
    <xf numFmtId="168" fontId="13" fillId="0" borderId="25" xfId="0" applyNumberFormat="1" applyFont="1" applyBorder="1" applyAlignment="1">
      <alignment horizontal="left"/>
    </xf>
    <xf numFmtId="168" fontId="13" fillId="0" borderId="26" xfId="0" applyNumberFormat="1" applyFont="1" applyBorder="1" applyAlignment="1">
      <alignment horizontal="left"/>
    </xf>
    <xf numFmtId="10" fontId="21" fillId="0" borderId="29" xfId="2" applyNumberFormat="1" applyFont="1" applyBorder="1" applyAlignment="1">
      <alignment horizontal="right"/>
    </xf>
    <xf numFmtId="10" fontId="21" fillId="4" borderId="31" xfId="2" applyNumberFormat="1" applyFont="1" applyFill="1" applyBorder="1" applyAlignment="1">
      <alignment horizontal="right" vertical="center"/>
    </xf>
    <xf numFmtId="10" fontId="21" fillId="0" borderId="31" xfId="2" applyNumberFormat="1" applyFont="1" applyBorder="1" applyAlignment="1">
      <alignment horizontal="right"/>
    </xf>
    <xf numFmtId="10" fontId="21" fillId="0" borderId="34" xfId="2" applyNumberFormat="1" applyFont="1" applyBorder="1" applyAlignment="1">
      <alignment horizontal="right"/>
    </xf>
    <xf numFmtId="10" fontId="21" fillId="0" borderId="28" xfId="2" applyNumberFormat="1" applyFont="1" applyBorder="1" applyAlignment="1">
      <alignment horizontal="right"/>
    </xf>
    <xf numFmtId="10" fontId="21" fillId="0" borderId="33" xfId="2" applyNumberFormat="1" applyFont="1" applyBorder="1" applyAlignment="1">
      <alignment horizontal="right"/>
    </xf>
    <xf numFmtId="0" fontId="21" fillId="0" borderId="23" xfId="0" quotePrefix="1" applyFont="1" applyBorder="1" applyAlignment="1">
      <alignment horizontal="left" vertical="center"/>
    </xf>
    <xf numFmtId="10" fontId="21" fillId="0" borderId="40" xfId="2" applyNumberFormat="1" applyFont="1" applyBorder="1" applyAlignment="1">
      <alignment horizontal="right" vertical="center"/>
    </xf>
    <xf numFmtId="10" fontId="21" fillId="0" borderId="39" xfId="2" applyNumberFormat="1" applyFont="1" applyBorder="1" applyAlignment="1">
      <alignment horizontal="right" vertical="center"/>
    </xf>
    <xf numFmtId="0" fontId="21" fillId="0" borderId="23" xfId="0" quotePrefix="1" applyFont="1" applyBorder="1" applyAlignment="1">
      <alignment horizontal="left" vertical="center" wrapText="1"/>
    </xf>
    <xf numFmtId="10" fontId="21" fillId="0" borderId="38" xfId="2" applyNumberFormat="1" applyFont="1" applyBorder="1" applyAlignment="1">
      <alignment horizontal="right" vertical="center"/>
    </xf>
    <xf numFmtId="167" fontId="21" fillId="0" borderId="40" xfId="2" applyNumberFormat="1" applyFont="1" applyBorder="1" applyAlignment="1">
      <alignment horizontal="right" vertical="center"/>
    </xf>
    <xf numFmtId="0" fontId="23" fillId="2" borderId="0" xfId="0" applyFont="1" applyFill="1" applyAlignment="1">
      <alignment vertical="top"/>
    </xf>
    <xf numFmtId="0" fontId="21" fillId="2" borderId="0" xfId="0" applyFont="1" applyFill="1" applyAlignment="1">
      <alignment horizontal="left"/>
    </xf>
    <xf numFmtId="0" fontId="10" fillId="2" borderId="0" xfId="0" quotePrefix="1" applyFont="1" applyFill="1" applyAlignment="1">
      <alignment horizontal="left" vertical="center"/>
    </xf>
    <xf numFmtId="0" fontId="23" fillId="2" borderId="0" xfId="0" quotePrefix="1" applyFont="1" applyFill="1" applyAlignment="1">
      <alignment horizontal="left" vertical="top"/>
    </xf>
    <xf numFmtId="0" fontId="23" fillId="2" borderId="0" xfId="0" applyFont="1" applyFill="1" applyAlignment="1">
      <alignment vertical="center"/>
    </xf>
    <xf numFmtId="0" fontId="1" fillId="0" borderId="0" xfId="0" applyFont="1" applyAlignment="1">
      <alignment vertical="center"/>
    </xf>
    <xf numFmtId="2" fontId="27" fillId="2" borderId="72" xfId="0" applyNumberFormat="1" applyFont="1" applyFill="1" applyBorder="1" applyAlignment="1">
      <alignment horizontal="center" vertical="center" wrapText="1"/>
    </xf>
    <xf numFmtId="0" fontId="36" fillId="2" borderId="0" xfId="0" applyFont="1" applyFill="1"/>
    <xf numFmtId="0" fontId="32" fillId="2" borderId="0" xfId="0" applyFont="1" applyFill="1"/>
    <xf numFmtId="0" fontId="21" fillId="2" borderId="0" xfId="0" quotePrefix="1" applyFont="1" applyFill="1" applyAlignment="1">
      <alignment vertical="center"/>
    </xf>
    <xf numFmtId="0" fontId="29" fillId="0" borderId="0" xfId="0" applyFont="1"/>
    <xf numFmtId="174" fontId="0" fillId="0" borderId="0" xfId="0" applyNumberFormat="1"/>
    <xf numFmtId="0" fontId="3" fillId="0" borderId="0" xfId="0" applyFont="1"/>
    <xf numFmtId="0" fontId="4" fillId="0" borderId="0" xfId="0" applyFont="1"/>
    <xf numFmtId="0" fontId="29" fillId="0" borderId="0" xfId="0" applyFont="1" applyAlignment="1">
      <alignment vertical="center"/>
    </xf>
    <xf numFmtId="0" fontId="41" fillId="0" borderId="0" xfId="0" applyFont="1"/>
    <xf numFmtId="0" fontId="42" fillId="0" borderId="0" xfId="0" applyFont="1" applyAlignment="1">
      <alignment vertical="center"/>
    </xf>
    <xf numFmtId="0" fontId="43" fillId="0" borderId="0" xfId="0" applyFont="1" applyAlignment="1">
      <alignment vertical="center"/>
    </xf>
    <xf numFmtId="0" fontId="44" fillId="0" borderId="0" xfId="0" applyFont="1" applyAlignment="1">
      <alignment vertical="center"/>
    </xf>
    <xf numFmtId="0" fontId="42" fillId="0" borderId="0" xfId="0" applyFont="1" applyAlignment="1">
      <alignment horizontal="center" vertical="center"/>
    </xf>
    <xf numFmtId="0" fontId="44" fillId="0" borderId="0" xfId="0" applyFont="1" applyAlignment="1">
      <alignment horizontal="justify" vertical="center"/>
    </xf>
    <xf numFmtId="0" fontId="45" fillId="0" borderId="0" xfId="0" applyFont="1" applyAlignment="1">
      <alignment vertical="center"/>
    </xf>
    <xf numFmtId="0" fontId="43" fillId="0" borderId="0" xfId="0" applyFont="1"/>
    <xf numFmtId="43" fontId="13" fillId="0" borderId="27" xfId="1" applyFont="1" applyBorder="1" applyAlignment="1">
      <alignment horizontal="right"/>
    </xf>
    <xf numFmtId="43" fontId="13" fillId="0" borderId="28" xfId="1" applyFont="1" applyBorder="1" applyAlignment="1">
      <alignment horizontal="right"/>
    </xf>
    <xf numFmtId="43" fontId="13" fillId="0" borderId="29" xfId="1" applyFont="1" applyBorder="1" applyAlignment="1">
      <alignment horizontal="right"/>
    </xf>
    <xf numFmtId="43" fontId="13" fillId="4" borderId="30" xfId="1" applyFont="1" applyFill="1" applyBorder="1" applyAlignment="1">
      <alignment horizontal="right" vertical="center"/>
    </xf>
    <xf numFmtId="43" fontId="13" fillId="4" borderId="31" xfId="1" applyFont="1" applyFill="1" applyBorder="1" applyAlignment="1">
      <alignment horizontal="right" vertical="center"/>
    </xf>
    <xf numFmtId="43" fontId="13" fillId="0" borderId="30" xfId="1" applyFont="1" applyBorder="1" applyAlignment="1">
      <alignment horizontal="right" vertical="center"/>
    </xf>
    <xf numFmtId="43" fontId="13" fillId="0" borderId="31" xfId="1" applyFont="1" applyBorder="1" applyAlignment="1">
      <alignment horizontal="right" vertical="center"/>
    </xf>
    <xf numFmtId="43" fontId="21" fillId="4" borderId="38" xfId="1" applyFont="1" applyFill="1" applyBorder="1" applyAlignment="1">
      <alignment horizontal="right" vertical="center"/>
    </xf>
    <xf numFmtId="43" fontId="21" fillId="4" borderId="39" xfId="1" applyFont="1" applyFill="1" applyBorder="1" applyAlignment="1">
      <alignment horizontal="right" vertical="center"/>
    </xf>
    <xf numFmtId="43" fontId="13" fillId="0" borderId="0" xfId="1" applyFont="1" applyAlignment="1">
      <alignment horizontal="right"/>
    </xf>
    <xf numFmtId="0" fontId="4" fillId="2" borderId="0" xfId="0" quotePrefix="1" applyFont="1" applyFill="1" applyAlignment="1">
      <alignment horizontal="left" vertical="top"/>
    </xf>
    <xf numFmtId="0" fontId="46" fillId="0" borderId="0" xfId="0" applyFont="1"/>
    <xf numFmtId="0" fontId="21" fillId="2" borderId="0" xfId="0" quotePrefix="1" applyFont="1" applyFill="1" applyAlignment="1">
      <alignment horizontal="left" vertical="top"/>
    </xf>
    <xf numFmtId="0" fontId="13" fillId="2" borderId="0" xfId="0" applyFont="1" applyFill="1" applyAlignment="1">
      <alignment vertical="top"/>
    </xf>
    <xf numFmtId="17" fontId="21" fillId="2" borderId="0" xfId="0" quotePrefix="1" applyNumberFormat="1" applyFont="1" applyFill="1" applyAlignment="1">
      <alignment horizontal="center"/>
    </xf>
    <xf numFmtId="17" fontId="13" fillId="2" borderId="0" xfId="0" applyNumberFormat="1" applyFont="1" applyFill="1" applyAlignment="1">
      <alignment horizontal="centerContinuous"/>
    </xf>
    <xf numFmtId="0" fontId="21" fillId="2" borderId="0" xfId="0" applyFont="1" applyFill="1" applyAlignment="1">
      <alignment horizontal="centerContinuous"/>
    </xf>
    <xf numFmtId="0" fontId="5" fillId="2" borderId="0" xfId="0" applyFont="1" applyFill="1" applyAlignment="1">
      <alignment vertical="top"/>
    </xf>
    <xf numFmtId="0" fontId="5" fillId="2" borderId="0" xfId="0" quotePrefix="1" applyFont="1" applyFill="1" applyAlignment="1">
      <alignment horizontal="right" vertical="top"/>
    </xf>
    <xf numFmtId="0" fontId="48" fillId="0" borderId="0" xfId="0" applyFont="1" applyAlignment="1">
      <alignment vertical="center"/>
    </xf>
    <xf numFmtId="0" fontId="49" fillId="0" borderId="0" xfId="0" applyFont="1" applyAlignment="1">
      <alignment vertical="center"/>
    </xf>
    <xf numFmtId="0" fontId="50" fillId="0" borderId="0" xfId="0" applyFont="1" applyAlignment="1">
      <alignment vertical="center"/>
    </xf>
    <xf numFmtId="0" fontId="50" fillId="0" borderId="0" xfId="0" applyFont="1" applyAlignment="1">
      <alignment horizontal="right" vertical="center"/>
    </xf>
    <xf numFmtId="0" fontId="48" fillId="0" borderId="0" xfId="0" applyFont="1" applyAlignment="1">
      <alignment horizontal="center" vertical="center"/>
    </xf>
    <xf numFmtId="0" fontId="50" fillId="0" borderId="0" xfId="0" applyFont="1" applyAlignment="1">
      <alignment horizontal="justify" vertical="center"/>
    </xf>
    <xf numFmtId="2" fontId="51" fillId="0" borderId="0" xfId="0" applyNumberFormat="1" applyFont="1" applyAlignment="1">
      <alignment vertical="center"/>
    </xf>
    <xf numFmtId="0" fontId="51" fillId="0" borderId="0" xfId="0" quotePrefix="1" applyFont="1" applyAlignment="1">
      <alignment vertical="center" wrapText="1"/>
    </xf>
    <xf numFmtId="0" fontId="51" fillId="0" borderId="0" xfId="0" applyFont="1" applyAlignment="1">
      <alignment vertical="center"/>
    </xf>
    <xf numFmtId="14" fontId="48" fillId="0" borderId="0" xfId="0" applyNumberFormat="1" applyFont="1" applyAlignment="1">
      <alignment vertical="center"/>
    </xf>
    <xf numFmtId="0" fontId="47" fillId="0" borderId="0" xfId="0" applyFont="1" applyAlignment="1">
      <alignment vertical="center"/>
    </xf>
    <xf numFmtId="1" fontId="52" fillId="0" borderId="0" xfId="0" applyNumberFormat="1" applyFont="1" applyAlignment="1">
      <alignment horizontal="center" vertical="center"/>
    </xf>
    <xf numFmtId="171" fontId="53" fillId="6" borderId="0" xfId="3" applyFont="1" applyFill="1"/>
    <xf numFmtId="0" fontId="49" fillId="0" borderId="0" xfId="0" applyFont="1"/>
    <xf numFmtId="1" fontId="54" fillId="0" borderId="0" xfId="3" applyNumberFormat="1" applyFont="1" applyAlignment="1">
      <alignment horizontal="center"/>
    </xf>
    <xf numFmtId="172" fontId="54" fillId="0" borderId="0" xfId="3" applyNumberFormat="1" applyFont="1" applyAlignment="1">
      <alignment horizontal="center"/>
    </xf>
    <xf numFmtId="2" fontId="55" fillId="0" borderId="0" xfId="3" applyNumberFormat="1" applyFont="1"/>
    <xf numFmtId="165" fontId="52" fillId="0" borderId="0" xfId="0" applyNumberFormat="1" applyFont="1" applyAlignment="1">
      <alignment horizontal="right" vertical="center"/>
    </xf>
    <xf numFmtId="166" fontId="52" fillId="0" borderId="0" xfId="0" applyNumberFormat="1" applyFont="1" applyAlignment="1">
      <alignment horizontal="right" vertical="center"/>
    </xf>
    <xf numFmtId="167" fontId="52" fillId="0" borderId="0" xfId="2" applyNumberFormat="1" applyFont="1" applyAlignment="1">
      <alignment horizontal="right" vertical="center"/>
    </xf>
    <xf numFmtId="2" fontId="55" fillId="2" borderId="0" xfId="3" applyNumberFormat="1" applyFont="1" applyFill="1"/>
    <xf numFmtId="0" fontId="52" fillId="0" borderId="0" xfId="0" applyFont="1" applyAlignment="1">
      <alignment vertical="center"/>
    </xf>
    <xf numFmtId="2" fontId="56" fillId="0" borderId="0" xfId="0" applyNumberFormat="1" applyFont="1"/>
    <xf numFmtId="0" fontId="57" fillId="0" borderId="0" xfId="0" applyFont="1" applyAlignment="1">
      <alignment vertical="center"/>
    </xf>
    <xf numFmtId="49" fontId="30" fillId="0" borderId="0" xfId="0" applyNumberFormat="1" applyFont="1" applyAlignment="1">
      <alignment horizontal="center"/>
    </xf>
    <xf numFmtId="0" fontId="30" fillId="0" borderId="0" xfId="0" applyFont="1"/>
    <xf numFmtId="1" fontId="0" fillId="0" borderId="0" xfId="0" applyNumberFormat="1"/>
    <xf numFmtId="1" fontId="30" fillId="0" borderId="0" xfId="0" applyNumberFormat="1" applyFont="1" applyAlignment="1">
      <alignment horizontal="right"/>
    </xf>
    <xf numFmtId="0" fontId="30" fillId="0" borderId="0" xfId="0" applyFont="1" applyAlignment="1">
      <alignment horizontal="right"/>
    </xf>
    <xf numFmtId="165" fontId="0" fillId="0" borderId="0" xfId="0" applyNumberFormat="1" applyAlignment="1">
      <alignment horizontal="right"/>
    </xf>
    <xf numFmtId="49" fontId="30" fillId="0" borderId="0" xfId="0" applyNumberFormat="1" applyFont="1" applyAlignment="1">
      <alignment horizontal="right"/>
    </xf>
    <xf numFmtId="165" fontId="30" fillId="0" borderId="0" xfId="0" applyNumberFormat="1" applyFont="1" applyAlignment="1">
      <alignment horizontal="right"/>
    </xf>
    <xf numFmtId="167" fontId="0" fillId="0" borderId="0" xfId="2" applyNumberFormat="1" applyFont="1" applyAlignment="1">
      <alignment horizontal="right"/>
    </xf>
    <xf numFmtId="166" fontId="0" fillId="0" borderId="0" xfId="0" applyNumberFormat="1" applyAlignment="1">
      <alignment horizontal="right"/>
    </xf>
    <xf numFmtId="0" fontId="58" fillId="0" borderId="0" xfId="0" applyFont="1" applyAlignment="1">
      <alignment vertical="center"/>
    </xf>
    <xf numFmtId="0" fontId="58" fillId="0" borderId="0" xfId="0" quotePrefix="1" applyFont="1" applyAlignment="1">
      <alignment vertical="center" wrapText="1"/>
    </xf>
    <xf numFmtId="43" fontId="13" fillId="0" borderId="10" xfId="1" applyFont="1" applyBorder="1" applyAlignment="1">
      <alignment horizontal="right" vertical="center"/>
    </xf>
    <xf numFmtId="43" fontId="21" fillId="0" borderId="36" xfId="0" applyNumberFormat="1" applyFont="1" applyBorder="1" applyAlignment="1">
      <alignment horizontal="right" vertical="center"/>
    </xf>
    <xf numFmtId="2" fontId="0" fillId="4" borderId="10" xfId="0" applyNumberFormat="1" applyFill="1" applyBorder="1" applyAlignment="1">
      <alignment horizontal="right" vertical="center"/>
    </xf>
    <xf numFmtId="2" fontId="13" fillId="4" borderId="11" xfId="0" applyNumberFormat="1" applyFont="1" applyFill="1" applyBorder="1" applyAlignment="1">
      <alignment horizontal="right" vertical="center"/>
    </xf>
    <xf numFmtId="43" fontId="13" fillId="0" borderId="9" xfId="1" applyFont="1" applyBorder="1" applyAlignment="1">
      <alignment horizontal="right" vertical="center"/>
    </xf>
    <xf numFmtId="43" fontId="13" fillId="0" borderId="11" xfId="1" applyFont="1" applyBorder="1" applyAlignment="1">
      <alignment horizontal="right" vertical="center"/>
    </xf>
    <xf numFmtId="43" fontId="13" fillId="4" borderId="12" xfId="1" applyFont="1" applyFill="1" applyBorder="1" applyAlignment="1">
      <alignment horizontal="right" vertical="center"/>
    </xf>
    <xf numFmtId="43" fontId="13" fillId="4" borderId="13" xfId="1" applyFont="1" applyFill="1" applyBorder="1" applyAlignment="1">
      <alignment horizontal="right" vertical="center"/>
    </xf>
    <xf numFmtId="43" fontId="13" fillId="0" borderId="12" xfId="1" applyFont="1" applyBorder="1" applyAlignment="1">
      <alignment horizontal="right" vertical="center"/>
    </xf>
    <xf numFmtId="43" fontId="13" fillId="0" borderId="13" xfId="1" applyFont="1" applyBorder="1" applyAlignment="1">
      <alignment horizontal="right" vertical="center"/>
    </xf>
    <xf numFmtId="43" fontId="21" fillId="0" borderId="35" xfId="0" applyNumberFormat="1" applyFont="1" applyBorder="1" applyAlignment="1">
      <alignment horizontal="right" vertical="center"/>
    </xf>
    <xf numFmtId="43" fontId="21" fillId="0" borderId="37" xfId="0" applyNumberFormat="1" applyFont="1" applyBorder="1" applyAlignment="1">
      <alignment horizontal="right" vertical="center"/>
    </xf>
    <xf numFmtId="43" fontId="0" fillId="0" borderId="9" xfId="1" applyFont="1" applyBorder="1" applyAlignment="1">
      <alignment horizontal="right" vertical="center"/>
    </xf>
    <xf numFmtId="43" fontId="0" fillId="4" borderId="12" xfId="1" applyFont="1" applyFill="1" applyBorder="1" applyAlignment="1">
      <alignment horizontal="right" vertical="center"/>
    </xf>
    <xf numFmtId="43" fontId="0" fillId="0" borderId="12" xfId="1" applyFont="1" applyBorder="1" applyAlignment="1">
      <alignment horizontal="right" vertical="center"/>
    </xf>
    <xf numFmtId="2" fontId="21" fillId="0" borderId="38" xfId="0" applyNumberFormat="1" applyFont="1" applyBorder="1" applyAlignment="1">
      <alignment horizontal="right" vertical="center"/>
    </xf>
    <xf numFmtId="2" fontId="21" fillId="0" borderId="39" xfId="0" applyNumberFormat="1" applyFont="1" applyBorder="1" applyAlignment="1">
      <alignment horizontal="right" vertical="center"/>
    </xf>
    <xf numFmtId="2" fontId="3" fillId="0" borderId="40" xfId="0" applyNumberFormat="1" applyFont="1" applyBorder="1" applyAlignment="1">
      <alignment horizontal="right" vertical="center"/>
    </xf>
    <xf numFmtId="2" fontId="3" fillId="0" borderId="38" xfId="0" applyNumberFormat="1" applyFont="1" applyBorder="1" applyAlignment="1">
      <alignment horizontal="right" vertical="center"/>
    </xf>
    <xf numFmtId="43" fontId="0" fillId="0" borderId="0" xfId="0" applyNumberFormat="1"/>
    <xf numFmtId="2" fontId="49" fillId="0" borderId="0" xfId="0" applyNumberFormat="1" applyFont="1" applyAlignment="1">
      <alignment vertical="center"/>
    </xf>
    <xf numFmtId="2" fontId="50" fillId="0" borderId="0" xfId="0" applyNumberFormat="1" applyFont="1" applyAlignment="1">
      <alignment vertical="center"/>
    </xf>
    <xf numFmtId="10" fontId="31" fillId="3" borderId="45" xfId="2" applyNumberFormat="1" applyFont="1" applyFill="1" applyBorder="1" applyAlignment="1">
      <alignment vertical="center"/>
    </xf>
    <xf numFmtId="0" fontId="27" fillId="0" borderId="62" xfId="0" applyFont="1" applyBorder="1" applyAlignment="1">
      <alignment vertical="center"/>
    </xf>
    <xf numFmtId="166" fontId="27" fillId="0" borderId="62" xfId="0" applyNumberFormat="1" applyFont="1" applyBorder="1" applyAlignment="1">
      <alignment vertical="center"/>
    </xf>
    <xf numFmtId="0" fontId="31" fillId="3" borderId="0" xfId="0" applyFont="1" applyFill="1" applyAlignment="1">
      <alignment vertical="center"/>
    </xf>
    <xf numFmtId="10" fontId="31" fillId="3" borderId="0" xfId="2" applyNumberFormat="1" applyFont="1" applyFill="1" applyAlignment="1">
      <alignment vertical="center"/>
    </xf>
    <xf numFmtId="0" fontId="27" fillId="2" borderId="61" xfId="0" applyFont="1" applyFill="1" applyBorder="1" applyAlignment="1">
      <alignment vertical="center"/>
    </xf>
    <xf numFmtId="170" fontId="27" fillId="2" borderId="61" xfId="0" applyNumberFormat="1" applyFont="1" applyFill="1" applyBorder="1" applyAlignment="1">
      <alignment vertical="center"/>
    </xf>
    <xf numFmtId="167" fontId="32" fillId="2" borderId="61" xfId="2" applyNumberFormat="1" applyFont="1" applyFill="1" applyBorder="1" applyAlignment="1">
      <alignment vertical="center"/>
    </xf>
    <xf numFmtId="0" fontId="27" fillId="4" borderId="62" xfId="0" applyFont="1" applyFill="1" applyBorder="1" applyAlignment="1">
      <alignment vertical="center"/>
    </xf>
    <xf numFmtId="170" fontId="27" fillId="4" borderId="62" xfId="0" applyNumberFormat="1" applyFont="1" applyFill="1" applyBorder="1" applyAlignment="1">
      <alignment vertical="center"/>
    </xf>
    <xf numFmtId="167" fontId="32" fillId="4" borderId="62" xfId="2" applyNumberFormat="1" applyFont="1" applyFill="1" applyBorder="1" applyAlignment="1">
      <alignment vertical="center"/>
    </xf>
    <xf numFmtId="0" fontId="27" fillId="2" borderId="62" xfId="0" applyFont="1" applyFill="1" applyBorder="1" applyAlignment="1">
      <alignment vertical="center"/>
    </xf>
    <xf numFmtId="170" fontId="27" fillId="2" borderId="62" xfId="0" applyNumberFormat="1" applyFont="1" applyFill="1" applyBorder="1" applyAlignment="1">
      <alignment vertical="center"/>
    </xf>
    <xf numFmtId="167" fontId="32" fillId="2" borderId="62" xfId="2" applyNumberFormat="1" applyFont="1" applyFill="1" applyBorder="1" applyAlignment="1">
      <alignment vertical="center"/>
    </xf>
    <xf numFmtId="0" fontId="27" fillId="2" borderId="63" xfId="0" applyFont="1" applyFill="1" applyBorder="1" applyAlignment="1">
      <alignment vertical="center"/>
    </xf>
    <xf numFmtId="170" fontId="27" fillId="2" borderId="63" xfId="0" applyNumberFormat="1" applyFont="1" applyFill="1" applyBorder="1" applyAlignment="1">
      <alignment vertical="center"/>
    </xf>
    <xf numFmtId="167" fontId="32" fillId="2" borderId="63" xfId="2" applyNumberFormat="1" applyFont="1" applyFill="1" applyBorder="1" applyAlignment="1">
      <alignment vertical="center"/>
    </xf>
    <xf numFmtId="0" fontId="27" fillId="4" borderId="64" xfId="0" applyFont="1" applyFill="1" applyBorder="1" applyAlignment="1">
      <alignment vertical="center"/>
    </xf>
    <xf numFmtId="170" fontId="27" fillId="4" borderId="64" xfId="0" applyNumberFormat="1" applyFont="1" applyFill="1" applyBorder="1" applyAlignment="1">
      <alignment vertical="center"/>
    </xf>
    <xf numFmtId="167" fontId="32" fillId="4" borderId="64" xfId="2" applyNumberFormat="1" applyFont="1" applyFill="1" applyBorder="1" applyAlignment="1">
      <alignment vertical="center"/>
    </xf>
    <xf numFmtId="0" fontId="27" fillId="2" borderId="64" xfId="0" applyFont="1" applyFill="1" applyBorder="1" applyAlignment="1">
      <alignment vertical="center"/>
    </xf>
    <xf numFmtId="170" fontId="27" fillId="2" borderId="64" xfId="0" applyNumberFormat="1" applyFont="1" applyFill="1" applyBorder="1" applyAlignment="1">
      <alignment vertical="center"/>
    </xf>
    <xf numFmtId="167" fontId="32" fillId="2" borderId="64" xfId="2" applyNumberFormat="1" applyFont="1" applyFill="1" applyBorder="1" applyAlignment="1">
      <alignment vertical="center"/>
    </xf>
    <xf numFmtId="0" fontId="27" fillId="4" borderId="94" xfId="0" applyFont="1" applyFill="1" applyBorder="1" applyAlignment="1">
      <alignment vertical="center"/>
    </xf>
    <xf numFmtId="170" fontId="27" fillId="4" borderId="94" xfId="0" applyNumberFormat="1" applyFont="1" applyFill="1" applyBorder="1" applyAlignment="1">
      <alignment vertical="center"/>
    </xf>
    <xf numFmtId="167" fontId="32" fillId="4" borderId="94" xfId="2" applyNumberFormat="1" applyFont="1" applyFill="1" applyBorder="1" applyAlignment="1">
      <alignment vertical="center"/>
    </xf>
    <xf numFmtId="0" fontId="27" fillId="2" borderId="0" xfId="0" applyFont="1" applyFill="1" applyAlignment="1">
      <alignment vertical="center"/>
    </xf>
    <xf numFmtId="167" fontId="32" fillId="2" borderId="47" xfId="2" applyNumberFormat="1" applyFont="1" applyFill="1" applyBorder="1" applyAlignment="1">
      <alignment vertical="center"/>
    </xf>
    <xf numFmtId="0" fontId="27" fillId="4" borderId="0" xfId="0" applyFont="1" applyFill="1" applyAlignment="1">
      <alignment vertical="center"/>
    </xf>
    <xf numFmtId="167" fontId="32" fillId="4" borderId="47" xfId="2" applyNumberFormat="1" applyFont="1" applyFill="1" applyBorder="1" applyAlignment="1">
      <alignment vertical="center"/>
    </xf>
    <xf numFmtId="167" fontId="39" fillId="4" borderId="47" xfId="2" applyNumberFormat="1" applyFont="1" applyFill="1" applyBorder="1" applyAlignment="1">
      <alignment vertical="center"/>
    </xf>
    <xf numFmtId="0" fontId="27" fillId="2" borderId="48" xfId="0" applyFont="1" applyFill="1" applyBorder="1" applyAlignment="1">
      <alignment vertical="center"/>
    </xf>
    <xf numFmtId="0" fontId="27" fillId="4" borderId="49" xfId="0" applyFont="1" applyFill="1" applyBorder="1" applyAlignment="1">
      <alignment vertical="center"/>
    </xf>
    <xf numFmtId="0" fontId="27" fillId="2" borderId="49" xfId="0" applyFont="1" applyFill="1" applyBorder="1" applyAlignment="1">
      <alignment vertical="center"/>
    </xf>
    <xf numFmtId="167" fontId="32" fillId="2" borderId="51" xfId="2" applyNumberFormat="1" applyFont="1" applyFill="1" applyBorder="1" applyAlignment="1">
      <alignment vertical="center"/>
    </xf>
    <xf numFmtId="0" fontId="27" fillId="4" borderId="52" xfId="0" applyFont="1" applyFill="1" applyBorder="1" applyAlignment="1">
      <alignment vertical="center"/>
    </xf>
    <xf numFmtId="0" fontId="36" fillId="2" borderId="0" xfId="0" applyFont="1" applyFill="1" applyAlignment="1">
      <alignment horizontal="left" vertical="center"/>
    </xf>
    <xf numFmtId="170" fontId="0" fillId="0" borderId="0" xfId="0" applyNumberFormat="1" applyAlignment="1">
      <alignment horizontal="center" vertical="center"/>
    </xf>
    <xf numFmtId="0" fontId="61" fillId="2" borderId="0" xfId="0" quotePrefix="1" applyFont="1" applyFill="1" applyAlignment="1">
      <alignment horizontal="left" vertical="center"/>
    </xf>
    <xf numFmtId="170" fontId="13" fillId="2" borderId="0" xfId="0" applyNumberFormat="1" applyFont="1" applyFill="1" applyAlignment="1">
      <alignment horizontal="right"/>
    </xf>
    <xf numFmtId="10" fontId="21" fillId="0" borderId="31" xfId="2" applyNumberFormat="1" applyFont="1" applyBorder="1" applyAlignment="1">
      <alignment horizontal="right" vertical="center"/>
    </xf>
    <xf numFmtId="10" fontId="21" fillId="4" borderId="40" xfId="2" applyNumberFormat="1" applyFont="1" applyFill="1" applyBorder="1" applyAlignment="1">
      <alignment horizontal="right" vertical="center"/>
    </xf>
    <xf numFmtId="2" fontId="21" fillId="4" borderId="16" xfId="0" applyNumberFormat="1" applyFont="1" applyFill="1" applyBorder="1" applyAlignment="1">
      <alignment horizontal="right" vertical="center"/>
    </xf>
    <xf numFmtId="43" fontId="27" fillId="2" borderId="46" xfId="1" applyFont="1" applyFill="1" applyBorder="1" applyAlignment="1">
      <alignment vertical="center"/>
    </xf>
    <xf numFmtId="43" fontId="27" fillId="2" borderId="46" xfId="0" applyNumberFormat="1" applyFont="1" applyFill="1" applyBorder="1" applyAlignment="1">
      <alignment vertical="center"/>
    </xf>
    <xf numFmtId="43" fontId="27" fillId="4" borderId="46" xfId="0" applyNumberFormat="1" applyFont="1" applyFill="1" applyBorder="1" applyAlignment="1">
      <alignment vertical="center"/>
    </xf>
    <xf numFmtId="43" fontId="27" fillId="2" borderId="50" xfId="0" applyNumberFormat="1" applyFont="1" applyFill="1" applyBorder="1" applyAlignment="1">
      <alignment vertical="center"/>
    </xf>
    <xf numFmtId="0" fontId="29" fillId="7" borderId="0" xfId="0" applyFont="1" applyFill="1"/>
    <xf numFmtId="0" fontId="0" fillId="7" borderId="0" xfId="0" applyFill="1"/>
    <xf numFmtId="0" fontId="62" fillId="0" borderId="0" xfId="0" applyFont="1"/>
    <xf numFmtId="43" fontId="21" fillId="2" borderId="0" xfId="1" applyFont="1" applyFill="1" applyAlignment="1">
      <alignment horizontal="right"/>
    </xf>
    <xf numFmtId="43" fontId="21" fillId="0" borderId="38" xfId="1" applyFont="1" applyBorder="1" applyAlignment="1">
      <alignment horizontal="right" vertical="center"/>
    </xf>
    <xf numFmtId="43" fontId="21" fillId="0" borderId="39" xfId="1" applyFont="1" applyBorder="1" applyAlignment="1">
      <alignment horizontal="right" vertical="center"/>
    </xf>
    <xf numFmtId="43" fontId="13" fillId="0" borderId="30" xfId="1" applyFont="1" applyBorder="1" applyAlignment="1">
      <alignment horizontal="right"/>
    </xf>
    <xf numFmtId="43" fontId="13" fillId="0" borderId="31" xfId="1" applyFont="1" applyBorder="1" applyAlignment="1">
      <alignment horizontal="right"/>
    </xf>
    <xf numFmtId="43" fontId="13" fillId="0" borderId="32" xfId="1" applyFont="1" applyBorder="1" applyAlignment="1">
      <alignment horizontal="right"/>
    </xf>
    <xf numFmtId="43" fontId="13" fillId="0" borderId="33" xfId="1" applyFont="1" applyBorder="1" applyAlignment="1">
      <alignment horizontal="right"/>
    </xf>
    <xf numFmtId="43" fontId="13" fillId="0" borderId="34" xfId="1" applyFont="1" applyBorder="1" applyAlignment="1">
      <alignment horizontal="right"/>
    </xf>
    <xf numFmtId="0" fontId="63" fillId="0" borderId="0" xfId="0" applyFont="1"/>
    <xf numFmtId="0" fontId="64" fillId="0" borderId="0" xfId="0" applyFont="1"/>
    <xf numFmtId="0" fontId="64" fillId="0" borderId="0" xfId="0" applyFont="1" applyAlignment="1">
      <alignment horizontal="center"/>
    </xf>
    <xf numFmtId="166" fontId="64" fillId="0" borderId="0" xfId="0" applyNumberFormat="1" applyFont="1"/>
    <xf numFmtId="171" fontId="65" fillId="6" borderId="0" xfId="3" applyFont="1" applyFill="1"/>
    <xf numFmtId="172" fontId="65" fillId="6" borderId="0" xfId="3" applyNumberFormat="1" applyFont="1" applyFill="1"/>
    <xf numFmtId="1" fontId="66" fillId="0" borderId="0" xfId="3" applyNumberFormat="1" applyFont="1" applyAlignment="1">
      <alignment horizontal="center"/>
    </xf>
    <xf numFmtId="172" fontId="66" fillId="0" borderId="0" xfId="3" applyNumberFormat="1" applyFont="1" applyAlignment="1">
      <alignment horizontal="center"/>
    </xf>
    <xf numFmtId="2" fontId="67" fillId="0" borderId="0" xfId="3" applyNumberFormat="1" applyFont="1"/>
    <xf numFmtId="2" fontId="67" fillId="0" borderId="0" xfId="3" applyNumberFormat="1" applyFont="1" applyAlignment="1">
      <alignment horizontal="center"/>
    </xf>
    <xf numFmtId="0" fontId="64" fillId="0" borderId="0" xfId="0" applyFont="1" applyAlignment="1">
      <alignment vertical="center"/>
    </xf>
    <xf numFmtId="2" fontId="67" fillId="2" borderId="0" xfId="3" applyNumberFormat="1" applyFont="1" applyFill="1"/>
    <xf numFmtId="2" fontId="68" fillId="0" borderId="0" xfId="0" applyNumberFormat="1" applyFont="1"/>
    <xf numFmtId="2" fontId="69" fillId="0" borderId="0" xfId="4" applyNumberFormat="1" applyFont="1"/>
    <xf numFmtId="0" fontId="30" fillId="0" borderId="86" xfId="0" applyFont="1" applyBorder="1"/>
    <xf numFmtId="43" fontId="30" fillId="0" borderId="86" xfId="1" applyFont="1" applyBorder="1"/>
    <xf numFmtId="43" fontId="30" fillId="0" borderId="0" xfId="0" applyNumberFormat="1" applyFont="1"/>
    <xf numFmtId="0" fontId="60" fillId="0" borderId="0" xfId="0" applyFont="1" applyAlignment="1">
      <alignment vertical="center"/>
    </xf>
    <xf numFmtId="0" fontId="60" fillId="0" borderId="0" xfId="0" applyFont="1" applyAlignment="1">
      <alignment horizontal="center"/>
    </xf>
    <xf numFmtId="0" fontId="60" fillId="0" borderId="0" xfId="0" applyFont="1" applyAlignment="1">
      <alignment vertical="center" wrapText="1"/>
    </xf>
    <xf numFmtId="0" fontId="60" fillId="0" borderId="0" xfId="0" applyFont="1" applyAlignment="1">
      <alignment horizontal="left" vertical="center" wrapText="1"/>
    </xf>
    <xf numFmtId="49" fontId="61" fillId="0" borderId="0" xfId="0" applyNumberFormat="1" applyFont="1" applyAlignment="1">
      <alignment horizontal="right"/>
    </xf>
    <xf numFmtId="43" fontId="30" fillId="0" borderId="86" xfId="0" applyNumberFormat="1" applyFont="1" applyBorder="1"/>
    <xf numFmtId="1" fontId="61" fillId="0" borderId="0" xfId="0" applyNumberFormat="1" applyFont="1" applyAlignment="1">
      <alignment horizontal="right"/>
    </xf>
    <xf numFmtId="49" fontId="61" fillId="0" borderId="0" xfId="0" applyNumberFormat="1" applyFont="1" applyAlignment="1">
      <alignment horizontal="center"/>
    </xf>
    <xf numFmtId="1" fontId="61" fillId="0" borderId="0" xfId="0" applyNumberFormat="1" applyFont="1" applyAlignment="1">
      <alignment horizontal="center"/>
    </xf>
    <xf numFmtId="165" fontId="61" fillId="0" borderId="0" xfId="0" applyNumberFormat="1" applyFont="1" applyAlignment="1">
      <alignment horizontal="center"/>
    </xf>
    <xf numFmtId="0" fontId="30" fillId="0" borderId="0" xfId="0" applyFont="1" applyAlignment="1">
      <alignment horizontal="center"/>
    </xf>
    <xf numFmtId="0" fontId="61" fillId="0" borderId="0" xfId="0" applyFont="1" applyAlignment="1">
      <alignment vertical="center"/>
    </xf>
    <xf numFmtId="0" fontId="61" fillId="0" borderId="0" xfId="0" quotePrefix="1" applyFont="1" applyAlignment="1">
      <alignment horizontal="left" vertical="top"/>
    </xf>
    <xf numFmtId="0" fontId="62" fillId="0" borderId="0" xfId="0" applyFont="1" applyAlignment="1">
      <alignment horizontal="right"/>
    </xf>
    <xf numFmtId="170" fontId="30" fillId="5" borderId="24" xfId="0" applyNumberFormat="1" applyFont="1" applyFill="1" applyBorder="1" applyAlignment="1">
      <alignment horizontal="center" vertical="center"/>
    </xf>
    <xf numFmtId="170" fontId="61" fillId="5" borderId="29" xfId="0" applyNumberFormat="1" applyFont="1" applyFill="1" applyBorder="1" applyAlignment="1">
      <alignment horizontal="center" vertical="center"/>
    </xf>
    <xf numFmtId="167" fontId="61" fillId="5" borderId="24" xfId="2" applyNumberFormat="1" applyFont="1" applyFill="1" applyBorder="1" applyAlignment="1">
      <alignment horizontal="center" vertical="center"/>
    </xf>
    <xf numFmtId="170" fontId="30" fillId="2" borderId="25" xfId="0" applyNumberFormat="1" applyFont="1" applyFill="1" applyBorder="1" applyAlignment="1">
      <alignment horizontal="center" vertical="center"/>
    </xf>
    <xf numFmtId="170" fontId="61" fillId="2" borderId="31" xfId="0" applyNumberFormat="1" applyFont="1" applyFill="1" applyBorder="1" applyAlignment="1">
      <alignment horizontal="center" vertical="center"/>
    </xf>
    <xf numFmtId="167" fontId="61" fillId="2" borderId="25" xfId="2" applyNumberFormat="1" applyFont="1" applyFill="1" applyBorder="1" applyAlignment="1">
      <alignment horizontal="center" vertical="center"/>
    </xf>
    <xf numFmtId="170" fontId="30" fillId="5" borderId="25" xfId="0" applyNumberFormat="1" applyFont="1" applyFill="1" applyBorder="1" applyAlignment="1">
      <alignment horizontal="center" vertical="center"/>
    </xf>
    <xf numFmtId="170" fontId="61" fillId="5" borderId="31" xfId="0" applyNumberFormat="1" applyFont="1" applyFill="1" applyBorder="1" applyAlignment="1">
      <alignment horizontal="center" vertical="center"/>
    </xf>
    <xf numFmtId="167" fontId="61" fillId="5" borderId="25" xfId="2" applyNumberFormat="1" applyFont="1" applyFill="1" applyBorder="1" applyAlignment="1">
      <alignment horizontal="center" vertical="center"/>
    </xf>
    <xf numFmtId="170" fontId="30" fillId="2" borderId="26" xfId="0" applyNumberFormat="1" applyFont="1" applyFill="1" applyBorder="1" applyAlignment="1">
      <alignment horizontal="center" vertical="center"/>
    </xf>
    <xf numFmtId="170" fontId="61" fillId="2" borderId="34" xfId="0" applyNumberFormat="1" applyFont="1" applyFill="1" applyBorder="1" applyAlignment="1">
      <alignment horizontal="center" vertical="center"/>
    </xf>
    <xf numFmtId="167" fontId="61" fillId="2" borderId="26" xfId="2" applyNumberFormat="1" applyFont="1" applyFill="1" applyBorder="1" applyAlignment="1">
      <alignment horizontal="center" vertical="center"/>
    </xf>
    <xf numFmtId="170" fontId="70" fillId="5" borderId="23" xfId="0" applyNumberFormat="1" applyFont="1" applyFill="1" applyBorder="1" applyAlignment="1">
      <alignment horizontal="center" vertical="center"/>
    </xf>
    <xf numFmtId="170" fontId="70" fillId="5" borderId="40" xfId="0" applyNumberFormat="1" applyFont="1" applyFill="1" applyBorder="1" applyAlignment="1">
      <alignment horizontal="center" vertical="center"/>
    </xf>
    <xf numFmtId="167" fontId="60" fillId="5" borderId="23" xfId="2" applyNumberFormat="1" applyFont="1" applyFill="1" applyBorder="1" applyAlignment="1">
      <alignment horizontal="center" vertical="center"/>
    </xf>
    <xf numFmtId="0" fontId="72" fillId="0" borderId="0" xfId="0" applyFont="1" applyAlignment="1">
      <alignment horizontal="right" vertical="center"/>
    </xf>
    <xf numFmtId="17" fontId="35" fillId="8" borderId="26" xfId="0" quotePrefix="1" applyNumberFormat="1" applyFont="1" applyFill="1" applyBorder="1" applyAlignment="1">
      <alignment horizontal="center" vertical="center" wrapText="1"/>
    </xf>
    <xf numFmtId="17" fontId="35" fillId="8" borderId="32" xfId="0" quotePrefix="1" applyNumberFormat="1" applyFont="1" applyFill="1" applyBorder="1" applyAlignment="1">
      <alignment horizontal="center" vertical="center" wrapText="1"/>
    </xf>
    <xf numFmtId="17" fontId="2" fillId="8" borderId="21" xfId="0" applyNumberFormat="1" applyFont="1" applyFill="1" applyBorder="1" applyAlignment="1">
      <alignment horizontal="center" vertical="center"/>
    </xf>
    <xf numFmtId="17" fontId="2" fillId="8" borderId="21" xfId="0" applyNumberFormat="1" applyFont="1" applyFill="1" applyBorder="1" applyAlignment="1">
      <alignment horizontal="center" vertical="center" wrapText="1"/>
    </xf>
    <xf numFmtId="0" fontId="2" fillId="8" borderId="21" xfId="0" applyFont="1" applyFill="1" applyBorder="1" applyAlignment="1">
      <alignment horizontal="center" vertical="center" wrapText="1"/>
    </xf>
    <xf numFmtId="17" fontId="2" fillId="8" borderId="22" xfId="0" applyNumberFormat="1" applyFont="1" applyFill="1" applyBorder="1" applyAlignment="1">
      <alignment horizontal="center" vertical="center" wrapText="1"/>
    </xf>
    <xf numFmtId="17" fontId="2" fillId="8" borderId="23" xfId="0" applyNumberFormat="1" applyFont="1" applyFill="1" applyBorder="1" applyAlignment="1">
      <alignment horizontal="center" vertical="center"/>
    </xf>
    <xf numFmtId="17" fontId="2" fillId="8" borderId="23" xfId="0" applyNumberFormat="1" applyFont="1" applyFill="1" applyBorder="1" applyAlignment="1">
      <alignment horizontal="center" vertical="center" wrapText="1"/>
    </xf>
    <xf numFmtId="0" fontId="2" fillId="8" borderId="23" xfId="0" applyFont="1" applyFill="1" applyBorder="1" applyAlignment="1">
      <alignment horizontal="center" vertical="center" wrapText="1"/>
    </xf>
    <xf numFmtId="0" fontId="2" fillId="8" borderId="45" xfId="1" applyNumberFormat="1" applyFont="1" applyFill="1" applyBorder="1" applyAlignment="1">
      <alignment horizontal="center" vertical="center"/>
    </xf>
    <xf numFmtId="0" fontId="2" fillId="8" borderId="45" xfId="0" applyFont="1" applyFill="1" applyBorder="1" applyAlignment="1">
      <alignment horizontal="center" vertical="center"/>
    </xf>
    <xf numFmtId="0" fontId="2" fillId="8" borderId="57" xfId="1" applyNumberFormat="1" applyFont="1" applyFill="1" applyBorder="1" applyAlignment="1">
      <alignment horizontal="center" vertical="center"/>
    </xf>
    <xf numFmtId="0" fontId="2" fillId="8" borderId="57" xfId="0" applyFont="1" applyFill="1" applyBorder="1" applyAlignment="1">
      <alignment horizontal="center" vertical="center"/>
    </xf>
    <xf numFmtId="14" fontId="2" fillId="8" borderId="57" xfId="0" applyNumberFormat="1" applyFont="1" applyFill="1" applyBorder="1" applyAlignment="1">
      <alignment horizontal="center" vertical="center" wrapText="1"/>
    </xf>
    <xf numFmtId="20" fontId="2" fillId="8" borderId="57" xfId="0" applyNumberFormat="1" applyFont="1" applyFill="1" applyBorder="1" applyAlignment="1">
      <alignment horizontal="center" vertical="center" wrapText="1"/>
    </xf>
    <xf numFmtId="0" fontId="2" fillId="8" borderId="65" xfId="0" applyFont="1" applyFill="1" applyBorder="1" applyAlignment="1">
      <alignment horizontal="center" vertical="center" wrapText="1"/>
    </xf>
    <xf numFmtId="0" fontId="2" fillId="8" borderId="66" xfId="0" applyFont="1" applyFill="1" applyBorder="1" applyAlignment="1">
      <alignment horizontal="center" vertical="center" wrapText="1"/>
    </xf>
    <xf numFmtId="0" fontId="2" fillId="8" borderId="67" xfId="0" applyFont="1" applyFill="1" applyBorder="1" applyAlignment="1">
      <alignment horizontal="center" vertical="center" wrapText="1"/>
    </xf>
    <xf numFmtId="17" fontId="2" fillId="8" borderId="66" xfId="0" quotePrefix="1" applyNumberFormat="1" applyFont="1" applyFill="1" applyBorder="1" applyAlignment="1">
      <alignment horizontal="center" vertical="center" wrapText="1"/>
    </xf>
    <xf numFmtId="17" fontId="2" fillId="8" borderId="67" xfId="0" quotePrefix="1" applyNumberFormat="1" applyFont="1" applyFill="1" applyBorder="1" applyAlignment="1">
      <alignment horizontal="center" vertical="center" wrapText="1"/>
    </xf>
    <xf numFmtId="0" fontId="2" fillId="8" borderId="68" xfId="0" applyFont="1" applyFill="1" applyBorder="1" applyAlignment="1">
      <alignment horizontal="center" vertical="center" wrapText="1"/>
    </xf>
    <xf numFmtId="43" fontId="35" fillId="8" borderId="69" xfId="1" applyFont="1" applyFill="1" applyBorder="1" applyAlignment="1">
      <alignment horizontal="center" vertical="center" wrapText="1"/>
    </xf>
    <xf numFmtId="0" fontId="35" fillId="8" borderId="70" xfId="0" applyFont="1" applyFill="1" applyBorder="1" applyAlignment="1">
      <alignment horizontal="center" vertical="center" wrapText="1"/>
    </xf>
    <xf numFmtId="0" fontId="35" fillId="8" borderId="71" xfId="0" applyFont="1" applyFill="1" applyBorder="1" applyAlignment="1">
      <alignment horizontal="center" vertical="center" wrapText="1"/>
    </xf>
    <xf numFmtId="0" fontId="35" fillId="8" borderId="72" xfId="0" applyFont="1" applyFill="1" applyBorder="1" applyAlignment="1">
      <alignment vertical="center" wrapText="1"/>
    </xf>
    <xf numFmtId="0" fontId="35" fillId="8" borderId="73" xfId="0" applyFont="1" applyFill="1" applyBorder="1" applyAlignment="1">
      <alignment horizontal="center" vertical="center" wrapText="1"/>
    </xf>
    <xf numFmtId="0" fontId="35" fillId="8" borderId="74" xfId="0" applyFont="1" applyFill="1" applyBorder="1" applyAlignment="1">
      <alignment vertical="center" wrapText="1"/>
    </xf>
    <xf numFmtId="4" fontId="35" fillId="8" borderId="57" xfId="0" applyNumberFormat="1" applyFont="1" applyFill="1" applyBorder="1" applyAlignment="1">
      <alignment vertical="center"/>
    </xf>
    <xf numFmtId="0" fontId="35" fillId="8" borderId="90" xfId="0" applyFont="1" applyFill="1" applyBorder="1" applyAlignment="1">
      <alignment vertical="center"/>
    </xf>
    <xf numFmtId="4" fontId="35" fillId="8" borderId="90" xfId="0" applyNumberFormat="1" applyFont="1" applyFill="1" applyBorder="1" applyAlignment="1">
      <alignment vertical="center"/>
    </xf>
    <xf numFmtId="4" fontId="71" fillId="8" borderId="57" xfId="0" applyNumberFormat="1" applyFont="1" applyFill="1" applyBorder="1" applyAlignment="1">
      <alignment vertical="center"/>
    </xf>
    <xf numFmtId="17" fontId="35" fillId="10" borderId="45" xfId="6" quotePrefix="1" applyNumberFormat="1" applyFont="1" applyFill="1" applyBorder="1" applyAlignment="1">
      <alignment horizontal="center" vertical="center" wrapText="1"/>
    </xf>
    <xf numFmtId="0" fontId="35" fillId="10" borderId="45" xfId="6" quotePrefix="1" applyFont="1" applyFill="1" applyBorder="1" applyAlignment="1">
      <alignment horizontal="center" vertical="center" wrapText="1"/>
    </xf>
    <xf numFmtId="0" fontId="35" fillId="10" borderId="45" xfId="6" applyFont="1" applyFill="1" applyBorder="1" applyAlignment="1">
      <alignment horizontal="center" vertical="center" wrapText="1"/>
    </xf>
    <xf numFmtId="14" fontId="35" fillId="10" borderId="45" xfId="6" applyNumberFormat="1" applyFont="1" applyFill="1" applyBorder="1" applyAlignment="1">
      <alignment horizontal="center" vertical="center"/>
    </xf>
    <xf numFmtId="20" fontId="35" fillId="10" borderId="91" xfId="6" applyNumberFormat="1" applyFont="1" applyFill="1" applyBorder="1" applyAlignment="1">
      <alignment horizontal="center" vertical="center"/>
    </xf>
    <xf numFmtId="174" fontId="40" fillId="8" borderId="93" xfId="0" applyNumberFormat="1" applyFont="1" applyFill="1" applyBorder="1" applyAlignment="1">
      <alignment horizontal="center" vertical="center"/>
    </xf>
    <xf numFmtId="174" fontId="40" fillId="8" borderId="93" xfId="0" applyNumberFormat="1" applyFont="1" applyFill="1" applyBorder="1" applyAlignment="1">
      <alignment horizontal="center" vertical="center" wrapText="1"/>
    </xf>
    <xf numFmtId="0" fontId="71" fillId="8" borderId="90" xfId="0" applyFont="1" applyFill="1" applyBorder="1" applyAlignment="1">
      <alignment vertical="center"/>
    </xf>
    <xf numFmtId="0" fontId="21" fillId="4" borderId="79" xfId="0" applyFont="1" applyFill="1" applyBorder="1" applyAlignment="1">
      <alignment vertical="center"/>
    </xf>
    <xf numFmtId="0" fontId="21" fillId="4" borderId="80" xfId="0" applyFont="1" applyFill="1" applyBorder="1" applyAlignment="1">
      <alignment vertical="center"/>
    </xf>
    <xf numFmtId="0" fontId="21" fillId="4" borderId="81" xfId="0" applyFont="1" applyFill="1" applyBorder="1" applyAlignment="1">
      <alignment vertical="center"/>
    </xf>
    <xf numFmtId="4" fontId="21" fillId="4" borderId="78" xfId="0" applyNumberFormat="1" applyFont="1" applyFill="1" applyBorder="1" applyAlignment="1">
      <alignment horizontal="center" vertical="center"/>
    </xf>
    <xf numFmtId="0" fontId="70" fillId="4" borderId="87" xfId="0" applyFont="1" applyFill="1" applyBorder="1"/>
    <xf numFmtId="43" fontId="70" fillId="4" borderId="87" xfId="1" applyFont="1" applyFill="1" applyBorder="1"/>
    <xf numFmtId="43" fontId="70" fillId="4" borderId="87" xfId="0" applyNumberFormat="1" applyFont="1" applyFill="1" applyBorder="1"/>
    <xf numFmtId="0" fontId="31" fillId="8" borderId="76" xfId="0" quotePrefix="1" applyFont="1" applyFill="1" applyBorder="1" applyAlignment="1">
      <alignment horizontal="center" vertical="center" wrapText="1"/>
    </xf>
    <xf numFmtId="0" fontId="31" fillId="8" borderId="76" xfId="0" applyFont="1" applyFill="1" applyBorder="1" applyAlignment="1">
      <alignment horizontal="center" vertical="center" wrapText="1"/>
    </xf>
    <xf numFmtId="0" fontId="31" fillId="8" borderId="77" xfId="0" applyFont="1" applyFill="1" applyBorder="1" applyAlignment="1">
      <alignment horizontal="center" vertical="center" wrapText="1"/>
    </xf>
    <xf numFmtId="0" fontId="31" fillId="8" borderId="75" xfId="0" applyFont="1" applyFill="1" applyBorder="1" applyAlignment="1">
      <alignment horizontal="center" vertical="center" wrapText="1"/>
    </xf>
    <xf numFmtId="0" fontId="35" fillId="8" borderId="96" xfId="0" applyFont="1" applyFill="1" applyBorder="1" applyAlignment="1">
      <alignment horizontal="center" vertical="center" wrapText="1"/>
    </xf>
    <xf numFmtId="0" fontId="35" fillId="8" borderId="97" xfId="0" applyFont="1" applyFill="1" applyBorder="1" applyAlignment="1">
      <alignment horizontal="center" vertical="center" wrapText="1"/>
    </xf>
    <xf numFmtId="0" fontId="35" fillId="8" borderId="98" xfId="0" applyFont="1" applyFill="1" applyBorder="1" applyAlignment="1">
      <alignment horizontal="center" vertical="center" wrapText="1"/>
    </xf>
    <xf numFmtId="0" fontId="35" fillId="8" borderId="99" xfId="0" applyFont="1" applyFill="1" applyBorder="1" applyAlignment="1">
      <alignment horizontal="center" vertical="center" wrapText="1"/>
    </xf>
    <xf numFmtId="0" fontId="17" fillId="2" borderId="0" xfId="0" applyFont="1" applyFill="1" applyAlignment="1">
      <alignment vertical="center" wrapText="1"/>
    </xf>
    <xf numFmtId="49" fontId="0" fillId="0" borderId="0" xfId="0" applyNumberFormat="1" applyAlignment="1">
      <alignment horizontal="right" vertical="center"/>
    </xf>
    <xf numFmtId="1" fontId="0" fillId="0" borderId="0" xfId="0" applyNumberFormat="1" applyAlignment="1">
      <alignment horizontal="right" vertical="center" wrapText="1"/>
    </xf>
    <xf numFmtId="49" fontId="0" fillId="0" borderId="0" xfId="0" applyNumberFormat="1" applyAlignment="1">
      <alignment horizontal="center" vertical="center"/>
    </xf>
    <xf numFmtId="4" fontId="0" fillId="0" borderId="0" xfId="0" applyNumberFormat="1" applyAlignment="1">
      <alignment vertical="center"/>
    </xf>
    <xf numFmtId="0" fontId="0" fillId="2" borderId="0" xfId="0" applyFill="1" applyAlignment="1">
      <alignment horizontal="right"/>
    </xf>
    <xf numFmtId="0" fontId="0" fillId="2" borderId="0" xfId="0" applyFill="1"/>
    <xf numFmtId="0" fontId="70" fillId="0" borderId="0" xfId="0" applyFont="1"/>
    <xf numFmtId="0" fontId="27" fillId="2" borderId="49" xfId="0" applyFont="1" applyFill="1" applyBorder="1" applyAlignment="1">
      <alignment vertical="center" wrapText="1"/>
    </xf>
    <xf numFmtId="0" fontId="27" fillId="2" borderId="64" xfId="0" applyFont="1" applyFill="1" applyBorder="1" applyAlignment="1">
      <alignment vertical="center" wrapText="1"/>
    </xf>
    <xf numFmtId="4" fontId="35" fillId="8" borderId="89" xfId="0" applyNumberFormat="1" applyFont="1" applyFill="1" applyBorder="1" applyAlignment="1">
      <alignment vertical="center"/>
    </xf>
    <xf numFmtId="4" fontId="0" fillId="0" borderId="100" xfId="0" applyNumberFormat="1" applyBorder="1" applyAlignment="1">
      <alignment vertical="center"/>
    </xf>
    <xf numFmtId="4" fontId="0" fillId="0" borderId="101" xfId="0" applyNumberFormat="1" applyBorder="1" applyAlignment="1">
      <alignment vertical="center"/>
    </xf>
    <xf numFmtId="167" fontId="0" fillId="0" borderId="103" xfId="2" applyNumberFormat="1" applyFont="1" applyBorder="1" applyAlignment="1">
      <alignment vertical="center"/>
    </xf>
    <xf numFmtId="4" fontId="0" fillId="4" borderId="3" xfId="0" applyNumberFormat="1" applyFill="1" applyBorder="1" applyAlignment="1">
      <alignment vertical="center"/>
    </xf>
    <xf numFmtId="4" fontId="0" fillId="4" borderId="104" xfId="0" applyNumberFormat="1" applyFill="1" applyBorder="1" applyAlignment="1">
      <alignment vertical="center"/>
    </xf>
    <xf numFmtId="4" fontId="0" fillId="4" borderId="105" xfId="0" applyNumberFormat="1" applyFill="1" applyBorder="1" applyAlignment="1">
      <alignment vertical="center"/>
    </xf>
    <xf numFmtId="167" fontId="0" fillId="4" borderId="106" xfId="2" applyNumberFormat="1" applyFont="1" applyFill="1" applyBorder="1" applyAlignment="1">
      <alignment vertical="center"/>
    </xf>
    <xf numFmtId="4" fontId="0" fillId="0" borderId="3" xfId="0" applyNumberFormat="1" applyBorder="1" applyAlignment="1">
      <alignment vertical="center"/>
    </xf>
    <xf numFmtId="4" fontId="0" fillId="0" borderId="104" xfId="0" applyNumberFormat="1" applyBorder="1" applyAlignment="1">
      <alignment vertical="center"/>
    </xf>
    <xf numFmtId="4" fontId="0" fillId="0" borderId="105" xfId="0" applyNumberFormat="1" applyBorder="1" applyAlignment="1">
      <alignment vertical="center"/>
    </xf>
    <xf numFmtId="167" fontId="0" fillId="0" borderId="106" xfId="2" applyNumberFormat="1" applyFont="1" applyBorder="1" applyAlignment="1">
      <alignment vertical="center"/>
    </xf>
    <xf numFmtId="4" fontId="0" fillId="0" borderId="100" xfId="0" applyNumberFormat="1" applyBorder="1"/>
    <xf numFmtId="4" fontId="0" fillId="0" borderId="107" xfId="0" applyNumberFormat="1" applyBorder="1" applyAlignment="1">
      <alignment horizontal="right"/>
    </xf>
    <xf numFmtId="167" fontId="0" fillId="0" borderId="103" xfId="2" applyNumberFormat="1" applyFont="1" applyBorder="1"/>
    <xf numFmtId="4" fontId="0" fillId="4" borderId="3" xfId="0" applyNumberFormat="1" applyFill="1" applyBorder="1"/>
    <xf numFmtId="4" fontId="0" fillId="4" borderId="108" xfId="0" applyNumberFormat="1" applyFill="1" applyBorder="1" applyAlignment="1">
      <alignment horizontal="right"/>
    </xf>
    <xf numFmtId="167" fontId="0" fillId="4" borderId="106" xfId="2" applyNumberFormat="1" applyFont="1" applyFill="1" applyBorder="1"/>
    <xf numFmtId="4" fontId="0" fillId="0" borderId="3" xfId="0" applyNumberFormat="1" applyBorder="1"/>
    <xf numFmtId="4" fontId="0" fillId="0" borderId="108" xfId="0" applyNumberFormat="1" applyBorder="1" applyAlignment="1">
      <alignment horizontal="right"/>
    </xf>
    <xf numFmtId="167" fontId="0" fillId="0" borderId="106" xfId="2" applyNumberFormat="1" applyFont="1" applyBorder="1"/>
    <xf numFmtId="4" fontId="0" fillId="4" borderId="109" xfId="0" applyNumberFormat="1" applyFill="1" applyBorder="1"/>
    <xf numFmtId="4" fontId="0" fillId="4" borderId="110" xfId="0" applyNumberFormat="1" applyFill="1" applyBorder="1" applyAlignment="1">
      <alignment horizontal="right"/>
    </xf>
    <xf numFmtId="167" fontId="0" fillId="4" borderId="111" xfId="2" applyNumberFormat="1" applyFont="1" applyFill="1" applyBorder="1"/>
    <xf numFmtId="2" fontId="49" fillId="0" borderId="0" xfId="0" applyNumberFormat="1" applyFont="1"/>
    <xf numFmtId="0" fontId="76" fillId="0" borderId="0" xfId="0" applyFont="1"/>
    <xf numFmtId="0" fontId="77" fillId="0" borderId="0" xfId="0" applyFont="1" applyAlignment="1">
      <alignment vertical="center"/>
    </xf>
    <xf numFmtId="49" fontId="76" fillId="0" borderId="0" xfId="0" applyNumberFormat="1" applyFont="1" applyAlignment="1">
      <alignment horizontal="center"/>
    </xf>
    <xf numFmtId="1" fontId="76" fillId="0" borderId="0" xfId="0" applyNumberFormat="1" applyFont="1" applyAlignment="1">
      <alignment horizontal="center"/>
    </xf>
    <xf numFmtId="49" fontId="76" fillId="0" borderId="0" xfId="0" applyNumberFormat="1" applyFont="1" applyAlignment="1">
      <alignment horizontal="left"/>
    </xf>
    <xf numFmtId="1" fontId="76" fillId="0" borderId="0" xfId="0" applyNumberFormat="1" applyFont="1" applyAlignment="1">
      <alignment horizontal="left"/>
    </xf>
    <xf numFmtId="165" fontId="76" fillId="0" borderId="0" xfId="0" applyNumberFormat="1" applyFont="1" applyAlignment="1">
      <alignment horizontal="center"/>
    </xf>
    <xf numFmtId="10" fontId="76" fillId="0" borderId="0" xfId="2" applyNumberFormat="1" applyFont="1"/>
    <xf numFmtId="176" fontId="21" fillId="0" borderId="40" xfId="2" applyNumberFormat="1" applyFont="1" applyBorder="1" applyAlignment="1">
      <alignment horizontal="right" vertical="center"/>
    </xf>
    <xf numFmtId="43" fontId="32" fillId="0" borderId="54" xfId="1" applyFont="1" applyBorder="1" applyAlignment="1">
      <alignment horizontal="right" vertical="center"/>
    </xf>
    <xf numFmtId="43" fontId="32" fillId="0" borderId="55" xfId="1" applyFont="1" applyBorder="1" applyAlignment="1">
      <alignment horizontal="right" vertical="center"/>
    </xf>
    <xf numFmtId="177" fontId="32" fillId="0" borderId="56" xfId="1" applyNumberFormat="1" applyFont="1" applyBorder="1" applyAlignment="1">
      <alignment horizontal="right" vertical="center"/>
    </xf>
    <xf numFmtId="10" fontId="32" fillId="4" borderId="56" xfId="2" applyNumberFormat="1" applyFont="1" applyFill="1" applyBorder="1" applyAlignment="1">
      <alignment horizontal="right" vertical="center"/>
    </xf>
    <xf numFmtId="17" fontId="31" fillId="8" borderId="23" xfId="0" applyNumberFormat="1" applyFont="1" applyFill="1" applyBorder="1" applyAlignment="1">
      <alignment horizontal="center"/>
    </xf>
    <xf numFmtId="16" fontId="31" fillId="8" borderId="24" xfId="0" applyNumberFormat="1" applyFont="1" applyFill="1" applyBorder="1" applyAlignment="1">
      <alignment horizontal="center" vertical="center"/>
    </xf>
    <xf numFmtId="16" fontId="31" fillId="8" borderId="24" xfId="0" applyNumberFormat="1" applyFont="1" applyFill="1" applyBorder="1" applyAlignment="1">
      <alignment horizontal="center" wrapText="1"/>
    </xf>
    <xf numFmtId="20" fontId="31" fillId="8" borderId="26" xfId="0" quotePrefix="1" applyNumberFormat="1" applyFont="1" applyFill="1" applyBorder="1" applyAlignment="1">
      <alignment horizontal="center" vertical="center"/>
    </xf>
    <xf numFmtId="20" fontId="31" fillId="8" borderId="26" xfId="0" applyNumberFormat="1" applyFont="1" applyFill="1" applyBorder="1" applyAlignment="1">
      <alignment horizontal="center"/>
    </xf>
    <xf numFmtId="170" fontId="27" fillId="0" borderId="3" xfId="0" applyNumberFormat="1" applyFont="1" applyBorder="1" applyAlignment="1">
      <alignment horizontal="left"/>
    </xf>
    <xf numFmtId="43" fontId="27" fillId="0" borderId="3" xfId="1" applyFont="1" applyBorder="1" applyAlignment="1">
      <alignment horizontal="right"/>
    </xf>
    <xf numFmtId="43" fontId="27" fillId="0" borderId="0" xfId="1" applyFont="1" applyAlignment="1">
      <alignment horizontal="right"/>
    </xf>
    <xf numFmtId="43" fontId="27" fillId="0" borderId="4" xfId="1" applyFont="1" applyBorder="1" applyAlignment="1">
      <alignment horizontal="right"/>
    </xf>
    <xf numFmtId="10" fontId="32" fillId="0" borderId="4" xfId="2" applyNumberFormat="1" applyFont="1" applyBorder="1" applyAlignment="1">
      <alignment horizontal="right"/>
    </xf>
    <xf numFmtId="170" fontId="27" fillId="4" borderId="3" xfId="0" applyNumberFormat="1" applyFont="1" applyFill="1" applyBorder="1" applyAlignment="1">
      <alignment horizontal="left" vertical="center"/>
    </xf>
    <xf numFmtId="43" fontId="27" fillId="4" borderId="3" xfId="1" applyFont="1" applyFill="1" applyBorder="1" applyAlignment="1">
      <alignment horizontal="right" vertical="center"/>
    </xf>
    <xf numFmtId="43" fontId="27" fillId="4" borderId="0" xfId="1" applyFont="1" applyFill="1" applyAlignment="1">
      <alignment horizontal="right" vertical="center"/>
    </xf>
    <xf numFmtId="43" fontId="27" fillId="4" borderId="4" xfId="1" applyFont="1" applyFill="1" applyBorder="1" applyAlignment="1">
      <alignment horizontal="right" vertical="center"/>
    </xf>
    <xf numFmtId="10" fontId="32" fillId="4" borderId="4" xfId="2" applyNumberFormat="1" applyFont="1" applyFill="1" applyBorder="1" applyAlignment="1">
      <alignment horizontal="right" vertical="center"/>
    </xf>
    <xf numFmtId="170" fontId="27" fillId="0" borderId="3" xfId="0" applyNumberFormat="1" applyFont="1" applyBorder="1" applyAlignment="1">
      <alignment horizontal="left" vertical="center"/>
    </xf>
    <xf numFmtId="43" fontId="27" fillId="0" borderId="3" xfId="1" applyFont="1" applyBorder="1" applyAlignment="1">
      <alignment horizontal="right" vertical="center"/>
    </xf>
    <xf numFmtId="43" fontId="27" fillId="0" borderId="0" xfId="1" applyFont="1" applyAlignment="1">
      <alignment horizontal="right" vertical="center"/>
    </xf>
    <xf numFmtId="43" fontId="27" fillId="0" borderId="4" xfId="1" applyFont="1" applyBorder="1" applyAlignment="1">
      <alignment horizontal="right" vertical="center"/>
    </xf>
    <xf numFmtId="10" fontId="32" fillId="0" borderId="4" xfId="2" applyNumberFormat="1" applyFont="1" applyBorder="1" applyAlignment="1">
      <alignment horizontal="right" vertical="center"/>
    </xf>
    <xf numFmtId="170" fontId="27" fillId="4" borderId="41" xfId="0" applyNumberFormat="1" applyFont="1" applyFill="1" applyBorder="1" applyAlignment="1">
      <alignment horizontal="left" vertical="center"/>
    </xf>
    <xf numFmtId="43" fontId="27" fillId="4" borderId="41" xfId="1" applyFont="1" applyFill="1" applyBorder="1" applyAlignment="1">
      <alignment horizontal="right" vertical="center"/>
    </xf>
    <xf numFmtId="43" fontId="27" fillId="4" borderId="42" xfId="1" applyFont="1" applyFill="1" applyBorder="1" applyAlignment="1">
      <alignment horizontal="right" vertical="center"/>
    </xf>
    <xf numFmtId="43" fontId="27" fillId="4" borderId="43" xfId="1" applyFont="1" applyFill="1" applyBorder="1" applyAlignment="1">
      <alignment horizontal="right" vertical="center"/>
    </xf>
    <xf numFmtId="10" fontId="32" fillId="4" borderId="43" xfId="2" applyNumberFormat="1" applyFont="1" applyFill="1" applyBorder="1" applyAlignment="1">
      <alignment horizontal="right" vertical="center"/>
    </xf>
    <xf numFmtId="170" fontId="32" fillId="0" borderId="54" xfId="0" applyNumberFormat="1" applyFont="1" applyBorder="1" applyAlignment="1">
      <alignment horizontal="left" vertical="center"/>
    </xf>
    <xf numFmtId="49" fontId="27" fillId="0" borderId="0" xfId="0" applyNumberFormat="1" applyFont="1" applyAlignment="1">
      <alignment horizontal="left"/>
    </xf>
    <xf numFmtId="10" fontId="27" fillId="0" borderId="0" xfId="0" applyNumberFormat="1" applyFont="1" applyAlignment="1">
      <alignment horizontal="left"/>
    </xf>
    <xf numFmtId="166" fontId="27" fillId="4" borderId="24" xfId="0" applyNumberFormat="1" applyFont="1" applyFill="1" applyBorder="1" applyAlignment="1">
      <alignment horizontal="left" vertical="center"/>
    </xf>
    <xf numFmtId="2" fontId="27" fillId="4" borderId="27" xfId="0" applyNumberFormat="1" applyFont="1" applyFill="1" applyBorder="1" applyAlignment="1">
      <alignment horizontal="right" vertical="center"/>
    </xf>
    <xf numFmtId="2" fontId="27" fillId="4" borderId="28" xfId="0" applyNumberFormat="1" applyFont="1" applyFill="1" applyBorder="1" applyAlignment="1">
      <alignment horizontal="right" vertical="center"/>
    </xf>
    <xf numFmtId="2" fontId="27" fillId="4" borderId="29" xfId="0" applyNumberFormat="1" applyFont="1" applyFill="1" applyBorder="1" applyAlignment="1">
      <alignment horizontal="right" vertical="center"/>
    </xf>
    <xf numFmtId="10" fontId="32" fillId="4" borderId="29" xfId="2" applyNumberFormat="1" applyFont="1" applyFill="1" applyBorder="1" applyAlignment="1">
      <alignment horizontal="right" vertical="center"/>
    </xf>
    <xf numFmtId="166" fontId="27" fillId="0" borderId="25" xfId="0" applyNumberFormat="1" applyFont="1" applyBorder="1" applyAlignment="1">
      <alignment horizontal="left" vertical="center"/>
    </xf>
    <xf numFmtId="2" fontId="27" fillId="0" borderId="30" xfId="0" applyNumberFormat="1" applyFont="1" applyBorder="1" applyAlignment="1">
      <alignment horizontal="right" vertical="center"/>
    </xf>
    <xf numFmtId="2" fontId="27" fillId="0" borderId="0" xfId="0" applyNumberFormat="1" applyFont="1" applyAlignment="1">
      <alignment horizontal="right" vertical="center"/>
    </xf>
    <xf numFmtId="2" fontId="27" fillId="0" borderId="31" xfId="0" applyNumberFormat="1" applyFont="1" applyBorder="1" applyAlignment="1">
      <alignment horizontal="right" vertical="center"/>
    </xf>
    <xf numFmtId="10" fontId="32" fillId="0" borderId="31" xfId="2" applyNumberFormat="1" applyFont="1" applyBorder="1" applyAlignment="1">
      <alignment horizontal="right" vertical="center"/>
    </xf>
    <xf numFmtId="166" fontId="32" fillId="4" borderId="26" xfId="0" applyNumberFormat="1" applyFont="1" applyFill="1" applyBorder="1" applyAlignment="1">
      <alignment horizontal="left" vertical="center" wrapText="1"/>
    </xf>
    <xf numFmtId="2" fontId="32" fillId="4" borderId="32" xfId="0" applyNumberFormat="1" applyFont="1" applyFill="1" applyBorder="1" applyAlignment="1">
      <alignment horizontal="right" vertical="center"/>
    </xf>
    <xf numFmtId="2" fontId="32" fillId="4" borderId="33" xfId="0" applyNumberFormat="1" applyFont="1" applyFill="1" applyBorder="1" applyAlignment="1">
      <alignment horizontal="right" vertical="center"/>
    </xf>
    <xf numFmtId="2" fontId="32" fillId="4" borderId="34" xfId="0" applyNumberFormat="1" applyFont="1" applyFill="1" applyBorder="1" applyAlignment="1">
      <alignment horizontal="right" vertical="center"/>
    </xf>
    <xf numFmtId="10" fontId="32" fillId="4" borderId="34" xfId="2" applyNumberFormat="1" applyFont="1" applyFill="1" applyBorder="1" applyAlignment="1">
      <alignment horizontal="right" vertical="center"/>
    </xf>
    <xf numFmtId="49" fontId="27" fillId="0" borderId="0" xfId="0" applyNumberFormat="1" applyFont="1" applyAlignment="1">
      <alignment horizontal="center"/>
    </xf>
    <xf numFmtId="10" fontId="27" fillId="0" borderId="0" xfId="0" applyNumberFormat="1" applyFont="1" applyAlignment="1">
      <alignment horizontal="center"/>
    </xf>
    <xf numFmtId="0" fontId="32" fillId="4" borderId="53" xfId="0" quotePrefix="1" applyFont="1" applyFill="1" applyBorder="1" applyAlignment="1">
      <alignment horizontal="left" vertical="center" wrapText="1"/>
    </xf>
    <xf numFmtId="43" fontId="32" fillId="4" borderId="54" xfId="1" applyFont="1" applyFill="1" applyBorder="1" applyAlignment="1">
      <alignment horizontal="right" vertical="center"/>
    </xf>
    <xf numFmtId="43" fontId="32" fillId="4" borderId="55" xfId="1" applyFont="1" applyFill="1" applyBorder="1" applyAlignment="1">
      <alignment horizontal="right" vertical="center"/>
    </xf>
    <xf numFmtId="174" fontId="31" fillId="3" borderId="0" xfId="0" applyNumberFormat="1" applyFont="1" applyFill="1" applyAlignment="1">
      <alignment vertical="center"/>
    </xf>
    <xf numFmtId="174" fontId="35" fillId="8" borderId="57" xfId="0" applyNumberFormat="1" applyFont="1" applyFill="1" applyBorder="1" applyAlignment="1">
      <alignment vertical="center"/>
    </xf>
    <xf numFmtId="177" fontId="32" fillId="4" borderId="56" xfId="1" applyNumberFormat="1" applyFont="1" applyFill="1" applyBorder="1" applyAlignment="1">
      <alignment horizontal="right" vertical="center"/>
    </xf>
    <xf numFmtId="177" fontId="32" fillId="0" borderId="54" xfId="1" applyNumberFormat="1" applyFont="1" applyBorder="1" applyAlignment="1">
      <alignment horizontal="right"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0" fontId="32" fillId="2" borderId="56" xfId="2" applyNumberFormat="1" applyFont="1" applyFill="1" applyBorder="1" applyAlignment="1">
      <alignment horizontal="right" vertical="center"/>
    </xf>
    <xf numFmtId="0" fontId="30" fillId="0" borderId="0" xfId="0" applyFont="1" applyBorder="1"/>
    <xf numFmtId="43" fontId="30" fillId="0" borderId="0" xfId="1" applyFont="1" applyBorder="1"/>
    <xf numFmtId="43" fontId="30" fillId="0" borderId="0" xfId="0" applyNumberFormat="1" applyFont="1" applyBorder="1"/>
    <xf numFmtId="0" fontId="29" fillId="0" borderId="0" xfId="0" applyFont="1" applyBorder="1"/>
    <xf numFmtId="0" fontId="0" fillId="0" borderId="0" xfId="0" applyFont="1"/>
    <xf numFmtId="17" fontId="35" fillId="8" borderId="113" xfId="0" applyNumberFormat="1" applyFont="1" applyFill="1" applyBorder="1" applyAlignment="1">
      <alignment horizontal="center" vertical="center"/>
    </xf>
    <xf numFmtId="0" fontId="35" fillId="8" borderId="115" xfId="5" applyFont="1" applyFill="1" applyBorder="1" applyAlignment="1">
      <alignment horizontal="center" vertical="center"/>
    </xf>
    <xf numFmtId="0" fontId="35" fillId="8" borderId="117" xfId="5" applyFont="1" applyFill="1" applyBorder="1" applyAlignment="1">
      <alignment horizontal="center" vertical="center"/>
    </xf>
    <xf numFmtId="0" fontId="70" fillId="4" borderId="0" xfId="0" applyFont="1" applyFill="1" applyBorder="1"/>
    <xf numFmtId="43" fontId="70" fillId="4" borderId="0" xfId="1" applyFont="1" applyFill="1" applyBorder="1"/>
    <xf numFmtId="0" fontId="30" fillId="0" borderId="0" xfId="0" applyFont="1" applyBorder="1" applyAlignment="1">
      <alignment vertical="center"/>
    </xf>
    <xf numFmtId="43" fontId="30" fillId="0" borderId="0" xfId="1" applyFont="1" applyBorder="1" applyAlignment="1">
      <alignment vertical="center"/>
    </xf>
    <xf numFmtId="0" fontId="30" fillId="2" borderId="0" xfId="0" applyFont="1" applyFill="1" applyBorder="1"/>
    <xf numFmtId="43" fontId="30" fillId="2" borderId="0" xfId="1" applyFont="1" applyFill="1" applyBorder="1"/>
    <xf numFmtId="4" fontId="35" fillId="8" borderId="120" xfId="0" applyNumberFormat="1" applyFont="1" applyFill="1" applyBorder="1" applyAlignment="1">
      <alignment vertical="center"/>
    </xf>
    <xf numFmtId="4" fontId="71" fillId="8" borderId="120" xfId="0" applyNumberFormat="1" applyFont="1" applyFill="1" applyBorder="1" applyAlignment="1">
      <alignment vertical="center"/>
    </xf>
    <xf numFmtId="0" fontId="35" fillId="8" borderId="119" xfId="0" applyFont="1" applyFill="1" applyBorder="1" applyAlignment="1">
      <alignment vertical="center"/>
    </xf>
    <xf numFmtId="0" fontId="0" fillId="0" borderId="121" xfId="0" applyBorder="1"/>
    <xf numFmtId="0" fontId="35" fillId="10" borderId="125" xfId="6" applyFont="1" applyFill="1" applyBorder="1" applyAlignment="1">
      <alignment horizontal="center" vertical="center" wrapText="1"/>
    </xf>
    <xf numFmtId="0" fontId="35" fillId="10" borderId="125" xfId="6" applyFont="1" applyFill="1" applyBorder="1" applyAlignment="1">
      <alignment horizontal="center" vertical="center"/>
    </xf>
    <xf numFmtId="0" fontId="35" fillId="10" borderId="127" xfId="6" applyFont="1" applyFill="1" applyBorder="1" applyAlignment="1">
      <alignment horizontal="center" vertical="center"/>
    </xf>
    <xf numFmtId="20" fontId="35" fillId="10" borderId="129" xfId="6" applyNumberFormat="1" applyFont="1" applyFill="1" applyBorder="1" applyAlignment="1">
      <alignment horizontal="center" vertical="center"/>
    </xf>
    <xf numFmtId="0" fontId="35" fillId="10" borderId="130" xfId="6" applyFont="1" applyFill="1" applyBorder="1" applyAlignment="1">
      <alignment horizontal="center" vertical="center"/>
    </xf>
    <xf numFmtId="10" fontId="35" fillId="8" borderId="120" xfId="2" applyNumberFormat="1" applyFont="1" applyFill="1" applyBorder="1" applyAlignment="1">
      <alignment vertical="center"/>
    </xf>
    <xf numFmtId="10" fontId="71" fillId="8" borderId="120" xfId="2" applyNumberFormat="1" applyFont="1" applyFill="1" applyBorder="1" applyAlignment="1">
      <alignment vertical="center"/>
    </xf>
    <xf numFmtId="0" fontId="71" fillId="8" borderId="119" xfId="0" applyFont="1" applyFill="1" applyBorder="1" applyAlignment="1">
      <alignment vertical="center"/>
    </xf>
    <xf numFmtId="0" fontId="21" fillId="2" borderId="87" xfId="0" quotePrefix="1" applyFont="1" applyFill="1" applyBorder="1" applyAlignment="1">
      <alignment vertical="center"/>
    </xf>
    <xf numFmtId="0" fontId="29" fillId="0" borderId="87" xfId="0" applyFont="1" applyBorder="1"/>
    <xf numFmtId="0" fontId="36" fillId="2" borderId="0" xfId="0" quotePrefix="1" applyFont="1" applyFill="1"/>
    <xf numFmtId="0" fontId="15" fillId="2" borderId="0" xfId="0" applyFont="1" applyFill="1" applyAlignment="1">
      <alignment horizontal="center"/>
    </xf>
    <xf numFmtId="0" fontId="15" fillId="2" borderId="0" xfId="0" applyFont="1" applyFill="1" applyAlignment="1">
      <alignment horizontal="left" vertical="center" wrapText="1"/>
    </xf>
    <xf numFmtId="0" fontId="15" fillId="2" borderId="0" xfId="0" applyFont="1" applyFill="1" applyAlignment="1">
      <alignment vertical="center" wrapText="1"/>
    </xf>
    <xf numFmtId="49" fontId="8" fillId="0" borderId="0" xfId="0" applyNumberFormat="1" applyFont="1" applyAlignment="1">
      <alignment horizontal="right"/>
    </xf>
    <xf numFmtId="49" fontId="8" fillId="0" borderId="0" xfId="0" applyNumberFormat="1" applyFont="1" applyAlignment="1">
      <alignment horizontal="center"/>
    </xf>
    <xf numFmtId="1" fontId="8" fillId="0" borderId="0" xfId="0" applyNumberFormat="1" applyFont="1" applyAlignment="1">
      <alignment horizontal="center"/>
    </xf>
    <xf numFmtId="0" fontId="3" fillId="2" borderId="0" xfId="0" applyFont="1" applyFill="1" applyAlignment="1">
      <alignment vertical="center" wrapText="1"/>
    </xf>
    <xf numFmtId="49" fontId="0" fillId="0" borderId="0" xfId="0" applyNumberFormat="1" applyFont="1" applyAlignment="1">
      <alignment horizontal="center"/>
    </xf>
    <xf numFmtId="1" fontId="0" fillId="0" borderId="0" xfId="0" applyNumberFormat="1" applyFont="1" applyAlignment="1">
      <alignment horizontal="center"/>
    </xf>
    <xf numFmtId="165" fontId="0" fillId="0" borderId="0" xfId="0" applyNumberFormat="1" applyFont="1" applyAlignment="1">
      <alignment horizontal="center"/>
    </xf>
    <xf numFmtId="165" fontId="8" fillId="0" borderId="0" xfId="0" applyNumberFormat="1" applyFont="1" applyAlignment="1">
      <alignment horizontal="center"/>
    </xf>
    <xf numFmtId="0" fontId="3" fillId="2" borderId="0" xfId="0" applyFont="1" applyFill="1" applyAlignment="1">
      <alignment horizontal="center" vertical="center" wrapText="1"/>
    </xf>
    <xf numFmtId="2" fontId="0" fillId="2" borderId="0" xfId="0" applyNumberFormat="1" applyFont="1" applyFill="1" applyAlignment="1">
      <alignment horizontal="center" vertical="center" wrapText="1"/>
    </xf>
    <xf numFmtId="2" fontId="3" fillId="2" borderId="0" xfId="0" applyNumberFormat="1" applyFont="1" applyFill="1" applyAlignment="1">
      <alignment vertical="center" wrapText="1"/>
    </xf>
    <xf numFmtId="0" fontId="0" fillId="0" borderId="0" xfId="0" applyFont="1" applyAlignment="1">
      <alignment horizontal="center"/>
    </xf>
    <xf numFmtId="2" fontId="15" fillId="2" borderId="0" xfId="0" applyNumberFormat="1" applyFont="1" applyFill="1" applyAlignment="1">
      <alignment vertical="center" wrapText="1"/>
    </xf>
    <xf numFmtId="0" fontId="0" fillId="0" borderId="0" xfId="0" applyFont="1" applyAlignment="1">
      <alignment vertical="center"/>
    </xf>
    <xf numFmtId="0" fontId="43" fillId="0" borderId="0" xfId="0" applyFont="1" applyAlignment="1">
      <alignment horizontal="center" vertical="center"/>
    </xf>
    <xf numFmtId="0" fontId="78" fillId="2" borderId="0" xfId="0" applyFont="1" applyFill="1" applyAlignment="1">
      <alignment horizontal="left" vertical="center" wrapText="1"/>
    </xf>
    <xf numFmtId="0" fontId="70" fillId="0" borderId="30" xfId="0" applyFont="1" applyBorder="1"/>
    <xf numFmtId="10" fontId="30" fillId="0" borderId="31" xfId="2" applyNumberFormat="1" applyFont="1" applyBorder="1"/>
    <xf numFmtId="0" fontId="70" fillId="4" borderId="133" xfId="0" applyFont="1" applyFill="1" applyBorder="1"/>
    <xf numFmtId="10" fontId="70" fillId="4" borderId="134" xfId="2" applyNumberFormat="1" applyFont="1" applyFill="1" applyBorder="1"/>
    <xf numFmtId="0" fontId="70" fillId="0" borderId="30" xfId="0" applyFont="1" applyBorder="1" applyAlignment="1">
      <alignment vertical="center" wrapText="1"/>
    </xf>
    <xf numFmtId="43" fontId="30" fillId="0" borderId="31" xfId="1" applyFont="1" applyBorder="1"/>
    <xf numFmtId="43" fontId="70" fillId="4" borderId="134" xfId="1" applyFont="1" applyFill="1" applyBorder="1"/>
    <xf numFmtId="0" fontId="30" fillId="0" borderId="31" xfId="0" applyFont="1" applyBorder="1"/>
    <xf numFmtId="0" fontId="70" fillId="2" borderId="30" xfId="0" applyFont="1" applyFill="1" applyBorder="1"/>
    <xf numFmtId="43" fontId="30" fillId="2" borderId="31" xfId="1" applyFont="1" applyFill="1" applyBorder="1"/>
    <xf numFmtId="0" fontId="70" fillId="4" borderId="135" xfId="0" applyFont="1" applyFill="1" applyBorder="1"/>
    <xf numFmtId="0" fontId="70" fillId="4" borderId="119" xfId="0" applyFont="1" applyFill="1" applyBorder="1"/>
    <xf numFmtId="43" fontId="70" fillId="4" borderId="119" xfId="1" applyFont="1" applyFill="1" applyBorder="1"/>
    <xf numFmtId="43" fontId="70" fillId="4" borderId="136" xfId="1" applyFont="1" applyFill="1" applyBorder="1"/>
    <xf numFmtId="0" fontId="70" fillId="0" borderId="30" xfId="0" applyFont="1" applyBorder="1" applyAlignment="1">
      <alignment wrapText="1"/>
    </xf>
    <xf numFmtId="43" fontId="30" fillId="0" borderId="31" xfId="1" applyFont="1" applyBorder="1" applyAlignment="1">
      <alignment vertical="center"/>
    </xf>
    <xf numFmtId="43" fontId="30" fillId="0" borderId="138" xfId="1" applyFont="1" applyBorder="1"/>
    <xf numFmtId="0" fontId="30" fillId="0" borderId="30" xfId="0" applyFont="1" applyBorder="1"/>
    <xf numFmtId="0" fontId="70" fillId="4" borderId="30" xfId="0" applyFont="1" applyFill="1" applyBorder="1"/>
    <xf numFmtId="43" fontId="70" fillId="4" borderId="31" xfId="1" applyFont="1" applyFill="1" applyBorder="1"/>
    <xf numFmtId="0" fontId="70" fillId="0" borderId="137" xfId="0" applyFont="1" applyBorder="1"/>
    <xf numFmtId="2" fontId="13" fillId="0" borderId="0" xfId="0" applyNumberFormat="1" applyFont="1" applyBorder="1" applyAlignment="1">
      <alignment horizontal="right" vertical="center"/>
    </xf>
    <xf numFmtId="2" fontId="13" fillId="4" borderId="6" xfId="0" applyNumberFormat="1" applyFont="1" applyFill="1" applyBorder="1" applyAlignment="1">
      <alignment horizontal="right" vertical="center"/>
    </xf>
    <xf numFmtId="2" fontId="13" fillId="0" borderId="7" xfId="0" applyNumberFormat="1" applyFont="1" applyBorder="1" applyAlignment="1">
      <alignment horizontal="right" vertical="center"/>
    </xf>
    <xf numFmtId="2" fontId="21" fillId="4" borderId="8" xfId="0" applyNumberFormat="1" applyFont="1" applyFill="1" applyBorder="1" applyAlignment="1">
      <alignment horizontal="right" vertical="center"/>
    </xf>
    <xf numFmtId="9" fontId="30" fillId="0" borderId="138" xfId="2" applyFont="1" applyBorder="1"/>
    <xf numFmtId="10" fontId="30" fillId="0" borderId="138" xfId="2" applyNumberFormat="1" applyFont="1" applyBorder="1"/>
    <xf numFmtId="0" fontId="35" fillId="8" borderId="140" xfId="0" applyFont="1" applyFill="1" applyBorder="1" applyAlignment="1">
      <alignment horizontal="center" vertical="center" wrapText="1"/>
    </xf>
    <xf numFmtId="0" fontId="35" fillId="8" borderId="108" xfId="0" applyFont="1" applyFill="1" applyBorder="1" applyAlignment="1">
      <alignment horizontal="center" vertical="center" wrapText="1"/>
    </xf>
    <xf numFmtId="0" fontId="35" fillId="8" borderId="141" xfId="0" applyFont="1" applyFill="1" applyBorder="1" applyAlignment="1">
      <alignment horizontal="center" vertical="center" wrapText="1"/>
    </xf>
    <xf numFmtId="0" fontId="60" fillId="4" borderId="143" xfId="0" applyFont="1" applyFill="1" applyBorder="1" applyAlignment="1">
      <alignment horizontal="center" vertical="center"/>
    </xf>
    <xf numFmtId="4" fontId="60" fillId="4" borderId="144" xfId="0" applyNumberFormat="1" applyFont="1" applyFill="1" applyBorder="1" applyAlignment="1">
      <alignment horizontal="center" vertical="center"/>
    </xf>
    <xf numFmtId="0" fontId="30" fillId="0" borderId="0" xfId="0" applyFont="1" applyAlignment="1">
      <alignment vertical="center"/>
    </xf>
    <xf numFmtId="0" fontId="79" fillId="0" borderId="0" xfId="0" applyFont="1"/>
    <xf numFmtId="0" fontId="79" fillId="0" borderId="0" xfId="0" applyFont="1" applyAlignment="1">
      <alignment horizontal="right"/>
    </xf>
    <xf numFmtId="0" fontId="80" fillId="4" borderId="142" xfId="0" applyFont="1" applyFill="1" applyBorder="1" applyAlignment="1">
      <alignment vertical="center"/>
    </xf>
    <xf numFmtId="0" fontId="27" fillId="4" borderId="49" xfId="0" applyFont="1" applyFill="1" applyBorder="1" applyAlignment="1">
      <alignment vertical="center" wrapText="1"/>
    </xf>
    <xf numFmtId="0" fontId="80" fillId="0" borderId="142" xfId="0" applyFont="1" applyFill="1" applyBorder="1" applyAlignment="1">
      <alignment vertical="center" wrapText="1"/>
    </xf>
    <xf numFmtId="0" fontId="61" fillId="0" borderId="143" xfId="0" applyFont="1" applyFill="1" applyBorder="1" applyAlignment="1">
      <alignment horizontal="center" vertical="center"/>
    </xf>
    <xf numFmtId="0" fontId="60" fillId="0" borderId="143" xfId="0" applyFont="1" applyFill="1" applyBorder="1" applyAlignment="1">
      <alignment horizontal="center" vertical="center"/>
    </xf>
    <xf numFmtId="4" fontId="61" fillId="0" borderId="144" xfId="0" applyNumberFormat="1" applyFont="1" applyFill="1" applyBorder="1" applyAlignment="1">
      <alignment horizontal="center" vertical="center"/>
    </xf>
    <xf numFmtId="0" fontId="74" fillId="0" borderId="0" xfId="0" applyFont="1"/>
    <xf numFmtId="2" fontId="74" fillId="0" borderId="0" xfId="0" applyNumberFormat="1" applyFont="1" applyAlignment="1">
      <alignment horizontal="center" vertical="center" wrapText="1"/>
    </xf>
    <xf numFmtId="2" fontId="74" fillId="0" borderId="0" xfId="0" quotePrefix="1" applyNumberFormat="1" applyFont="1" applyAlignment="1">
      <alignment horizontal="center" vertical="center" wrapText="1"/>
    </xf>
    <xf numFmtId="17" fontId="74" fillId="0" borderId="0" xfId="0" quotePrefix="1" applyNumberFormat="1" applyFont="1" applyAlignment="1">
      <alignment horizontal="center" vertical="center" wrapText="1"/>
    </xf>
    <xf numFmtId="0" fontId="74" fillId="0" borderId="0" xfId="0" quotePrefix="1" applyFont="1" applyAlignment="1">
      <alignment horizontal="center" vertical="center" wrapText="1"/>
    </xf>
    <xf numFmtId="2" fontId="74" fillId="0" borderId="0" xfId="0" applyNumberFormat="1" applyFont="1" applyAlignment="1">
      <alignment horizontal="left"/>
    </xf>
    <xf numFmtId="2" fontId="73" fillId="0" borderId="0" xfId="0" applyNumberFormat="1" applyFont="1" applyAlignment="1">
      <alignment horizontal="center"/>
    </xf>
    <xf numFmtId="2" fontId="74" fillId="0" borderId="0" xfId="0" applyNumberFormat="1" applyFont="1" applyAlignment="1">
      <alignment horizontal="center"/>
    </xf>
    <xf numFmtId="43" fontId="74" fillId="0" borderId="0" xfId="1" applyFont="1" applyAlignment="1">
      <alignment horizontal="left"/>
    </xf>
    <xf numFmtId="0" fontId="74" fillId="0" borderId="0" xfId="0" applyFont="1" applyAlignment="1">
      <alignment vertical="top" wrapText="1"/>
    </xf>
    <xf numFmtId="166" fontId="49" fillId="0" borderId="0" xfId="0" applyNumberFormat="1" applyFont="1" applyAlignment="1">
      <alignment vertical="center"/>
    </xf>
    <xf numFmtId="172" fontId="66" fillId="7" borderId="0" xfId="3" applyNumberFormat="1" applyFont="1" applyFill="1" applyAlignment="1">
      <alignment horizontal="center"/>
    </xf>
    <xf numFmtId="175" fontId="64" fillId="0" borderId="0" xfId="0" applyNumberFormat="1" applyFont="1" applyAlignment="1">
      <alignment vertical="center"/>
    </xf>
    <xf numFmtId="0" fontId="81" fillId="0" borderId="0" xfId="0" applyFont="1"/>
    <xf numFmtId="176" fontId="21" fillId="0" borderId="39" xfId="2" applyNumberFormat="1" applyFont="1" applyBorder="1" applyAlignment="1">
      <alignment horizontal="right" vertical="center"/>
    </xf>
    <xf numFmtId="0" fontId="0" fillId="0" borderId="0" xfId="0"/>
    <xf numFmtId="0" fontId="82" fillId="0" borderId="0" xfId="0" applyFont="1"/>
    <xf numFmtId="166" fontId="64" fillId="7" borderId="0" xfId="0" applyNumberFormat="1" applyFont="1" applyFill="1"/>
    <xf numFmtId="0" fontId="82" fillId="0" borderId="0" xfId="0" applyFont="1" applyAlignment="1">
      <alignment horizontal="center"/>
    </xf>
    <xf numFmtId="175" fontId="82" fillId="0" borderId="0" xfId="0" applyNumberFormat="1" applyFont="1" applyAlignment="1">
      <alignment horizontal="center"/>
    </xf>
    <xf numFmtId="17" fontId="51" fillId="0" borderId="0" xfId="0" applyNumberFormat="1" applyFont="1" applyAlignment="1">
      <alignment horizontal="center" vertical="center"/>
    </xf>
    <xf numFmtId="2" fontId="51" fillId="0" borderId="0" xfId="0" applyNumberFormat="1" applyFont="1" applyAlignment="1">
      <alignment horizontal="center" vertical="center"/>
    </xf>
    <xf numFmtId="2" fontId="51" fillId="0" borderId="0" xfId="0" quotePrefix="1" applyNumberFormat="1" applyFont="1" applyAlignment="1">
      <alignment horizontal="center" vertical="center" wrapText="1"/>
    </xf>
    <xf numFmtId="0" fontId="13" fillId="2" borderId="0" xfId="0" applyFont="1" applyFill="1" applyAlignment="1">
      <alignment horizontal="left" vertical="center"/>
    </xf>
    <xf numFmtId="43" fontId="21" fillId="4" borderId="40" xfId="1" applyNumberFormat="1" applyFont="1" applyFill="1" applyBorder="1" applyAlignment="1">
      <alignment horizontal="right" vertical="center"/>
    </xf>
    <xf numFmtId="0" fontId="31" fillId="3" borderId="91" xfId="0" applyFont="1" applyFill="1" applyBorder="1" applyAlignment="1">
      <alignment vertical="center"/>
    </xf>
    <xf numFmtId="174" fontId="31" fillId="3" borderId="91" xfId="0" applyNumberFormat="1" applyFont="1" applyFill="1" applyBorder="1" applyAlignment="1">
      <alignment vertical="center"/>
    </xf>
    <xf numFmtId="0" fontId="27" fillId="4" borderId="64" xfId="0" applyFont="1" applyFill="1" applyBorder="1" applyAlignment="1">
      <alignment vertical="center" wrapText="1"/>
    </xf>
    <xf numFmtId="2" fontId="27" fillId="4" borderId="64" xfId="0" applyNumberFormat="1" applyFont="1" applyFill="1" applyBorder="1" applyAlignment="1">
      <alignment vertical="center" wrapText="1"/>
    </xf>
    <xf numFmtId="0" fontId="70" fillId="4" borderId="133" xfId="0" applyFont="1" applyFill="1" applyBorder="1" applyAlignment="1">
      <alignment wrapText="1"/>
    </xf>
    <xf numFmtId="0" fontId="83" fillId="0" borderId="0" xfId="0" applyFont="1" applyAlignment="1">
      <alignment vertical="center"/>
    </xf>
    <xf numFmtId="49" fontId="63" fillId="0" borderId="0" xfId="0" applyNumberFormat="1" applyFont="1" applyAlignment="1">
      <alignment horizontal="right"/>
    </xf>
    <xf numFmtId="1" fontId="63" fillId="0" borderId="0" xfId="0" applyNumberFormat="1" applyFont="1" applyAlignment="1">
      <alignment horizontal="right"/>
    </xf>
    <xf numFmtId="0" fontId="63" fillId="0" borderId="0" xfId="0" applyFont="1" applyAlignment="1">
      <alignment horizontal="right"/>
    </xf>
    <xf numFmtId="1" fontId="29" fillId="0" borderId="0" xfId="0" applyNumberFormat="1" applyFont="1" applyAlignment="1">
      <alignment horizontal="right"/>
    </xf>
    <xf numFmtId="2" fontId="0" fillId="0" borderId="0" xfId="0" applyNumberFormat="1" applyFont="1" applyAlignment="1">
      <alignment horizontal="right"/>
    </xf>
    <xf numFmtId="0" fontId="27" fillId="0" borderId="0" xfId="0" applyFont="1" applyAlignment="1">
      <alignment vertical="center" wrapText="1"/>
    </xf>
    <xf numFmtId="0" fontId="27" fillId="0" borderId="0" xfId="0" applyFont="1" applyAlignment="1">
      <alignment vertical="center"/>
    </xf>
    <xf numFmtId="0" fontId="31" fillId="8" borderId="119" xfId="0" applyFont="1" applyFill="1" applyBorder="1" applyAlignment="1">
      <alignment vertical="center"/>
    </xf>
    <xf numFmtId="0" fontId="84" fillId="0" borderId="0" xfId="0" applyFont="1"/>
    <xf numFmtId="175" fontId="84" fillId="0" borderId="0" xfId="0" applyNumberFormat="1" applyFont="1"/>
    <xf numFmtId="175" fontId="84" fillId="0" borderId="0" xfId="0" applyNumberFormat="1" applyFont="1" applyAlignment="1">
      <alignment horizontal="center"/>
    </xf>
    <xf numFmtId="0" fontId="84" fillId="0" borderId="0" xfId="0" applyFont="1" applyAlignment="1">
      <alignment horizontal="center"/>
    </xf>
    <xf numFmtId="0" fontId="27" fillId="4" borderId="0" xfId="0" applyFont="1" applyFill="1" applyBorder="1" applyAlignment="1">
      <alignment vertical="center"/>
    </xf>
    <xf numFmtId="167" fontId="32" fillId="4" borderId="0" xfId="2" applyNumberFormat="1" applyFont="1" applyFill="1" applyBorder="1" applyAlignment="1">
      <alignment vertical="center"/>
    </xf>
    <xf numFmtId="170" fontId="27" fillId="4" borderId="0" xfId="0" applyNumberFormat="1" applyFont="1" applyFill="1" applyBorder="1" applyAlignment="1">
      <alignment vertical="center"/>
    </xf>
    <xf numFmtId="1" fontId="63" fillId="0" borderId="0" xfId="0" applyNumberFormat="1" applyFont="1"/>
    <xf numFmtId="9" fontId="21" fillId="4" borderId="78" xfId="2" applyFont="1" applyFill="1" applyBorder="1" applyAlignment="1">
      <alignment horizontal="center" vertical="center"/>
    </xf>
    <xf numFmtId="0" fontId="30" fillId="0" borderId="0" xfId="0" applyFont="1" applyAlignment="1">
      <alignment vertical="center" wrapText="1"/>
    </xf>
    <xf numFmtId="43" fontId="32" fillId="4" borderId="54" xfId="1" applyNumberFormat="1" applyFont="1" applyFill="1" applyBorder="1" applyAlignment="1">
      <alignment horizontal="right" vertical="center"/>
    </xf>
    <xf numFmtId="4" fontId="0" fillId="2" borderId="102" xfId="0" applyNumberFormat="1" applyFill="1" applyBorder="1" applyAlignment="1">
      <alignment vertical="center"/>
    </xf>
    <xf numFmtId="4" fontId="0" fillId="0" borderId="107" xfId="0" applyNumberFormat="1" applyFill="1" applyBorder="1" applyAlignment="1">
      <alignment horizontal="right"/>
    </xf>
    <xf numFmtId="0" fontId="64" fillId="0" borderId="0" xfId="0" applyFont="1" applyAlignment="1">
      <alignment horizontal="right"/>
    </xf>
    <xf numFmtId="0" fontId="85" fillId="0" borderId="0" xfId="0" applyFont="1"/>
    <xf numFmtId="0" fontId="86" fillId="0" borderId="0" xfId="0" applyFont="1" applyAlignment="1">
      <alignment vertical="center"/>
    </xf>
    <xf numFmtId="0" fontId="86" fillId="0" borderId="0" xfId="0" applyFont="1"/>
    <xf numFmtId="2" fontId="55" fillId="0" borderId="0" xfId="3" applyNumberFormat="1" applyFont="1" applyAlignment="1">
      <alignment horizontal="right"/>
    </xf>
    <xf numFmtId="0" fontId="59" fillId="0" borderId="0" xfId="0" quotePrefix="1" applyFont="1" applyFill="1" applyBorder="1" applyAlignment="1">
      <alignment vertical="center" wrapText="1"/>
    </xf>
    <xf numFmtId="168" fontId="30" fillId="0" borderId="0" xfId="0" applyNumberFormat="1" applyFont="1" applyFill="1" applyBorder="1" applyAlignment="1">
      <alignment horizontal="center" vertical="center" wrapText="1"/>
    </xf>
    <xf numFmtId="0" fontId="30" fillId="0" borderId="0" xfId="2" applyNumberFormat="1" applyFont="1" applyFill="1" applyBorder="1" applyAlignment="1">
      <alignment horizontal="center" vertical="center" wrapText="1"/>
    </xf>
    <xf numFmtId="2" fontId="30" fillId="0" borderId="0" xfId="2" applyNumberFormat="1" applyFont="1" applyFill="1" applyBorder="1" applyAlignment="1">
      <alignment horizontal="center" vertical="center" wrapText="1"/>
    </xf>
    <xf numFmtId="4"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wrapText="1"/>
    </xf>
    <xf numFmtId="0" fontId="35" fillId="0" borderId="0" xfId="0" quotePrefix="1" applyFont="1" applyFill="1" applyBorder="1" applyAlignment="1">
      <alignment horizontal="left" vertical="center"/>
    </xf>
    <xf numFmtId="168" fontId="35" fillId="0" borderId="0" xfId="0" applyNumberFormat="1" applyFont="1" applyFill="1" applyBorder="1" applyAlignment="1">
      <alignment horizontal="right" vertical="center"/>
    </xf>
    <xf numFmtId="168" fontId="35" fillId="0" borderId="0" xfId="0" applyNumberFormat="1" applyFont="1" applyFill="1" applyBorder="1" applyAlignment="1">
      <alignment horizontal="left" vertical="center"/>
    </xf>
    <xf numFmtId="0" fontId="35" fillId="0" borderId="0" xfId="2" applyNumberFormat="1" applyFont="1" applyFill="1" applyBorder="1" applyAlignment="1">
      <alignment horizontal="left" vertical="center"/>
    </xf>
    <xf numFmtId="0" fontId="35" fillId="0" borderId="0" xfId="2" applyNumberFormat="1" applyFont="1" applyFill="1" applyBorder="1" applyAlignment="1">
      <alignment horizontal="center" vertical="center"/>
    </xf>
    <xf numFmtId="4" fontId="35" fillId="0" borderId="0" xfId="0" applyNumberFormat="1" applyFont="1" applyFill="1" applyBorder="1" applyAlignment="1">
      <alignment horizontal="center" vertical="center"/>
    </xf>
    <xf numFmtId="0" fontId="35" fillId="0" borderId="0" xfId="0" applyFont="1" applyFill="1" applyBorder="1" applyAlignment="1">
      <alignment horizontal="center" vertical="center"/>
    </xf>
    <xf numFmtId="0" fontId="70" fillId="4" borderId="133" xfId="0" applyFont="1" applyFill="1" applyBorder="1" applyAlignment="1"/>
    <xf numFmtId="43" fontId="30" fillId="0" borderId="145" xfId="0" applyNumberFormat="1" applyFont="1" applyBorder="1"/>
    <xf numFmtId="43" fontId="70" fillId="4" borderId="146" xfId="0" applyNumberFormat="1" applyFont="1" applyFill="1" applyBorder="1"/>
    <xf numFmtId="43" fontId="30" fillId="0" borderId="147" xfId="0" applyNumberFormat="1" applyFont="1" applyBorder="1"/>
    <xf numFmtId="43" fontId="30" fillId="0" borderId="148" xfId="0" applyNumberFormat="1" applyFont="1" applyBorder="1"/>
    <xf numFmtId="43" fontId="70" fillId="4" borderId="149" xfId="0" applyNumberFormat="1" applyFont="1" applyFill="1" applyBorder="1"/>
    <xf numFmtId="43" fontId="30" fillId="0" borderId="150" xfId="0" applyNumberFormat="1" applyFont="1" applyBorder="1"/>
    <xf numFmtId="0" fontId="70" fillId="0" borderId="30" xfId="0" applyFont="1" applyBorder="1" applyAlignment="1">
      <alignment vertical="center"/>
    </xf>
    <xf numFmtId="43" fontId="30" fillId="0" borderId="0" xfId="0" applyNumberFormat="1" applyFont="1" applyBorder="1" applyAlignment="1">
      <alignment vertical="center"/>
    </xf>
    <xf numFmtId="43" fontId="30" fillId="0" borderId="147" xfId="0" applyNumberFormat="1" applyFont="1" applyBorder="1" applyAlignment="1">
      <alignment vertical="center"/>
    </xf>
    <xf numFmtId="43" fontId="30" fillId="0" borderId="150" xfId="0" applyNumberFormat="1" applyFont="1" applyBorder="1" applyAlignment="1">
      <alignment vertical="center"/>
    </xf>
    <xf numFmtId="10" fontId="30" fillId="0" borderId="31" xfId="2" applyNumberFormat="1" applyFont="1" applyBorder="1" applyAlignment="1">
      <alignment vertical="center"/>
    </xf>
    <xf numFmtId="0" fontId="70" fillId="4" borderId="133" xfId="0" applyFont="1" applyFill="1" applyBorder="1" applyAlignment="1">
      <alignment vertical="center"/>
    </xf>
    <xf numFmtId="0" fontId="70" fillId="4" borderId="87" xfId="0" applyFont="1" applyFill="1" applyBorder="1" applyAlignment="1">
      <alignment vertical="center"/>
    </xf>
    <xf numFmtId="43" fontId="70" fillId="4" borderId="87" xfId="0" applyNumberFormat="1" applyFont="1" applyFill="1" applyBorder="1" applyAlignment="1">
      <alignment vertical="center"/>
    </xf>
    <xf numFmtId="43" fontId="70" fillId="4" borderId="146" xfId="0" applyNumberFormat="1" applyFont="1" applyFill="1" applyBorder="1" applyAlignment="1">
      <alignment vertical="center"/>
    </xf>
    <xf numFmtId="43" fontId="70" fillId="4" borderId="149" xfId="0" applyNumberFormat="1" applyFont="1" applyFill="1" applyBorder="1" applyAlignment="1">
      <alignment vertical="center"/>
    </xf>
    <xf numFmtId="10" fontId="70" fillId="4" borderId="134" xfId="2" applyNumberFormat="1" applyFont="1" applyFill="1" applyBorder="1" applyAlignment="1">
      <alignment vertical="center"/>
    </xf>
    <xf numFmtId="43" fontId="30" fillId="0" borderId="119" xfId="0" applyNumberFormat="1" applyFont="1" applyBorder="1"/>
    <xf numFmtId="10" fontId="30" fillId="0" borderId="119" xfId="2" applyNumberFormat="1" applyFont="1" applyBorder="1"/>
    <xf numFmtId="0" fontId="23" fillId="0" borderId="0" xfId="0" applyFont="1" applyAlignment="1">
      <alignment horizontal="left" vertical="center"/>
    </xf>
    <xf numFmtId="0" fontId="32" fillId="2" borderId="0" xfId="9" applyFont="1" applyFill="1" applyAlignment="1">
      <alignment horizontal="left" vertical="center"/>
    </xf>
    <xf numFmtId="0" fontId="32" fillId="2" borderId="0" xfId="9" applyFont="1" applyFill="1" applyAlignment="1">
      <alignment vertical="center"/>
    </xf>
    <xf numFmtId="0" fontId="29" fillId="0" borderId="0" xfId="9" applyFont="1" applyAlignment="1">
      <alignment vertical="center"/>
    </xf>
    <xf numFmtId="0" fontId="35" fillId="8" borderId="72" xfId="9" applyFont="1" applyFill="1" applyBorder="1" applyAlignment="1">
      <alignment horizontal="center" vertical="center"/>
    </xf>
    <xf numFmtId="43" fontId="35" fillId="8" borderId="72" xfId="10" applyFont="1" applyFill="1" applyBorder="1" applyAlignment="1">
      <alignment horizontal="center" vertical="center"/>
    </xf>
    <xf numFmtId="4" fontId="35" fillId="8" borderId="72" xfId="9" applyNumberFormat="1" applyFont="1" applyFill="1" applyBorder="1" applyAlignment="1">
      <alignment horizontal="center" vertical="center"/>
    </xf>
    <xf numFmtId="0" fontId="35" fillId="8" borderId="72" xfId="9" applyFont="1" applyFill="1" applyBorder="1" applyAlignment="1">
      <alignment horizontal="center" vertical="center" wrapText="1"/>
    </xf>
    <xf numFmtId="0" fontId="32" fillId="0" borderId="0" xfId="9" applyFont="1" applyAlignment="1">
      <alignment horizontal="left" vertical="center" wrapText="1"/>
    </xf>
    <xf numFmtId="0" fontId="32" fillId="0" borderId="0" xfId="9" applyFont="1" applyAlignment="1">
      <alignment horizontal="center" vertical="center"/>
    </xf>
    <xf numFmtId="0" fontId="32" fillId="0" borderId="0" xfId="9" applyFont="1" applyAlignment="1">
      <alignment vertical="center"/>
    </xf>
    <xf numFmtId="22" fontId="30" fillId="0" borderId="72" xfId="9" applyNumberFormat="1" applyFont="1" applyBorder="1" applyAlignment="1">
      <alignment horizontal="center" vertical="center" wrapText="1"/>
    </xf>
    <xf numFmtId="0" fontId="59" fillId="0" borderId="72" xfId="9" applyFont="1" applyBorder="1" applyAlignment="1">
      <alignment horizontal="justify" vertical="center" wrapText="1"/>
    </xf>
    <xf numFmtId="0" fontId="30" fillId="0" borderId="72" xfId="9" applyFont="1" applyBorder="1" applyAlignment="1">
      <alignment horizontal="center" vertical="center" wrapText="1"/>
    </xf>
    <xf numFmtId="0" fontId="32" fillId="0" borderId="0" xfId="9" applyFont="1" applyAlignment="1">
      <alignment vertical="center" wrapText="1"/>
    </xf>
    <xf numFmtId="49" fontId="27" fillId="0" borderId="0" xfId="9" applyNumberFormat="1" applyFont="1" applyAlignment="1">
      <alignment horizontal="right" vertical="center"/>
    </xf>
    <xf numFmtId="1" fontId="27" fillId="0" borderId="0" xfId="9" applyNumberFormat="1" applyFont="1" applyAlignment="1">
      <alignment horizontal="right" vertical="center"/>
    </xf>
    <xf numFmtId="49" fontId="27" fillId="0" borderId="0" xfId="9" applyNumberFormat="1" applyFont="1" applyAlignment="1">
      <alignment horizontal="center" vertical="center"/>
    </xf>
    <xf numFmtId="1" fontId="27" fillId="0" borderId="0" xfId="9" applyNumberFormat="1" applyFont="1" applyAlignment="1">
      <alignment horizontal="center" vertical="center"/>
    </xf>
    <xf numFmtId="0" fontId="59" fillId="0" borderId="72" xfId="9" applyFont="1" applyBorder="1" applyAlignment="1">
      <alignment horizontal="center" vertical="center" wrapText="1"/>
    </xf>
    <xf numFmtId="22" fontId="29" fillId="0" borderId="0" xfId="9" applyNumberFormat="1" applyFont="1" applyAlignment="1">
      <alignment vertical="center"/>
    </xf>
    <xf numFmtId="0" fontId="29" fillId="0" borderId="0" xfId="9" applyFont="1" applyAlignment="1">
      <alignment horizontal="center" vertical="center"/>
    </xf>
    <xf numFmtId="0" fontId="31" fillId="8" borderId="23" xfId="0" applyNumberFormat="1" applyFont="1" applyFill="1" applyBorder="1" applyAlignment="1">
      <alignment horizontal="center"/>
    </xf>
    <xf numFmtId="43" fontId="61" fillId="0" borderId="78" xfId="1" applyFont="1" applyBorder="1" applyAlignment="1">
      <alignment vertical="center" wrapText="1"/>
    </xf>
    <xf numFmtId="0" fontId="61" fillId="0" borderId="78" xfId="0" applyFont="1" applyBorder="1" applyAlignment="1">
      <alignment vertical="center" wrapText="1"/>
    </xf>
    <xf numFmtId="4" fontId="13" fillId="0" borderId="78" xfId="0" applyNumberFormat="1" applyFont="1" applyBorder="1" applyAlignment="1">
      <alignment horizontal="center" vertical="center"/>
    </xf>
    <xf numFmtId="167" fontId="13" fillId="0" borderId="78" xfId="2" applyNumberFormat="1" applyFont="1" applyBorder="1" applyAlignment="1">
      <alignment horizontal="center" vertical="center"/>
    </xf>
    <xf numFmtId="176" fontId="21" fillId="0" borderId="0" xfId="2" quotePrefix="1" applyNumberFormat="1" applyFont="1" applyAlignment="1">
      <alignment horizontal="left" vertical="center"/>
    </xf>
    <xf numFmtId="174" fontId="0" fillId="0" borderId="0" xfId="0" applyNumberFormat="1" applyAlignment="1">
      <alignment horizontal="right"/>
    </xf>
    <xf numFmtId="43" fontId="64" fillId="0" borderId="0" xfId="1" applyFont="1"/>
    <xf numFmtId="43" fontId="64" fillId="0" borderId="0" xfId="1" applyFont="1" applyAlignment="1">
      <alignment vertical="center"/>
    </xf>
    <xf numFmtId="0" fontId="27" fillId="2" borderId="0" xfId="0" applyFont="1" applyFill="1" applyBorder="1" applyAlignment="1">
      <alignment vertical="center"/>
    </xf>
    <xf numFmtId="43" fontId="27" fillId="2" borderId="0" xfId="0" applyNumberFormat="1" applyFont="1" applyFill="1" applyBorder="1" applyAlignment="1">
      <alignment vertical="center"/>
    </xf>
    <xf numFmtId="167" fontId="32" fillId="2" borderId="0" xfId="2" applyNumberFormat="1" applyFont="1" applyFill="1" applyBorder="1" applyAlignment="1">
      <alignment vertical="center"/>
    </xf>
    <xf numFmtId="170" fontId="27" fillId="2" borderId="0" xfId="0" applyNumberFormat="1" applyFont="1" applyFill="1" applyBorder="1" applyAlignment="1">
      <alignment vertical="center"/>
    </xf>
    <xf numFmtId="49" fontId="43" fillId="0" borderId="0" xfId="0" applyNumberFormat="1" applyFont="1" applyAlignment="1">
      <alignment horizontal="center"/>
    </xf>
    <xf numFmtId="0" fontId="43" fillId="0" borderId="0" xfId="0" applyFont="1" applyAlignment="1">
      <alignment horizontal="center"/>
    </xf>
    <xf numFmtId="2" fontId="43" fillId="0" borderId="0" xfId="0" applyNumberFormat="1" applyFont="1"/>
    <xf numFmtId="10" fontId="43" fillId="0" borderId="0" xfId="2" applyNumberFormat="1" applyFont="1"/>
    <xf numFmtId="0" fontId="27" fillId="2" borderId="0" xfId="0" applyFont="1" applyFill="1" applyBorder="1" applyAlignment="1">
      <alignment vertical="center" wrapText="1"/>
    </xf>
    <xf numFmtId="2" fontId="64" fillId="0" borderId="0" xfId="0" applyNumberFormat="1" applyFont="1"/>
    <xf numFmtId="0" fontId="64" fillId="0" borderId="0" xfId="0" applyFont="1" applyAlignment="1">
      <alignment horizontal="center" vertical="center"/>
    </xf>
    <xf numFmtId="166" fontId="64" fillId="0" borderId="0" xfId="0" applyNumberFormat="1" applyFont="1" applyAlignment="1">
      <alignment vertical="center"/>
    </xf>
    <xf numFmtId="166" fontId="64" fillId="0" borderId="0" xfId="0" applyNumberFormat="1" applyFont="1" applyAlignment="1">
      <alignment horizontal="right" vertical="center"/>
    </xf>
    <xf numFmtId="166" fontId="64" fillId="0" borderId="0" xfId="7" applyNumberFormat="1" applyFont="1" applyAlignment="1">
      <alignment vertical="center"/>
    </xf>
    <xf numFmtId="0" fontId="0" fillId="0" borderId="0" xfId="0" applyFont="1" applyAlignment="1">
      <alignment horizontal="center" vertical="center"/>
    </xf>
    <xf numFmtId="0" fontId="80" fillId="0" borderId="151" xfId="0" applyFont="1" applyFill="1" applyBorder="1" applyAlignment="1">
      <alignment vertical="center" wrapText="1"/>
    </xf>
    <xf numFmtId="0" fontId="61" fillId="0" borderId="152" xfId="0" applyFont="1" applyFill="1" applyBorder="1" applyAlignment="1">
      <alignment horizontal="center" vertical="center"/>
    </xf>
    <xf numFmtId="4" fontId="61" fillId="0" borderId="153" xfId="0" applyNumberFormat="1" applyFont="1" applyFill="1" applyBorder="1" applyAlignment="1">
      <alignment horizontal="center" vertical="center"/>
    </xf>
    <xf numFmtId="0" fontId="35" fillId="8" borderId="0" xfId="0" quotePrefix="1" applyFont="1" applyFill="1" applyAlignment="1">
      <alignment horizontal="center" vertical="center" wrapText="1"/>
    </xf>
    <xf numFmtId="17" fontId="35" fillId="8" borderId="154" xfId="0" applyNumberFormat="1" applyFont="1" applyFill="1" applyBorder="1" applyAlignment="1">
      <alignment horizontal="center" vertical="center" wrapText="1"/>
    </xf>
    <xf numFmtId="169" fontId="35" fillId="8" borderId="154" xfId="0" applyNumberFormat="1" applyFont="1" applyFill="1" applyBorder="1" applyAlignment="1">
      <alignment horizontal="center" vertical="center" wrapText="1"/>
    </xf>
    <xf numFmtId="0" fontId="35" fillId="8" borderId="154" xfId="0" applyFont="1" applyFill="1" applyBorder="1" applyAlignment="1">
      <alignment horizontal="center" vertical="center" wrapText="1"/>
    </xf>
    <xf numFmtId="0" fontId="35" fillId="8" borderId="155" xfId="0" applyFont="1" applyFill="1" applyBorder="1" applyAlignment="1">
      <alignment horizontal="center" vertical="center" wrapText="1"/>
    </xf>
    <xf numFmtId="0" fontId="35" fillId="8" borderId="156" xfId="0" quotePrefix="1" applyFont="1" applyFill="1" applyBorder="1" applyAlignment="1">
      <alignment horizontal="left" vertical="center"/>
    </xf>
    <xf numFmtId="168" fontId="35" fillId="8" borderId="157" xfId="0" applyNumberFormat="1" applyFont="1" applyFill="1" applyBorder="1" applyAlignment="1">
      <alignment horizontal="right" vertical="center"/>
    </xf>
    <xf numFmtId="168" fontId="35" fillId="8" borderId="157" xfId="0" applyNumberFormat="1" applyFont="1" applyFill="1" applyBorder="1" applyAlignment="1">
      <alignment horizontal="left" vertical="center"/>
    </xf>
    <xf numFmtId="0" fontId="35" fillId="8" borderId="157" xfId="2" applyNumberFormat="1" applyFont="1" applyFill="1" applyBorder="1" applyAlignment="1">
      <alignment horizontal="left" vertical="center"/>
    </xf>
    <xf numFmtId="0" fontId="35" fillId="8" borderId="158" xfId="2" applyNumberFormat="1" applyFont="1" applyFill="1" applyBorder="1" applyAlignment="1">
      <alignment horizontal="center" vertical="center"/>
    </xf>
    <xf numFmtId="4" fontId="35" fillId="8" borderId="159" xfId="0" applyNumberFormat="1" applyFont="1" applyFill="1" applyBorder="1" applyAlignment="1">
      <alignment horizontal="center" vertical="center"/>
    </xf>
    <xf numFmtId="0" fontId="35" fillId="8" borderId="159" xfId="0" applyFont="1" applyFill="1" applyBorder="1" applyAlignment="1">
      <alignment horizontal="center" vertical="center"/>
    </xf>
    <xf numFmtId="0" fontId="59" fillId="2" borderId="159" xfId="0" quotePrefix="1" applyFont="1" applyFill="1" applyBorder="1" applyAlignment="1">
      <alignment vertical="center" wrapText="1"/>
    </xf>
    <xf numFmtId="168" fontId="30" fillId="2" borderId="159" xfId="0" applyNumberFormat="1" applyFont="1" applyFill="1" applyBorder="1" applyAlignment="1">
      <alignment horizontal="center" vertical="center" wrapText="1"/>
    </xf>
    <xf numFmtId="0" fontId="30" fillId="2" borderId="159" xfId="2" applyNumberFormat="1" applyFont="1" applyFill="1" applyBorder="1" applyAlignment="1">
      <alignment horizontal="center" vertical="center" wrapText="1"/>
    </xf>
    <xf numFmtId="2" fontId="30" fillId="2" borderId="159" xfId="2" applyNumberFormat="1" applyFont="1" applyFill="1" applyBorder="1" applyAlignment="1">
      <alignment horizontal="center" vertical="center" wrapText="1"/>
    </xf>
    <xf numFmtId="4" fontId="30" fillId="2" borderId="159" xfId="0" applyNumberFormat="1" applyFont="1" applyFill="1" applyBorder="1" applyAlignment="1">
      <alignment horizontal="center" vertical="center" wrapText="1"/>
    </xf>
    <xf numFmtId="0" fontId="30" fillId="2" borderId="159" xfId="0" applyFont="1" applyFill="1" applyBorder="1" applyAlignment="1">
      <alignment horizontal="center" vertical="center" wrapText="1"/>
    </xf>
    <xf numFmtId="0" fontId="29" fillId="0" borderId="0" xfId="0" applyFont="1" applyAlignment="1">
      <alignment horizontal="left" vertical="center"/>
    </xf>
    <xf numFmtId="0" fontId="0" fillId="0" borderId="0" xfId="0" applyFont="1" applyAlignment="1">
      <alignment vertical="center" wrapText="1"/>
    </xf>
    <xf numFmtId="0" fontId="84" fillId="0" borderId="0" xfId="0" applyFont="1" applyAlignment="1">
      <alignment vertical="center"/>
    </xf>
    <xf numFmtId="174" fontId="88" fillId="0" borderId="93" xfId="0" applyNumberFormat="1" applyFont="1" applyBorder="1"/>
    <xf numFmtId="174" fontId="88" fillId="11" borderId="93" xfId="0" applyNumberFormat="1" applyFont="1" applyFill="1" applyBorder="1"/>
    <xf numFmtId="0" fontId="4" fillId="0" borderId="0" xfId="0" applyFont="1" applyAlignment="1">
      <alignment horizontal="center" vertical="center" wrapText="1"/>
    </xf>
    <xf numFmtId="0" fontId="88" fillId="0" borderId="93" xfId="0" applyFont="1" applyBorder="1"/>
    <xf numFmtId="0" fontId="12" fillId="0" borderId="0" xfId="0" applyFont="1" applyAlignment="1">
      <alignment horizontal="center" vertical="center"/>
    </xf>
    <xf numFmtId="0" fontId="87" fillId="0" borderId="0" xfId="0" applyFont="1" applyAlignment="1">
      <alignment horizontal="justify" vertical="center" wrapText="1" readingOrder="1"/>
    </xf>
    <xf numFmtId="0" fontId="8" fillId="0" borderId="0" xfId="0" applyFont="1" applyAlignment="1">
      <alignment horizontal="justify" vertical="center" wrapText="1" readingOrder="1"/>
    </xf>
    <xf numFmtId="0" fontId="25" fillId="0" borderId="0" xfId="0" applyFont="1" applyAlignment="1">
      <alignment horizontal="center" vertical="center"/>
    </xf>
    <xf numFmtId="0" fontId="23" fillId="0" borderId="0" xfId="0" applyFont="1" applyAlignment="1">
      <alignment horizontal="left" vertical="center"/>
    </xf>
    <xf numFmtId="0" fontId="5" fillId="0" borderId="0" xfId="0" applyFont="1" applyAlignment="1">
      <alignment horizontal="right" vertical="center"/>
    </xf>
    <xf numFmtId="0" fontId="5" fillId="0" borderId="0" xfId="0" applyFont="1" applyAlignment="1">
      <alignment horizontal="center" vertical="center"/>
    </xf>
    <xf numFmtId="17" fontId="15" fillId="0" borderId="0" xfId="0" quotePrefix="1" applyNumberFormat="1" applyFont="1" applyAlignment="1">
      <alignment horizontal="center" vertical="center"/>
    </xf>
    <xf numFmtId="0" fontId="8" fillId="0" borderId="0" xfId="0" applyFont="1" applyAlignment="1">
      <alignment horizontal="justify" vertical="justify" wrapText="1" readingOrder="1"/>
    </xf>
    <xf numFmtId="0" fontId="8" fillId="0" borderId="0" xfId="0" applyFont="1" applyAlignment="1">
      <alignment horizontal="justify" vertical="justify" wrapText="1"/>
    </xf>
    <xf numFmtId="17" fontId="25" fillId="0" borderId="0" xfId="0" quotePrefix="1" applyNumberFormat="1" applyFont="1" applyAlignment="1">
      <alignment horizontal="center" vertical="center"/>
    </xf>
    <xf numFmtId="0" fontId="60" fillId="5" borderId="38" xfId="0" applyFont="1" applyFill="1" applyBorder="1" applyAlignment="1">
      <alignment horizontal="left" vertical="center"/>
    </xf>
    <xf numFmtId="0" fontId="60" fillId="5" borderId="40" xfId="0" applyFont="1" applyFill="1" applyBorder="1" applyAlignment="1">
      <alignment horizontal="left" vertical="center"/>
    </xf>
    <xf numFmtId="0" fontId="35" fillId="8" borderId="34" xfId="0" applyFont="1" applyFill="1" applyBorder="1" applyAlignment="1">
      <alignment horizontal="center" vertical="center" wrapText="1"/>
    </xf>
    <xf numFmtId="0" fontId="35" fillId="8" borderId="26" xfId="0" applyFont="1" applyFill="1" applyBorder="1" applyAlignment="1">
      <alignment horizontal="center" vertical="center" wrapText="1"/>
    </xf>
    <xf numFmtId="0" fontId="36" fillId="0" borderId="0" xfId="0" applyFont="1" applyAlignment="1">
      <alignment horizontal="left" wrapText="1"/>
    </xf>
    <xf numFmtId="0" fontId="12" fillId="2" borderId="0" xfId="0" applyFont="1" applyFill="1" applyAlignment="1">
      <alignment horizontal="center" vertical="center" wrapText="1"/>
    </xf>
    <xf numFmtId="0" fontId="60" fillId="5" borderId="27" xfId="0" applyFont="1" applyFill="1" applyBorder="1" applyAlignment="1">
      <alignment horizontal="left" vertical="center"/>
    </xf>
    <xf numFmtId="0" fontId="60" fillId="5" borderId="29" xfId="0" applyFont="1" applyFill="1" applyBorder="1" applyAlignment="1">
      <alignment horizontal="left" vertical="center"/>
    </xf>
    <xf numFmtId="0" fontId="60" fillId="2" borderId="30" xfId="0" applyFont="1" applyFill="1" applyBorder="1" applyAlignment="1">
      <alignment horizontal="left" vertical="center"/>
    </xf>
    <xf numFmtId="0" fontId="60" fillId="2" borderId="31" xfId="0" applyFont="1" applyFill="1" applyBorder="1" applyAlignment="1">
      <alignment horizontal="left" vertical="center"/>
    </xf>
    <xf numFmtId="0" fontId="60" fillId="5" borderId="30" xfId="0" applyFont="1" applyFill="1" applyBorder="1" applyAlignment="1">
      <alignment horizontal="left" vertical="center"/>
    </xf>
    <xf numFmtId="0" fontId="60" fillId="5" borderId="31" xfId="0" applyFont="1" applyFill="1" applyBorder="1" applyAlignment="1">
      <alignment horizontal="left" vertical="center"/>
    </xf>
    <xf numFmtId="0" fontId="60" fillId="2" borderId="32" xfId="0" applyFont="1" applyFill="1" applyBorder="1" applyAlignment="1">
      <alignment horizontal="left" vertical="center"/>
    </xf>
    <xf numFmtId="0" fontId="60" fillId="2" borderId="34" xfId="0" applyFont="1" applyFill="1" applyBorder="1" applyAlignment="1">
      <alignment horizontal="left" vertical="center"/>
    </xf>
    <xf numFmtId="0" fontId="61" fillId="2" borderId="0" xfId="0" quotePrefix="1" applyFont="1" applyFill="1" applyAlignment="1">
      <alignment horizontal="left" vertical="center"/>
    </xf>
    <xf numFmtId="0" fontId="61" fillId="2" borderId="0" xfId="0" quotePrefix="1" applyFont="1" applyFill="1" applyAlignment="1">
      <alignment horizontal="left" vertical="center" wrapText="1"/>
    </xf>
    <xf numFmtId="0" fontId="30" fillId="0" borderId="0" xfId="0" applyFont="1" applyAlignment="1">
      <alignment horizontal="justify" vertical="center" wrapText="1"/>
    </xf>
    <xf numFmtId="17" fontId="20" fillId="0" borderId="0" xfId="0" applyNumberFormat="1" applyFont="1" applyAlignment="1">
      <alignment horizontal="center" vertical="center"/>
    </xf>
    <xf numFmtId="0" fontId="20" fillId="0" borderId="0" xfId="0" applyFont="1" applyAlignment="1">
      <alignment horizontal="center" vertical="center"/>
    </xf>
    <xf numFmtId="0" fontId="2" fillId="8" borderId="17" xfId="0" quotePrefix="1" applyFont="1" applyFill="1" applyBorder="1" applyAlignment="1">
      <alignment horizontal="left" vertical="center" wrapText="1"/>
    </xf>
    <xf numFmtId="0" fontId="2" fillId="8" borderId="20" xfId="0" quotePrefix="1" applyFont="1" applyFill="1" applyBorder="1" applyAlignment="1">
      <alignment horizontal="left" vertical="center" wrapText="1"/>
    </xf>
    <xf numFmtId="0" fontId="12" fillId="0" borderId="0" xfId="0" applyFont="1" applyAlignment="1">
      <alignment horizontal="left" vertical="center"/>
    </xf>
    <xf numFmtId="0" fontId="4" fillId="0" borderId="0" xfId="0" quotePrefix="1" applyFont="1" applyAlignment="1">
      <alignment horizontal="left" vertical="center" wrapText="1"/>
    </xf>
    <xf numFmtId="43" fontId="2" fillId="8" borderId="18" xfId="1" applyFont="1" applyFill="1" applyBorder="1" applyAlignment="1">
      <alignment horizontal="center" vertical="center"/>
    </xf>
    <xf numFmtId="17" fontId="2" fillId="8" borderId="18" xfId="0" applyNumberFormat="1" applyFont="1" applyFill="1" applyBorder="1" applyAlignment="1">
      <alignment horizontal="center" vertical="center"/>
    </xf>
    <xf numFmtId="0" fontId="2" fillId="8" borderId="18" xfId="0" applyFont="1" applyFill="1" applyBorder="1" applyAlignment="1">
      <alignment horizontal="center" vertical="center"/>
    </xf>
    <xf numFmtId="0" fontId="2" fillId="8" borderId="19" xfId="0" applyFont="1" applyFill="1" applyBorder="1" applyAlignment="1">
      <alignment horizontal="center" vertical="center"/>
    </xf>
    <xf numFmtId="0" fontId="4" fillId="2" borderId="0" xfId="0" quotePrefix="1" applyFont="1" applyFill="1" applyAlignment="1">
      <alignment horizontal="left" vertical="top" wrapText="1"/>
    </xf>
    <xf numFmtId="43" fontId="2" fillId="8" borderId="23" xfId="1" applyFont="1" applyFill="1" applyBorder="1" applyAlignment="1">
      <alignment horizontal="center" vertical="center"/>
    </xf>
    <xf numFmtId="17" fontId="2" fillId="8" borderId="23" xfId="0" applyNumberFormat="1" applyFont="1" applyFill="1" applyBorder="1" applyAlignment="1">
      <alignment horizontal="center" vertical="center"/>
    </xf>
    <xf numFmtId="0" fontId="2" fillId="8" borderId="23" xfId="0" applyFont="1" applyFill="1" applyBorder="1" applyAlignment="1">
      <alignment horizontal="center" vertical="center"/>
    </xf>
    <xf numFmtId="0" fontId="2" fillId="8" borderId="23" xfId="0" quotePrefix="1" applyFont="1" applyFill="1" applyBorder="1" applyAlignment="1">
      <alignment horizontal="left" vertical="center" wrapText="1"/>
    </xf>
    <xf numFmtId="0" fontId="23" fillId="2" borderId="0" xfId="0" applyFont="1" applyFill="1" applyAlignment="1">
      <alignment horizontal="left" wrapText="1"/>
    </xf>
    <xf numFmtId="0" fontId="4" fillId="2" borderId="0" xfId="0" applyFont="1" applyFill="1" applyAlignment="1">
      <alignment horizontal="left" vertical="center" wrapText="1"/>
    </xf>
    <xf numFmtId="0" fontId="27" fillId="2" borderId="0" xfId="0" quotePrefix="1" applyFont="1" applyFill="1" applyAlignment="1">
      <alignment horizontal="justify" vertical="top" wrapText="1"/>
    </xf>
    <xf numFmtId="0" fontId="4" fillId="0" borderId="0" xfId="0" applyFont="1" applyAlignment="1">
      <alignment horizontal="left"/>
    </xf>
    <xf numFmtId="0" fontId="6" fillId="2" borderId="0" xfId="0" applyFont="1" applyFill="1" applyAlignment="1">
      <alignment horizontal="center"/>
    </xf>
    <xf numFmtId="0" fontId="0" fillId="2" borderId="0" xfId="0" quotePrefix="1" applyFill="1" applyAlignment="1">
      <alignment horizontal="left" vertical="top"/>
    </xf>
    <xf numFmtId="0" fontId="0" fillId="2" borderId="0" xfId="0" quotePrefix="1" applyFill="1" applyAlignment="1">
      <alignment horizontal="left" vertical="top" wrapText="1"/>
    </xf>
    <xf numFmtId="0" fontId="2" fillId="9" borderId="45" xfId="0" applyFont="1" applyFill="1" applyBorder="1" applyAlignment="1">
      <alignment horizontal="left" vertical="center"/>
    </xf>
    <xf numFmtId="43" fontId="2" fillId="8" borderId="45" xfId="1" applyFont="1" applyFill="1" applyBorder="1" applyAlignment="1">
      <alignment horizontal="center" vertical="center"/>
    </xf>
    <xf numFmtId="0" fontId="2" fillId="8" borderId="45" xfId="0" applyFont="1" applyFill="1" applyBorder="1" applyAlignment="1">
      <alignment horizontal="center" vertical="center"/>
    </xf>
    <xf numFmtId="0" fontId="21" fillId="2" borderId="0" xfId="0" applyFont="1" applyFill="1" applyAlignment="1">
      <alignment horizontal="center"/>
    </xf>
    <xf numFmtId="0" fontId="23" fillId="2" borderId="0" xfId="0" applyFont="1" applyFill="1" applyAlignment="1">
      <alignment horizontal="left" vertical="center" wrapText="1"/>
    </xf>
    <xf numFmtId="0" fontId="13" fillId="2" borderId="0" xfId="0" applyFont="1" applyFill="1" applyBorder="1" applyAlignment="1">
      <alignment horizontal="left" vertical="center" wrapText="1"/>
    </xf>
    <xf numFmtId="0" fontId="13" fillId="2" borderId="0" xfId="0" applyFont="1" applyFill="1" applyAlignment="1">
      <alignment horizontal="left" vertical="center"/>
    </xf>
    <xf numFmtId="0" fontId="13" fillId="2" borderId="0" xfId="0" applyFont="1" applyFill="1" applyAlignment="1">
      <alignment horizontal="left" vertical="center" wrapText="1"/>
    </xf>
    <xf numFmtId="0" fontId="27" fillId="2" borderId="0" xfId="0" quotePrefix="1" applyFont="1" applyFill="1" applyAlignment="1">
      <alignment horizontal="left" vertical="center" wrapText="1"/>
    </xf>
    <xf numFmtId="0" fontId="23" fillId="2" borderId="0" xfId="0" applyFont="1" applyFill="1" applyAlignment="1">
      <alignment horizontal="left" vertical="top" wrapText="1"/>
    </xf>
    <xf numFmtId="0" fontId="12" fillId="2" borderId="0" xfId="0" applyFont="1" applyFill="1" applyAlignment="1">
      <alignment horizontal="left" vertical="center"/>
    </xf>
    <xf numFmtId="0" fontId="4" fillId="2" borderId="0" xfId="0" quotePrefix="1" applyFont="1" applyFill="1" applyAlignment="1">
      <alignment horizontal="left" vertical="top"/>
    </xf>
    <xf numFmtId="43" fontId="31" fillId="8" borderId="23" xfId="1" applyFont="1" applyFill="1" applyBorder="1" applyAlignment="1">
      <alignment horizontal="center" vertical="center"/>
    </xf>
    <xf numFmtId="17" fontId="31" fillId="8" borderId="23" xfId="0" applyNumberFormat="1" applyFont="1" applyFill="1" applyBorder="1" applyAlignment="1">
      <alignment horizontal="center" vertical="center"/>
    </xf>
    <xf numFmtId="0" fontId="31" fillId="8" borderId="23" xfId="0" applyFont="1" applyFill="1" applyBorder="1" applyAlignment="1">
      <alignment horizontal="center" vertical="center"/>
    </xf>
    <xf numFmtId="167" fontId="31" fillId="8" borderId="23" xfId="2" applyNumberFormat="1" applyFont="1" applyFill="1" applyBorder="1" applyAlignment="1">
      <alignment horizontal="center" vertical="center" wrapText="1"/>
    </xf>
    <xf numFmtId="167" fontId="31" fillId="8" borderId="23" xfId="2" applyNumberFormat="1" applyFont="1" applyFill="1" applyBorder="1" applyAlignment="1">
      <alignment horizontal="center" vertical="center"/>
    </xf>
    <xf numFmtId="0" fontId="31" fillId="8" borderId="23" xfId="0" quotePrefix="1" applyFont="1" applyFill="1" applyBorder="1" applyAlignment="1">
      <alignment horizontal="left" vertical="center" wrapText="1"/>
    </xf>
    <xf numFmtId="0" fontId="13" fillId="2" borderId="0" xfId="0" quotePrefix="1" applyFont="1" applyFill="1" applyAlignment="1">
      <alignment horizontal="left" vertical="center" wrapText="1"/>
    </xf>
    <xf numFmtId="0" fontId="0" fillId="2" borderId="0" xfId="0" quotePrefix="1" applyFill="1" applyAlignment="1">
      <alignment horizontal="left" vertical="center" wrapText="1"/>
    </xf>
    <xf numFmtId="0" fontId="4" fillId="0" borderId="0" xfId="0" applyFont="1" applyAlignment="1">
      <alignment horizontal="left" vertical="center" wrapText="1"/>
    </xf>
    <xf numFmtId="0" fontId="2" fillId="9" borderId="57" xfId="0" applyFont="1" applyFill="1" applyBorder="1" applyAlignment="1">
      <alignment horizontal="center" vertical="center" wrapText="1"/>
    </xf>
    <xf numFmtId="0" fontId="2" fillId="9" borderId="59" xfId="0" applyFont="1" applyFill="1" applyBorder="1" applyAlignment="1">
      <alignment horizontal="center" vertical="center" wrapText="1"/>
    </xf>
    <xf numFmtId="43" fontId="2" fillId="8" borderId="57" xfId="1" applyFont="1" applyFill="1" applyBorder="1" applyAlignment="1">
      <alignment horizontal="center" vertical="center" wrapText="1"/>
    </xf>
    <xf numFmtId="0" fontId="2" fillId="8" borderId="57" xfId="0" applyFont="1" applyFill="1" applyBorder="1" applyAlignment="1">
      <alignment horizontal="center" vertical="center"/>
    </xf>
    <xf numFmtId="0" fontId="2" fillId="8" borderId="58" xfId="0" applyFont="1" applyFill="1" applyBorder="1" applyAlignment="1">
      <alignment horizontal="center" vertical="center"/>
    </xf>
    <xf numFmtId="0" fontId="21" fillId="2" borderId="0" xfId="0" applyFont="1" applyFill="1" applyAlignment="1">
      <alignment horizontal="center" vertical="top"/>
    </xf>
    <xf numFmtId="0" fontId="2" fillId="8" borderId="60" xfId="0" applyFont="1" applyFill="1" applyBorder="1" applyAlignment="1">
      <alignment horizontal="center" vertical="center"/>
    </xf>
    <xf numFmtId="0" fontId="4" fillId="2" borderId="0" xfId="0" applyFont="1" applyFill="1" applyAlignment="1">
      <alignment horizontal="left" vertical="center"/>
    </xf>
    <xf numFmtId="0" fontId="33" fillId="0" borderId="2" xfId="0" applyFont="1" applyBorder="1" applyAlignment="1">
      <alignment horizontal="left" vertical="center" wrapText="1"/>
    </xf>
    <xf numFmtId="0" fontId="4" fillId="2" borderId="0" xfId="0" applyFont="1" applyFill="1" applyAlignment="1">
      <alignment horizontal="center"/>
    </xf>
    <xf numFmtId="0" fontId="20" fillId="2" borderId="0" xfId="0" applyFont="1" applyFill="1" applyAlignment="1">
      <alignment horizontal="center" vertical="center" wrapText="1"/>
    </xf>
    <xf numFmtId="0" fontId="4" fillId="2" borderId="0" xfId="0" applyFont="1" applyFill="1" applyAlignment="1">
      <alignment horizontal="left"/>
    </xf>
    <xf numFmtId="0" fontId="23" fillId="2" borderId="0" xfId="0" applyFont="1" applyFill="1" applyAlignment="1">
      <alignment horizontal="left" vertical="center"/>
    </xf>
    <xf numFmtId="2" fontId="36" fillId="2" borderId="0" xfId="0" applyNumberFormat="1" applyFont="1" applyFill="1" applyAlignment="1">
      <alignment horizontal="left" vertical="center" wrapText="1"/>
    </xf>
    <xf numFmtId="2" fontId="36" fillId="2" borderId="0" xfId="0" applyNumberFormat="1" applyFont="1" applyFill="1" applyAlignment="1">
      <alignment horizontal="left" vertical="center"/>
    </xf>
    <xf numFmtId="2" fontId="36" fillId="2" borderId="95" xfId="0" applyNumberFormat="1" applyFont="1" applyFill="1" applyBorder="1" applyAlignment="1">
      <alignment horizontal="left" vertical="center" wrapText="1"/>
    </xf>
    <xf numFmtId="0" fontId="75" fillId="2" borderId="0" xfId="0" applyFont="1" applyFill="1" applyAlignment="1">
      <alignment horizontal="left" vertical="center"/>
    </xf>
    <xf numFmtId="43" fontId="61" fillId="0" borderId="78" xfId="1" applyFont="1" applyBorder="1" applyAlignment="1">
      <alignment horizontal="center" vertical="center" wrapText="1"/>
    </xf>
    <xf numFmtId="0" fontId="27" fillId="2" borderId="0" xfId="0" applyFont="1" applyFill="1" applyAlignment="1">
      <alignment horizontal="left" vertical="center" wrapText="1"/>
    </xf>
    <xf numFmtId="0" fontId="36" fillId="2" borderId="0" xfId="0" applyFont="1" applyFill="1" applyAlignment="1">
      <alignment wrapText="1"/>
    </xf>
    <xf numFmtId="0" fontId="37" fillId="2" borderId="0" xfId="0" quotePrefix="1" applyFont="1" applyFill="1" applyAlignment="1">
      <alignment horizontal="center" vertical="center" wrapText="1"/>
    </xf>
    <xf numFmtId="0" fontId="37" fillId="2" borderId="0" xfId="0" applyFont="1" applyFill="1" applyAlignment="1">
      <alignment horizontal="center"/>
    </xf>
    <xf numFmtId="0" fontId="36" fillId="2" borderId="0" xfId="0" applyFont="1" applyFill="1" applyAlignment="1">
      <alignment vertical="center" wrapText="1"/>
    </xf>
    <xf numFmtId="43" fontId="35" fillId="8" borderId="82" xfId="1" applyFont="1" applyFill="1" applyBorder="1" applyAlignment="1">
      <alignment horizontal="center" vertical="center" wrapText="1"/>
    </xf>
    <xf numFmtId="43" fontId="35" fillId="8" borderId="139" xfId="1" applyFont="1" applyFill="1" applyBorder="1" applyAlignment="1">
      <alignment horizontal="center" vertical="center" wrapText="1"/>
    </xf>
    <xf numFmtId="0" fontId="11" fillId="2" borderId="0" xfId="0" applyFont="1" applyFill="1" applyAlignment="1">
      <alignment horizontal="left" vertical="center" wrapText="1"/>
    </xf>
    <xf numFmtId="0" fontId="4" fillId="2" borderId="83" xfId="0" applyFont="1" applyFill="1" applyBorder="1" applyAlignment="1">
      <alignment horizontal="left" vertical="center"/>
    </xf>
    <xf numFmtId="0" fontId="36" fillId="2" borderId="0" xfId="0" quotePrefix="1" applyFont="1" applyFill="1" applyBorder="1" applyAlignment="1">
      <alignment horizontal="left"/>
    </xf>
    <xf numFmtId="0" fontId="27" fillId="0" borderId="0" xfId="0" applyFont="1" applyAlignment="1">
      <alignment horizontal="left" vertical="center" wrapText="1"/>
    </xf>
    <xf numFmtId="0" fontId="35" fillId="8" borderId="112" xfId="5" applyFont="1" applyFill="1" applyBorder="1" applyAlignment="1">
      <alignment horizontal="center" vertical="center"/>
    </xf>
    <xf numFmtId="0" fontId="35" fillId="8" borderId="114" xfId="5" applyFont="1" applyFill="1" applyBorder="1" applyAlignment="1">
      <alignment horizontal="center" vertical="center"/>
    </xf>
    <xf numFmtId="0" fontId="35" fillId="8" borderId="116" xfId="5" applyFont="1" applyFill="1" applyBorder="1" applyAlignment="1">
      <alignment horizontal="center" vertical="center"/>
    </xf>
    <xf numFmtId="0" fontId="35" fillId="8" borderId="85" xfId="5" applyFont="1" applyFill="1" applyBorder="1" applyAlignment="1">
      <alignment horizontal="center" vertical="center"/>
    </xf>
    <xf numFmtId="0" fontId="35" fillId="8" borderId="84" xfId="5" applyFont="1" applyFill="1" applyBorder="1" applyAlignment="1">
      <alignment horizontal="center" vertical="center"/>
    </xf>
    <xf numFmtId="0" fontId="35" fillId="8" borderId="88" xfId="5" applyFont="1" applyFill="1" applyBorder="1" applyAlignment="1">
      <alignment horizontal="center" vertical="center"/>
    </xf>
    <xf numFmtId="17" fontId="35" fillId="8" borderId="85" xfId="0" applyNumberFormat="1" applyFont="1" applyFill="1" applyBorder="1" applyAlignment="1">
      <alignment horizontal="center" vertical="center"/>
    </xf>
    <xf numFmtId="0" fontId="35" fillId="8" borderId="84" xfId="0" applyFont="1" applyFill="1" applyBorder="1" applyAlignment="1">
      <alignment horizontal="center" vertical="center"/>
    </xf>
    <xf numFmtId="0" fontId="35" fillId="8" borderId="44" xfId="5" applyFont="1" applyFill="1" applyBorder="1" applyAlignment="1">
      <alignment horizontal="center" vertical="center" wrapText="1"/>
    </xf>
    <xf numFmtId="0" fontId="35" fillId="8" borderId="85" xfId="5" applyFont="1" applyFill="1" applyBorder="1" applyAlignment="1">
      <alignment horizontal="center" vertical="center" wrapText="1"/>
    </xf>
    <xf numFmtId="0" fontId="35" fillId="8" borderId="118" xfId="5" applyFont="1" applyFill="1" applyBorder="1" applyAlignment="1">
      <alignment horizontal="center" vertical="center"/>
    </xf>
    <xf numFmtId="0" fontId="35" fillId="8" borderId="44" xfId="5" applyFont="1" applyFill="1" applyBorder="1" applyAlignment="1">
      <alignment horizontal="center" vertical="center"/>
    </xf>
    <xf numFmtId="0" fontId="30" fillId="0" borderId="0" xfId="0" applyFont="1" applyAlignment="1">
      <alignment horizontal="left" vertical="center" wrapText="1"/>
    </xf>
    <xf numFmtId="0" fontId="30" fillId="0" borderId="0" xfId="0" applyFont="1" applyBorder="1" applyAlignment="1">
      <alignment horizontal="left" vertical="center" wrapText="1"/>
    </xf>
    <xf numFmtId="0" fontId="35" fillId="10" borderId="122" xfId="6" applyFont="1" applyFill="1" applyBorder="1" applyAlignment="1">
      <alignment horizontal="center" vertical="center"/>
    </xf>
    <xf numFmtId="0" fontId="35" fillId="10" borderId="124" xfId="6" applyFont="1" applyFill="1" applyBorder="1" applyAlignment="1">
      <alignment horizontal="center" vertical="center"/>
    </xf>
    <xf numFmtId="0" fontId="35" fillId="10" borderId="128" xfId="6" applyFont="1" applyFill="1" applyBorder="1" applyAlignment="1">
      <alignment horizontal="center" vertical="center"/>
    </xf>
    <xf numFmtId="0" fontId="35" fillId="10" borderId="92" xfId="6" applyFont="1" applyFill="1" applyBorder="1" applyAlignment="1">
      <alignment horizontal="center" vertical="center"/>
    </xf>
    <xf numFmtId="0" fontId="35" fillId="10" borderId="45" xfId="6" applyFont="1" applyFill="1" applyBorder="1" applyAlignment="1">
      <alignment horizontal="center" vertical="center"/>
    </xf>
    <xf numFmtId="0" fontId="35" fillId="10" borderId="129" xfId="6" applyFont="1" applyFill="1" applyBorder="1" applyAlignment="1">
      <alignment horizontal="center" vertical="center"/>
    </xf>
    <xf numFmtId="0" fontId="35" fillId="10" borderId="123" xfId="6" applyFont="1" applyFill="1" applyBorder="1" applyAlignment="1">
      <alignment horizontal="center" vertical="center"/>
    </xf>
    <xf numFmtId="0" fontId="35" fillId="10" borderId="131" xfId="6" applyFont="1" applyFill="1" applyBorder="1" applyAlignment="1">
      <alignment horizontal="center" vertical="center"/>
    </xf>
    <xf numFmtId="0" fontId="35" fillId="10" borderId="126" xfId="6" applyFont="1" applyFill="1" applyBorder="1" applyAlignment="1">
      <alignment horizontal="center" vertical="center"/>
    </xf>
    <xf numFmtId="0" fontId="35" fillId="10" borderId="18" xfId="6" applyFont="1" applyFill="1" applyBorder="1" applyAlignment="1">
      <alignment horizontal="center" vertical="center"/>
    </xf>
    <xf numFmtId="0" fontId="35" fillId="10" borderId="91" xfId="6" applyFont="1" applyFill="1" applyBorder="1" applyAlignment="1">
      <alignment horizontal="center" vertical="center"/>
    </xf>
    <xf numFmtId="0" fontId="35" fillId="10" borderId="132" xfId="6" applyFont="1" applyFill="1" applyBorder="1" applyAlignment="1">
      <alignment horizontal="center" vertical="center"/>
    </xf>
    <xf numFmtId="0" fontId="30" fillId="0" borderId="0" xfId="0" applyFont="1" applyAlignment="1">
      <alignment horizontal="left" vertical="center"/>
    </xf>
    <xf numFmtId="0" fontId="40" fillId="8" borderId="93" xfId="0" applyFont="1" applyFill="1" applyBorder="1" applyAlignment="1">
      <alignment horizontal="center" vertical="center"/>
    </xf>
    <xf numFmtId="174" fontId="40" fillId="8" borderId="93" xfId="0" applyNumberFormat="1" applyFont="1" applyFill="1" applyBorder="1" applyAlignment="1">
      <alignment horizontal="center"/>
    </xf>
  </cellXfs>
  <cellStyles count="11">
    <cellStyle name="Comma" xfId="1" builtinId="3"/>
    <cellStyle name="Currency" xfId="7" builtinId="4"/>
    <cellStyle name="Millares 2" xfId="10" xr:uid="{6056FAAB-A910-4673-96C4-279031F9CDE7}"/>
    <cellStyle name="Normal" xfId="0" builtinId="0"/>
    <cellStyle name="Normal 2" xfId="9" xr:uid="{BEC2926D-E6EB-46F3-9DB2-9578BC747F97}"/>
    <cellStyle name="Normal 394" xfId="5" xr:uid="{00000000-0005-0000-0000-000003000000}"/>
    <cellStyle name="Normal 395" xfId="6" xr:uid="{00000000-0005-0000-0000-000004000000}"/>
    <cellStyle name="Normal 398" xfId="8" xr:uid="{00000000-0005-0000-0000-000005000000}"/>
    <cellStyle name="Normal 96" xfId="4" xr:uid="{00000000-0005-0000-0000-000006000000}"/>
    <cellStyle name="Normal_Informe Semanal 52_2011 2" xfId="3" xr:uid="{00000000-0005-0000-0000-000007000000}"/>
    <cellStyle name="Percent" xfId="2" builtinId="5"/>
  </cellStyles>
  <dxfs count="2">
    <dxf>
      <font>
        <color rgb="FF9C0006"/>
      </font>
    </dxf>
    <dxf>
      <font>
        <color rgb="FF9C0006"/>
      </font>
    </dxf>
  </dxfs>
  <tableStyles count="0" defaultTableStyle="TableStyleMedium2" defaultPivotStyle="PivotStyleLight16"/>
  <colors>
    <mruColors>
      <color rgb="FF008FC8"/>
      <color rgb="FF0077A5"/>
      <color rgb="FFA7D7FF"/>
      <color rgb="FFC0E2FF"/>
      <color rgb="FFD7E2FF"/>
      <color rgb="FFABE2FF"/>
      <color rgb="FFB9EBFF"/>
      <color rgb="FF0DBAFF"/>
      <color rgb="FFA3A3A3"/>
      <color rgb="FF9B9B9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30.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3017529178630237E-2"/>
          <c:y val="0.21662474090665015"/>
          <c:w val="0.30372208039693654"/>
          <c:h val="0.53198128362328245"/>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926-494B-9694-5F8CDAC72D0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26-494B-9694-5F8CDAC72D0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926-494B-9694-5F8CDAC72D0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926-494B-9694-5F8CDAC72D0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926-494B-9694-5F8CDAC72D0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926-494B-9694-5F8CDAC72D0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926-494B-9694-5F8CDAC72D02}"/>
              </c:ext>
            </c:extLst>
          </c:dPt>
          <c:dLbls>
            <c:dLbl>
              <c:idx val="0"/>
              <c:layout>
                <c:manualLayout>
                  <c:x val="1.4942224561470383E-2"/>
                  <c:y val="2.166460568584834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926-494B-9694-5F8CDAC72D02}"/>
                </c:ext>
              </c:extLst>
            </c:dLbl>
            <c:dLbl>
              <c:idx val="1"/>
              <c:layout>
                <c:manualLayout>
                  <c:x val="-2.5138601279980816E-2"/>
                  <c:y val="3.3254440191043447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926-494B-9694-5F8CDAC72D02}"/>
                </c:ext>
              </c:extLst>
            </c:dLbl>
            <c:dLbl>
              <c:idx val="2"/>
              <c:layout>
                <c:manualLayout>
                  <c:x val="0.27651777005743106"/>
                  <c:y val="0.37047532542050371"/>
                </c:manualLayout>
              </c:layout>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Arial" panose="020B0604020202020204" pitchFamily="34" charset="0"/>
                      <a:ea typeface="+mn-ea"/>
                      <a:cs typeface="Arial" panose="020B0604020202020204" pitchFamily="34" charset="0"/>
                    </a:defRPr>
                  </a:pPr>
                  <a:endParaRPr lang="es-PE"/>
                </a:p>
              </c:txPr>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926-494B-9694-5F8CDAC72D02}"/>
                </c:ext>
              </c:extLst>
            </c:dLbl>
            <c:dLbl>
              <c:idx val="3"/>
              <c:layout>
                <c:manualLayout>
                  <c:x val="-5.7100113362448628E-2"/>
                  <c:y val="-3.9890286787892651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926-494B-9694-5F8CDAC72D02}"/>
                </c:ext>
              </c:extLst>
            </c:dLbl>
            <c:dLbl>
              <c:idx val="4"/>
              <c:layout>
                <c:manualLayout>
                  <c:x val="-3.3262798476447093E-2"/>
                  <c:y val="-9.960058427021713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926-494B-9694-5F8CDAC72D02}"/>
                </c:ext>
              </c:extLst>
            </c:dLbl>
            <c:dLbl>
              <c:idx val="5"/>
              <c:layout>
                <c:manualLayout>
                  <c:x val="5.421290431960829E-2"/>
                  <c:y val="-0.101414595313372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926-494B-9694-5F8CDAC72D02}"/>
                </c:ext>
              </c:extLst>
            </c:dLbl>
            <c:dLbl>
              <c:idx val="6"/>
              <c:layout>
                <c:manualLayout>
                  <c:x val="0.11914777673447828"/>
                  <c:y val="-4.814827976189118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926-494B-9694-5F8CDAC72D0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Resumen'!$O$23:$O$29</c:f>
              <c:numCache>
                <c:formatCode>0.00</c:formatCode>
                <c:ptCount val="7"/>
                <c:pt idx="0">
                  <c:v>2050.4873854824996</c:v>
                </c:pt>
                <c:pt idx="1">
                  <c:v>2087.9096773200004</c:v>
                </c:pt>
                <c:pt idx="2">
                  <c:v>8.6402158400000015</c:v>
                </c:pt>
                <c:pt idx="3">
                  <c:v>32.195152377499994</c:v>
                </c:pt>
                <c:pt idx="4">
                  <c:v>37.041886327499995</c:v>
                </c:pt>
                <c:pt idx="5">
                  <c:v>172.07044422999999</c:v>
                </c:pt>
                <c:pt idx="6">
                  <c:v>76.332032090000013</c:v>
                </c:pt>
              </c:numCache>
            </c:numRef>
          </c:val>
          <c:extLst>
            <c:ext xmlns:c16="http://schemas.microsoft.com/office/drawing/2014/chart" uri="{C3380CC4-5D6E-409C-BE32-E72D297353CC}">
              <c16:uniqueId val="{0000000E-3926-494B-9694-5F8CDAC72D0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2087.9096773200004</c:v>
                </c:pt>
              </c:numCache>
            </c:numRef>
          </c:val>
          <c:extLst>
            <c:ext xmlns:c16="http://schemas.microsoft.com/office/drawing/2014/chart" uri="{C3380CC4-5D6E-409C-BE32-E72D297353CC}">
              <c16:uniqueId val="{00000011-3926-494B-9694-5F8CDAC72D02}"/>
            </c:ext>
          </c:extLst>
        </c:ser>
        <c:ser>
          <c:idx val="2"/>
          <c:order val="2"/>
          <c:tx>
            <c:strRef>
              <c:f>'1. Resumen'!$N$25</c:f>
              <c:strCache>
                <c:ptCount val="1"/>
                <c:pt idx="0">
                  <c:v>Carbón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3-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8.6402158400000015</c:v>
                </c:pt>
              </c:numCache>
            </c:numRef>
          </c:val>
          <c:extLst>
            <c:ext xmlns:c16="http://schemas.microsoft.com/office/drawing/2014/chart" uri="{C3380CC4-5D6E-409C-BE32-E72D297353CC}">
              <c16:uniqueId val="{00000014-3926-494B-9694-5F8CDAC72D02}"/>
            </c:ext>
          </c:extLst>
        </c:ser>
        <c:ser>
          <c:idx val="3"/>
          <c:order val="3"/>
          <c:tx>
            <c:strRef>
              <c:f>'1. Resumen'!$N$26</c:f>
              <c:strCache>
                <c:ptCount val="1"/>
                <c:pt idx="0">
                  <c:v>Diesel2/Residual500/Residual 6</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3926-494B-9694-5F8CDAC72D0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32.195152377499994</c:v>
                </c:pt>
              </c:numCache>
            </c:numRef>
          </c:val>
          <c:extLst>
            <c:ext xmlns:c16="http://schemas.microsoft.com/office/drawing/2014/chart" uri="{C3380CC4-5D6E-409C-BE32-E72D297353CC}">
              <c16:uniqueId val="{00000017-3926-494B-9694-5F8CDAC72D02}"/>
            </c:ext>
          </c:extLst>
        </c:ser>
        <c:ser>
          <c:idx val="4"/>
          <c:order val="4"/>
          <c:tx>
            <c:strRef>
              <c:f>'1. Resumen'!$N$27</c:f>
              <c:strCache>
                <c:ptCount val="1"/>
                <c:pt idx="0">
                  <c:v>Bagazo / Biogás</c:v>
                </c:pt>
              </c:strCache>
            </c:strRef>
          </c:tx>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3926-494B-9694-5F8CDAC72D02}"/>
              </c:ext>
            </c:extLst>
          </c:dPt>
          <c:dLbls>
            <c:dLbl>
              <c:idx val="0"/>
              <c:layout>
                <c:manualLayout>
                  <c:x val="2.7985963329904041E-2"/>
                  <c:y val="-0.1505427120516218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9-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37.041886327499995</c:v>
                </c:pt>
              </c:numCache>
            </c:numRef>
          </c:val>
          <c:extLst>
            <c:ext xmlns:c16="http://schemas.microsoft.com/office/drawing/2014/chart" uri="{C3380CC4-5D6E-409C-BE32-E72D297353CC}">
              <c16:uniqueId val="{0000001A-3926-494B-9694-5F8CDAC72D02}"/>
            </c:ext>
          </c:extLst>
        </c:ser>
        <c:ser>
          <c:idx val="5"/>
          <c:order val="5"/>
          <c:tx>
            <c:strRef>
              <c:f>'1. Resumen'!$N$28</c:f>
              <c:strCache>
                <c:ptCount val="1"/>
                <c:pt idx="0">
                  <c:v>Eólico</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C-3926-494B-9694-5F8CDAC72D02}"/>
              </c:ext>
            </c:extLst>
          </c:dPt>
          <c:dLbls>
            <c:dLbl>
              <c:idx val="0"/>
              <c:layout>
                <c:manualLayout>
                  <c:x val="0.19016211696285543"/>
                  <c:y val="-0.1390137753490596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C-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172.07044422999999</c:v>
                </c:pt>
              </c:numCache>
            </c:numRef>
          </c:val>
          <c:extLst>
            <c:ext xmlns:c16="http://schemas.microsoft.com/office/drawing/2014/chart" uri="{C3380CC4-5D6E-409C-BE32-E72D297353CC}">
              <c16:uniqueId val="{0000001D-3926-494B-9694-5F8CDAC72D02}"/>
            </c:ext>
          </c:extLst>
        </c:ser>
        <c:ser>
          <c:idx val="6"/>
          <c:order val="6"/>
          <c:tx>
            <c:strRef>
              <c:f>'1. Resumen'!$N$29</c:f>
              <c:strCache>
                <c:ptCount val="1"/>
                <c:pt idx="0">
                  <c:v>Solar</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1F-3926-494B-9694-5F8CDAC72D02}"/>
              </c:ext>
            </c:extLst>
          </c:dPt>
          <c:dLbls>
            <c:dLbl>
              <c:idx val="0"/>
              <c:layout>
                <c:manualLayout>
                  <c:x val="0.27311658234329694"/>
                  <c:y val="-4.352239222073025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1F-3926-494B-9694-5F8CDAC72D0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76.332032090000013</c:v>
                </c:pt>
              </c:numCache>
            </c:numRef>
          </c:val>
          <c:extLst>
            <c:ext xmlns:c16="http://schemas.microsoft.com/office/drawing/2014/chart" uri="{C3380CC4-5D6E-409C-BE32-E72D297353CC}">
              <c16:uniqueId val="{00000020-3926-494B-9694-5F8CDAC72D0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5.9523765889803329E-3"/>
          <c:y val="0.87024426115094944"/>
          <c:w val="0.98548064638196187"/>
          <c:h val="0.1297294819925431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PE"/>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8.9922710535727243E-2"/>
          <c:y val="0.16211436059414794"/>
          <c:w val="0.8170087291370205"/>
          <c:h val="0.69222593635374485"/>
        </c:manualLayout>
      </c:layout>
      <c:barChart>
        <c:barDir val="col"/>
        <c:grouping val="clustered"/>
        <c:varyColors val="0"/>
        <c:ser>
          <c:idx val="0"/>
          <c:order val="0"/>
          <c:tx>
            <c:strRef>
              <c:f>'6. FP RER'!$O$5</c:f>
              <c:strCache>
                <c:ptCount val="1"/>
                <c:pt idx="0">
                  <c:v>Producción (GWh)</c:v>
                </c:pt>
              </c:strCache>
            </c:strRef>
          </c:tx>
          <c:spPr>
            <a:solidFill>
              <a:srgbClr val="6DA6D9"/>
            </a:solidFill>
          </c:spPr>
          <c:invertIfNegative val="0"/>
          <c:cat>
            <c:strRef>
              <c:f>'6. FP RER'!$L$36:$L$40</c:f>
              <c:strCache>
                <c:ptCount val="5"/>
                <c:pt idx="0">
                  <c:v>C.E. WAYRA I</c:v>
                </c:pt>
                <c:pt idx="1">
                  <c:v>C.E. TRES HERMANAS</c:v>
                </c:pt>
                <c:pt idx="2">
                  <c:v>C.E. CUPISNIQUE</c:v>
                </c:pt>
                <c:pt idx="3">
                  <c:v>C.E. MARCONA</c:v>
                </c:pt>
                <c:pt idx="4">
                  <c:v>C.E. TALARA</c:v>
                </c:pt>
              </c:strCache>
            </c:strRef>
          </c:cat>
          <c:val>
            <c:numRef>
              <c:f>'6. FP RER'!$O$36:$O$40</c:f>
              <c:numCache>
                <c:formatCode>0.00</c:formatCode>
                <c:ptCount val="5"/>
                <c:pt idx="0">
                  <c:v>60.965152247500001</c:v>
                </c:pt>
                <c:pt idx="1">
                  <c:v>51.6015576275</c:v>
                </c:pt>
                <c:pt idx="2">
                  <c:v>31.141574832499998</c:v>
                </c:pt>
                <c:pt idx="3">
                  <c:v>16.1636633</c:v>
                </c:pt>
                <c:pt idx="4">
                  <c:v>12.198496222499999</c:v>
                </c:pt>
              </c:numCache>
            </c:numRef>
          </c:val>
          <c:extLst>
            <c:ext xmlns:c16="http://schemas.microsoft.com/office/drawing/2014/chart" uri="{C3380CC4-5D6E-409C-BE32-E72D297353CC}">
              <c16:uniqueId val="{00000000-992C-4716-8A6B-C60C25F6D618}"/>
            </c:ext>
          </c:extLst>
        </c:ser>
        <c:dLbls>
          <c:showLegendKey val="0"/>
          <c:showVal val="0"/>
          <c:showCatName val="0"/>
          <c:showSerName val="0"/>
          <c:showPercent val="0"/>
          <c:showBubbleSize val="0"/>
        </c:dLbls>
        <c:gapWidth val="150"/>
        <c:axId val="869555200"/>
        <c:axId val="869557376"/>
      </c:barChart>
      <c:lineChart>
        <c:grouping val="standard"/>
        <c:varyColors val="0"/>
        <c:ser>
          <c:idx val="1"/>
          <c:order val="1"/>
          <c:tx>
            <c:strRef>
              <c:f>'6. FP RER'!$P$5</c:f>
              <c:strCache>
                <c:ptCount val="1"/>
                <c:pt idx="0">
                  <c:v>Factor de planta</c:v>
                </c:pt>
              </c:strCache>
            </c:strRef>
          </c:tx>
          <c:spPr>
            <a:ln w="12700">
              <a:solidFill>
                <a:schemeClr val="accent5">
                  <a:lumMod val="50000"/>
                </a:schemeClr>
              </a:solidFill>
            </a:ln>
          </c:spPr>
          <c:marker>
            <c:symbol val="diamond"/>
            <c:size val="8"/>
            <c:spPr>
              <a:solidFill>
                <a:srgbClr val="0070C0"/>
              </a:solidFill>
              <a:ln>
                <a:solidFill>
                  <a:schemeClr val="bg1"/>
                </a:solidFill>
              </a:ln>
            </c:spPr>
          </c:marker>
          <c:cat>
            <c:strRef>
              <c:f>'6. FP RER'!$L$36:$L$40</c:f>
              <c:strCache>
                <c:ptCount val="5"/>
                <c:pt idx="0">
                  <c:v>C.E. WAYRA I</c:v>
                </c:pt>
                <c:pt idx="1">
                  <c:v>C.E. TRES HERMANAS</c:v>
                </c:pt>
                <c:pt idx="2">
                  <c:v>C.E. CUPISNIQUE</c:v>
                </c:pt>
                <c:pt idx="3">
                  <c:v>C.E. MARCONA</c:v>
                </c:pt>
                <c:pt idx="4">
                  <c:v>C.E. TALARA</c:v>
                </c:pt>
              </c:strCache>
            </c:strRef>
          </c:cat>
          <c:val>
            <c:numRef>
              <c:f>'6. FP RER'!$P$36:$P$40</c:f>
              <c:numCache>
                <c:formatCode>0.00</c:formatCode>
                <c:ptCount val="5"/>
                <c:pt idx="0">
                  <c:v>0.6193681703311551</c:v>
                </c:pt>
                <c:pt idx="1">
                  <c:v>0.71391592686594829</c:v>
                </c:pt>
                <c:pt idx="2">
                  <c:v>0.50339092507548855</c:v>
                </c:pt>
                <c:pt idx="3">
                  <c:v>0.6789173093077957</c:v>
                </c:pt>
                <c:pt idx="4">
                  <c:v>0.53129709190046615</c:v>
                </c:pt>
              </c:numCache>
            </c:numRef>
          </c:val>
          <c:smooth val="0"/>
          <c:extLst>
            <c:ext xmlns:c16="http://schemas.microsoft.com/office/drawing/2014/chart" uri="{C3380CC4-5D6E-409C-BE32-E72D297353CC}">
              <c16:uniqueId val="{00000001-992C-4716-8A6B-C60C25F6D618}"/>
            </c:ext>
          </c:extLst>
        </c:ser>
        <c:dLbls>
          <c:showLegendKey val="0"/>
          <c:showVal val="0"/>
          <c:showCatName val="0"/>
          <c:showSerName val="0"/>
          <c:showPercent val="0"/>
          <c:showBubbleSize val="0"/>
        </c:dLbls>
        <c:marker val="1"/>
        <c:smooth val="0"/>
        <c:axId val="869565568"/>
        <c:axId val="869559296"/>
      </c:lineChart>
      <c:catAx>
        <c:axId val="86955520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869557376"/>
        <c:crosses val="autoZero"/>
        <c:auto val="1"/>
        <c:lblAlgn val="ctr"/>
        <c:lblOffset val="100"/>
        <c:noMultiLvlLbl val="0"/>
      </c:catAx>
      <c:valAx>
        <c:axId val="869557376"/>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8.6166638306803128E-3"/>
              <c:y val="2.0912216575499461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869555200"/>
        <c:crosses val="autoZero"/>
        <c:crossBetween val="between"/>
      </c:valAx>
      <c:valAx>
        <c:axId val="86955929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6107792797715521"/>
              <c:y val="1.6792462943913664E-2"/>
            </c:manualLayout>
          </c:layout>
          <c:overlay val="0"/>
        </c:title>
        <c:numFmt formatCode="0.00" sourceLinked="1"/>
        <c:majorTickMark val="out"/>
        <c:minorTickMark val="none"/>
        <c:tickLblPos val="nextTo"/>
        <c:txPr>
          <a:bodyPr/>
          <a:lstStyle/>
          <a:p>
            <a:pPr>
              <a:defRPr sz="700" b="1">
                <a:solidFill>
                  <a:srgbClr val="00729A"/>
                </a:solidFill>
                <a:latin typeface="Arial" panose="020B0604020202020204" pitchFamily="34" charset="0"/>
                <a:cs typeface="Arial" panose="020B0604020202020204" pitchFamily="34" charset="0"/>
              </a:defRPr>
            </a:pPr>
            <a:endParaRPr lang="es-PE"/>
          </a:p>
        </c:txPr>
        <c:crossAx val="869565568"/>
        <c:crosses val="max"/>
        <c:crossBetween val="between"/>
      </c:valAx>
      <c:catAx>
        <c:axId val="869565568"/>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EÓLICAS</a:t>
                </a:r>
              </a:p>
            </c:rich>
          </c:tx>
          <c:layout>
            <c:manualLayout>
              <c:xMode val="edge"/>
              <c:yMode val="edge"/>
              <c:x val="0.39128379159877441"/>
              <c:y val="1.6531596264144108E-2"/>
            </c:manualLayout>
          </c:layout>
          <c:overlay val="0"/>
        </c:title>
        <c:numFmt formatCode="General" sourceLinked="1"/>
        <c:majorTickMark val="out"/>
        <c:minorTickMark val="none"/>
        <c:tickLblPos val="nextTo"/>
        <c:crossAx val="869559296"/>
        <c:crosses val="autoZero"/>
        <c:auto val="1"/>
        <c:lblAlgn val="ctr"/>
        <c:lblOffset val="100"/>
        <c:noMultiLvlLbl val="0"/>
      </c:catAx>
    </c:plotArea>
    <c:legend>
      <c:legendPos val="r"/>
      <c:layout>
        <c:manualLayout>
          <c:xMode val="edge"/>
          <c:yMode val="edge"/>
          <c:x val="0.12349469274382696"/>
          <c:y val="0.12272220251116085"/>
          <c:w val="0.74158443997192824"/>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5.1136226354565349E-2"/>
          <c:y val="0.11937571023454374"/>
          <c:w val="0.88942191114999514"/>
          <c:h val="0.71535655053798686"/>
        </c:manualLayout>
      </c:layout>
      <c:barChart>
        <c:barDir val="col"/>
        <c:grouping val="clustered"/>
        <c:varyColors val="0"/>
        <c:ser>
          <c:idx val="0"/>
          <c:order val="0"/>
          <c:tx>
            <c:strRef>
              <c:f>'6. FP RER'!$O$5</c:f>
              <c:strCache>
                <c:ptCount val="1"/>
                <c:pt idx="0">
                  <c:v>Producción (GWh)</c:v>
                </c:pt>
              </c:strCache>
            </c:strRef>
          </c:tx>
          <c:spPr>
            <a:solidFill>
              <a:schemeClr val="accent4">
                <a:lumMod val="75000"/>
              </a:schemeClr>
            </a:solidFill>
          </c:spPr>
          <c:invertIfNegative val="0"/>
          <c:cat>
            <c:strRef>
              <c:f>'6. FP RER'!$L$41:$L$47</c:f>
              <c:strCache>
                <c:ptCount val="7"/>
                <c:pt idx="0">
                  <c:v>C.S. RUBI</c:v>
                </c:pt>
                <c:pt idx="1">
                  <c:v>C.S. INTIPAMPA</c:v>
                </c:pt>
                <c:pt idx="2">
                  <c:v>C.S. PANAMERICANA SOLAR</c:v>
                </c:pt>
                <c:pt idx="3">
                  <c:v>C.S. MOQUEGUA FV</c:v>
                </c:pt>
                <c:pt idx="4">
                  <c:v>C.S. TACNA SOLAR</c:v>
                </c:pt>
                <c:pt idx="5">
                  <c:v>C.S. MAJES SOLAR</c:v>
                </c:pt>
                <c:pt idx="6">
                  <c:v>C.S. REPARTICION</c:v>
                </c:pt>
              </c:strCache>
            </c:strRef>
          </c:cat>
          <c:val>
            <c:numRef>
              <c:f>'6. FP RER'!$O$41:$O$47</c:f>
              <c:numCache>
                <c:formatCode>0.00</c:formatCode>
                <c:ptCount val="7"/>
                <c:pt idx="0">
                  <c:v>43.315152380000001</c:v>
                </c:pt>
                <c:pt idx="1">
                  <c:v>10.5995061975</c:v>
                </c:pt>
                <c:pt idx="2">
                  <c:v>5.6694066100000002</c:v>
                </c:pt>
                <c:pt idx="3">
                  <c:v>4.7877358624999999</c:v>
                </c:pt>
                <c:pt idx="4">
                  <c:v>4.5691968475000007</c:v>
                </c:pt>
                <c:pt idx="5">
                  <c:v>3.7930264</c:v>
                </c:pt>
                <c:pt idx="6">
                  <c:v>3.5980077925000002</c:v>
                </c:pt>
              </c:numCache>
            </c:numRef>
          </c:val>
          <c:extLst>
            <c:ext xmlns:c16="http://schemas.microsoft.com/office/drawing/2014/chart" uri="{C3380CC4-5D6E-409C-BE32-E72D297353CC}">
              <c16:uniqueId val="{00000000-7A42-4F72-9BAA-B690DCEA941E}"/>
            </c:ext>
          </c:extLst>
        </c:ser>
        <c:dLbls>
          <c:showLegendKey val="0"/>
          <c:showVal val="0"/>
          <c:showCatName val="0"/>
          <c:showSerName val="0"/>
          <c:showPercent val="0"/>
          <c:showBubbleSize val="0"/>
        </c:dLbls>
        <c:gapWidth val="264"/>
        <c:axId val="869584256"/>
        <c:axId val="869590528"/>
      </c:barChart>
      <c:lineChart>
        <c:grouping val="standard"/>
        <c:varyColors val="0"/>
        <c:ser>
          <c:idx val="1"/>
          <c:order val="1"/>
          <c:tx>
            <c:strRef>
              <c:f>'6. FP RER'!$P$5</c:f>
              <c:strCache>
                <c:ptCount val="1"/>
                <c:pt idx="0">
                  <c:v>Factor de planta</c:v>
                </c:pt>
              </c:strCache>
            </c:strRef>
          </c:tx>
          <c:spPr>
            <a:ln w="15875">
              <a:solidFill>
                <a:srgbClr val="583B00"/>
              </a:solidFill>
            </a:ln>
          </c:spPr>
          <c:marker>
            <c:symbol val="diamond"/>
            <c:size val="6"/>
            <c:spPr>
              <a:solidFill>
                <a:srgbClr val="996633"/>
              </a:solidFill>
              <a:ln w="9525">
                <a:solidFill>
                  <a:schemeClr val="bg1"/>
                </a:solidFill>
              </a:ln>
            </c:spPr>
          </c:marker>
          <c:cat>
            <c:strRef>
              <c:f>'6. FP RER'!$L$41:$L$47</c:f>
              <c:strCache>
                <c:ptCount val="7"/>
                <c:pt idx="0">
                  <c:v>C.S. RUBI</c:v>
                </c:pt>
                <c:pt idx="1">
                  <c:v>C.S. INTIPAMPA</c:v>
                </c:pt>
                <c:pt idx="2">
                  <c:v>C.S. PANAMERICANA SOLAR</c:v>
                </c:pt>
                <c:pt idx="3">
                  <c:v>C.S. MOQUEGUA FV</c:v>
                </c:pt>
                <c:pt idx="4">
                  <c:v>C.S. TACNA SOLAR</c:v>
                </c:pt>
                <c:pt idx="5">
                  <c:v>C.S. MAJES SOLAR</c:v>
                </c:pt>
                <c:pt idx="6">
                  <c:v>C.S. REPARTICION</c:v>
                </c:pt>
              </c:strCache>
            </c:strRef>
          </c:cat>
          <c:val>
            <c:numRef>
              <c:f>'6. FP RER'!$P$41:$P$47</c:f>
              <c:numCache>
                <c:formatCode>0.00</c:formatCode>
                <c:ptCount val="7"/>
                <c:pt idx="0">
                  <c:v>0.40295743932262834</c:v>
                </c:pt>
                <c:pt idx="1">
                  <c:v>0.31986187954466444</c:v>
                </c:pt>
                <c:pt idx="2">
                  <c:v>0.38100850873655911</c:v>
                </c:pt>
                <c:pt idx="3">
                  <c:v>0.40219555296538978</c:v>
                </c:pt>
                <c:pt idx="4">
                  <c:v>0.30706968061155915</c:v>
                </c:pt>
                <c:pt idx="5">
                  <c:v>0.25490768817204301</c:v>
                </c:pt>
                <c:pt idx="6">
                  <c:v>0.24180159895833334</c:v>
                </c:pt>
              </c:numCache>
            </c:numRef>
          </c:val>
          <c:smooth val="0"/>
          <c:extLst>
            <c:ext xmlns:c16="http://schemas.microsoft.com/office/drawing/2014/chart" uri="{C3380CC4-5D6E-409C-BE32-E72D297353CC}">
              <c16:uniqueId val="{00000001-7A42-4F72-9BAA-B690DCEA941E}"/>
            </c:ext>
          </c:extLst>
        </c:ser>
        <c:dLbls>
          <c:showLegendKey val="0"/>
          <c:showVal val="0"/>
          <c:showCatName val="0"/>
          <c:showSerName val="0"/>
          <c:showPercent val="0"/>
          <c:showBubbleSize val="0"/>
        </c:dLbls>
        <c:marker val="1"/>
        <c:smooth val="0"/>
        <c:axId val="952436224"/>
        <c:axId val="869592448"/>
      </c:lineChart>
      <c:catAx>
        <c:axId val="869584256"/>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869590528"/>
        <c:crosses val="autoZero"/>
        <c:auto val="1"/>
        <c:lblAlgn val="ctr"/>
        <c:lblOffset val="100"/>
        <c:noMultiLvlLbl val="0"/>
      </c:catAx>
      <c:valAx>
        <c:axId val="869590528"/>
        <c:scaling>
          <c:orientation val="minMax"/>
        </c:scaling>
        <c:delete val="0"/>
        <c:axPos val="l"/>
        <c:majorGridlines>
          <c:spPr>
            <a:ln>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1.7912575742846954E-2"/>
              <c:y val="1.5509809628846696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869584256"/>
        <c:crosses val="autoZero"/>
        <c:crossBetween val="between"/>
      </c:valAx>
      <c:valAx>
        <c:axId val="869592448"/>
        <c:scaling>
          <c:orientation val="minMax"/>
          <c:max val="1.1000000000000001"/>
          <c:min val="0"/>
        </c:scaling>
        <c:delete val="0"/>
        <c:axPos val="r"/>
        <c:title>
          <c:tx>
            <c:rich>
              <a:bodyPr rot="0" vert="horz"/>
              <a:lstStyle/>
              <a:p>
                <a:pPr>
                  <a:defRPr sz="800"/>
                </a:pPr>
                <a:r>
                  <a:rPr lang="es-PA" sz="800"/>
                  <a:t>Factor de Planta</a:t>
                </a:r>
              </a:p>
            </c:rich>
          </c:tx>
          <c:layout>
            <c:manualLayout>
              <c:xMode val="edge"/>
              <c:yMode val="edge"/>
              <c:x val="0.86388359439446849"/>
              <c:y val="3.0837536947991497E-2"/>
            </c:manualLayout>
          </c:layout>
          <c:overlay val="0"/>
        </c:title>
        <c:numFmt formatCode="0.00" sourceLinked="1"/>
        <c:majorTickMark val="out"/>
        <c:minorTickMark val="none"/>
        <c:tickLblPos val="nextTo"/>
        <c:txPr>
          <a:bodyPr/>
          <a:lstStyle/>
          <a:p>
            <a:pPr>
              <a:defRPr sz="800" b="1">
                <a:solidFill>
                  <a:srgbClr val="8E6C00"/>
                </a:solidFill>
                <a:latin typeface="Arial" panose="020B0604020202020204" pitchFamily="34" charset="0"/>
                <a:cs typeface="Arial" panose="020B0604020202020204" pitchFamily="34" charset="0"/>
              </a:defRPr>
            </a:pPr>
            <a:endParaRPr lang="es-PE"/>
          </a:p>
        </c:txPr>
        <c:crossAx val="952436224"/>
        <c:crosses val="max"/>
        <c:crossBetween val="between"/>
      </c:valAx>
      <c:catAx>
        <c:axId val="952436224"/>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SOLARES</a:t>
                </a:r>
              </a:p>
            </c:rich>
          </c:tx>
          <c:layout>
            <c:manualLayout>
              <c:xMode val="edge"/>
              <c:yMode val="edge"/>
              <c:x val="0.41637251655312219"/>
              <c:y val="1.4159901309390965E-2"/>
            </c:manualLayout>
          </c:layout>
          <c:overlay val="0"/>
        </c:title>
        <c:numFmt formatCode="General" sourceLinked="1"/>
        <c:majorTickMark val="out"/>
        <c:minorTickMark val="none"/>
        <c:tickLblPos val="nextTo"/>
        <c:crossAx val="869592448"/>
        <c:crosses val="autoZero"/>
        <c:auto val="1"/>
        <c:lblAlgn val="ctr"/>
        <c:lblOffset val="100"/>
        <c:noMultiLvlLbl val="0"/>
      </c:catAx>
    </c:plotArea>
    <c:legend>
      <c:legendPos val="r"/>
      <c:layout>
        <c:manualLayout>
          <c:xMode val="edge"/>
          <c:yMode val="edge"/>
          <c:x val="0.18940872276550574"/>
          <c:y val="0.13351388657970101"/>
          <c:w val="0.68604916188755094"/>
          <c:h val="8.1723030889469792E-2"/>
        </c:manualLayout>
      </c:layout>
      <c:overlay val="0"/>
      <c:spPr>
        <a:solidFill>
          <a:schemeClr val="bg1"/>
        </a:solid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noFill/>
    <a:ln>
      <a:noFill/>
    </a:ln>
  </c:spPr>
  <c:printSettings>
    <c:headerFooter>
      <c:oddHeader>&amp;R&amp;7Informe de la Operación Mensual - Diciembre 2018
INFSGI-MES-12-2018
15/01/2019
Versión: 01</c:oddHeader>
    </c:headerFooter>
    <c:pageMargins b="0.75" l="0.7" r="0.7" t="0.75" header="0.3" footer="0.3"/>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6.9629279428704269E-2"/>
          <c:y val="0.16862839298582752"/>
          <c:w val="0.81927235019550793"/>
          <c:h val="0.66501303329537842"/>
        </c:manualLayout>
      </c:layout>
      <c:barChart>
        <c:barDir val="col"/>
        <c:grouping val="clustered"/>
        <c:varyColors val="0"/>
        <c:ser>
          <c:idx val="0"/>
          <c:order val="0"/>
          <c:tx>
            <c:strRef>
              <c:f>'6. FP RER'!$O$5</c:f>
              <c:strCache>
                <c:ptCount val="1"/>
                <c:pt idx="0">
                  <c:v>Producción (GWh)</c:v>
                </c:pt>
              </c:strCache>
            </c:strRef>
          </c:tx>
          <c:spPr>
            <a:solidFill>
              <a:srgbClr val="C00000"/>
            </a:solidFill>
          </c:spPr>
          <c:invertIfNegative val="0"/>
          <c:cat>
            <c:strRef>
              <c:f>'6. FP RER'!$L$48:$L$52</c:f>
              <c:strCache>
                <c:ptCount val="5"/>
                <c:pt idx="0">
                  <c:v>C.T. PARAMONGA</c:v>
                </c:pt>
                <c:pt idx="1">
                  <c:v>C.T. HUAYCOLORO</c:v>
                </c:pt>
                <c:pt idx="2">
                  <c:v>C.T. DOÑA CATALINA</c:v>
                </c:pt>
                <c:pt idx="3">
                  <c:v>C.T. CALLAO</c:v>
                </c:pt>
                <c:pt idx="4">
                  <c:v>C.T. LA GRINGA</c:v>
                </c:pt>
              </c:strCache>
            </c:strRef>
          </c:cat>
          <c:val>
            <c:numRef>
              <c:f>'6. FP RER'!$O$48:$O$52</c:f>
              <c:numCache>
                <c:formatCode>0.00</c:formatCode>
                <c:ptCount val="5"/>
                <c:pt idx="0">
                  <c:v>10.799415547500001</c:v>
                </c:pt>
                <c:pt idx="1">
                  <c:v>3.0109298474999999</c:v>
                </c:pt>
                <c:pt idx="2">
                  <c:v>1.5241010225</c:v>
                </c:pt>
                <c:pt idx="3">
                  <c:v>1.1631644225</c:v>
                </c:pt>
                <c:pt idx="4">
                  <c:v>0.89026911750000004</c:v>
                </c:pt>
              </c:numCache>
            </c:numRef>
          </c:val>
          <c:extLst>
            <c:ext xmlns:c16="http://schemas.microsoft.com/office/drawing/2014/chart" uri="{C3380CC4-5D6E-409C-BE32-E72D297353CC}">
              <c16:uniqueId val="{00000000-136E-4B27-873F-868D28563A1D}"/>
            </c:ext>
          </c:extLst>
        </c:ser>
        <c:dLbls>
          <c:showLegendKey val="0"/>
          <c:showVal val="0"/>
          <c:showCatName val="0"/>
          <c:showSerName val="0"/>
          <c:showPercent val="0"/>
          <c:showBubbleSize val="0"/>
        </c:dLbls>
        <c:gapWidth val="150"/>
        <c:axId val="952479744"/>
        <c:axId val="952481664"/>
      </c:barChart>
      <c:lineChart>
        <c:grouping val="standard"/>
        <c:varyColors val="0"/>
        <c:ser>
          <c:idx val="1"/>
          <c:order val="1"/>
          <c:tx>
            <c:strRef>
              <c:f>'6. FP RER'!$P$5</c:f>
              <c:strCache>
                <c:ptCount val="1"/>
                <c:pt idx="0">
                  <c:v>Factor de planta</c:v>
                </c:pt>
              </c:strCache>
            </c:strRef>
          </c:tx>
          <c:spPr>
            <a:ln w="12700">
              <a:solidFill>
                <a:schemeClr val="tx2"/>
              </a:solidFill>
            </a:ln>
          </c:spPr>
          <c:marker>
            <c:symbol val="diamond"/>
            <c:size val="8"/>
            <c:spPr>
              <a:solidFill>
                <a:schemeClr val="accent6">
                  <a:lumMod val="50000"/>
                </a:schemeClr>
              </a:solidFill>
              <a:ln>
                <a:solidFill>
                  <a:schemeClr val="bg1"/>
                </a:solidFill>
              </a:ln>
            </c:spPr>
          </c:marker>
          <c:cat>
            <c:strRef>
              <c:f>'6. FP RER'!$L$48:$L$51</c:f>
              <c:strCache>
                <c:ptCount val="4"/>
                <c:pt idx="0">
                  <c:v>C.T. PARAMONGA</c:v>
                </c:pt>
                <c:pt idx="1">
                  <c:v>C.T. HUAYCOLORO</c:v>
                </c:pt>
                <c:pt idx="2">
                  <c:v>C.T. DOÑA CATALINA</c:v>
                </c:pt>
                <c:pt idx="3">
                  <c:v>C.T. CALLAO</c:v>
                </c:pt>
              </c:strCache>
            </c:strRef>
          </c:cat>
          <c:val>
            <c:numRef>
              <c:f>'6. FP RER'!$P$48:$P$52</c:f>
              <c:numCache>
                <c:formatCode>0.00</c:formatCode>
                <c:ptCount val="5"/>
                <c:pt idx="0">
                  <c:v>1</c:v>
                </c:pt>
                <c:pt idx="1">
                  <c:v>0.94943078469397402</c:v>
                </c:pt>
                <c:pt idx="2">
                  <c:v>0.85355119987679218</c:v>
                </c:pt>
                <c:pt idx="3">
                  <c:v>0.65141376708109322</c:v>
                </c:pt>
                <c:pt idx="4">
                  <c:v>0.40511841968029166</c:v>
                </c:pt>
              </c:numCache>
            </c:numRef>
          </c:val>
          <c:smooth val="0"/>
          <c:extLst>
            <c:ext xmlns:c16="http://schemas.microsoft.com/office/drawing/2014/chart" uri="{C3380CC4-5D6E-409C-BE32-E72D297353CC}">
              <c16:uniqueId val="{00000001-136E-4B27-873F-868D28563A1D}"/>
            </c:ext>
          </c:extLst>
        </c:ser>
        <c:dLbls>
          <c:showLegendKey val="0"/>
          <c:showVal val="0"/>
          <c:showCatName val="0"/>
          <c:showSerName val="0"/>
          <c:showPercent val="0"/>
          <c:showBubbleSize val="0"/>
        </c:dLbls>
        <c:marker val="1"/>
        <c:smooth val="0"/>
        <c:axId val="952489856"/>
        <c:axId val="952487936"/>
      </c:lineChart>
      <c:catAx>
        <c:axId val="952479744"/>
        <c:scaling>
          <c:orientation val="minMax"/>
        </c:scaling>
        <c:delete val="0"/>
        <c:axPos val="b"/>
        <c:numFmt formatCode="General" sourceLinked="1"/>
        <c:majorTickMark val="out"/>
        <c:minorTickMark val="none"/>
        <c:tickLblPos val="nextTo"/>
        <c:txPr>
          <a:bodyPr rot="-900000" vert="horz"/>
          <a:lstStyle/>
          <a:p>
            <a:pPr>
              <a:defRPr sz="600">
                <a:latin typeface="Arial" panose="020B0604020202020204" pitchFamily="34" charset="0"/>
                <a:cs typeface="Arial" panose="020B0604020202020204" pitchFamily="34" charset="0"/>
              </a:defRPr>
            </a:pPr>
            <a:endParaRPr lang="es-PE"/>
          </a:p>
        </c:txPr>
        <c:crossAx val="952481664"/>
        <c:crosses val="autoZero"/>
        <c:auto val="1"/>
        <c:lblAlgn val="ctr"/>
        <c:lblOffset val="100"/>
        <c:noMultiLvlLbl val="0"/>
      </c:catAx>
      <c:valAx>
        <c:axId val="952481664"/>
        <c:scaling>
          <c:orientation val="minMax"/>
        </c:scaling>
        <c:delete val="0"/>
        <c:axPos val="l"/>
        <c:majorGridlines>
          <c:spPr>
            <a:ln>
              <a:solidFill>
                <a:schemeClr val="bg1">
                  <a:lumMod val="65000"/>
                </a:schemeClr>
              </a:solidFill>
              <a:prstDash val="dash"/>
            </a:ln>
          </c:spPr>
        </c:majorGridlines>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GWh</a:t>
                </a:r>
              </a:p>
            </c:rich>
          </c:tx>
          <c:layout>
            <c:manualLayout>
              <c:xMode val="edge"/>
              <c:yMode val="edge"/>
              <c:x val="4.3316253188149662E-5"/>
              <c:y val="3.2337779497474503E-2"/>
            </c:manualLayout>
          </c:layout>
          <c:overlay val="0"/>
        </c:title>
        <c:numFmt formatCode="0.0" sourceLinked="0"/>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952479744"/>
        <c:crosses val="autoZero"/>
        <c:crossBetween val="between"/>
      </c:valAx>
      <c:valAx>
        <c:axId val="952487936"/>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 de Planta</a:t>
                </a:r>
              </a:p>
            </c:rich>
          </c:tx>
          <c:layout>
            <c:manualLayout>
              <c:xMode val="edge"/>
              <c:yMode val="edge"/>
              <c:x val="0.81381937081662914"/>
              <c:y val="4.6253393152950475E-2"/>
            </c:manualLayout>
          </c:layout>
          <c:overlay val="0"/>
        </c:title>
        <c:numFmt formatCode="0.00" sourceLinked="1"/>
        <c:majorTickMark val="out"/>
        <c:minorTickMark val="none"/>
        <c:tickLblPos val="nextTo"/>
        <c:txPr>
          <a:bodyPr/>
          <a:lstStyle/>
          <a:p>
            <a:pPr>
              <a:defRPr sz="700" b="1">
                <a:solidFill>
                  <a:srgbClr val="C00000"/>
                </a:solidFill>
                <a:latin typeface="Arial" panose="020B0604020202020204" pitchFamily="34" charset="0"/>
                <a:cs typeface="Arial" panose="020B0604020202020204" pitchFamily="34" charset="0"/>
              </a:defRPr>
            </a:pPr>
            <a:endParaRPr lang="es-PE"/>
          </a:p>
        </c:txPr>
        <c:crossAx val="952489856"/>
        <c:crosses val="max"/>
        <c:crossBetween val="between"/>
      </c:valAx>
      <c:catAx>
        <c:axId val="95248985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TERMOELÉCTRICAS</a:t>
                </a:r>
              </a:p>
            </c:rich>
          </c:tx>
          <c:layout>
            <c:manualLayout>
              <c:xMode val="edge"/>
              <c:yMode val="edge"/>
              <c:x val="0.15648830409458397"/>
              <c:y val="1.3569528608466211E-2"/>
            </c:manualLayout>
          </c:layout>
          <c:overlay val="0"/>
        </c:title>
        <c:numFmt formatCode="General" sourceLinked="1"/>
        <c:majorTickMark val="out"/>
        <c:minorTickMark val="none"/>
        <c:tickLblPos val="nextTo"/>
        <c:crossAx val="952487936"/>
        <c:crosses val="autoZero"/>
        <c:auto val="1"/>
        <c:lblAlgn val="ctr"/>
        <c:lblOffset val="100"/>
        <c:noMultiLvlLbl val="0"/>
      </c:catAx>
    </c:plotArea>
    <c:legend>
      <c:legendPos val="r"/>
      <c:layout>
        <c:manualLayout>
          <c:xMode val="edge"/>
          <c:yMode val="edge"/>
          <c:x val="0.13960279666467945"/>
          <c:y val="0.12439227312960172"/>
          <c:w val="0.64277515901919891"/>
          <c:h val="8.1723030889469792E-2"/>
        </c:manualLayout>
      </c:layout>
      <c:overlay val="0"/>
      <c:spPr>
        <a:solidFill>
          <a:schemeClr val="bg1"/>
        </a:solidFill>
      </c:spPr>
      <c:txPr>
        <a:bodyPr/>
        <a:lstStyle/>
        <a:p>
          <a:pPr>
            <a:defRPr sz="6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Enero 2020
INFSGI-MES-01-2020
10/02/2020
Versión: 01</c:oddHeader>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3.8925506466173806E-2"/>
          <c:y val="0.13171494306901146"/>
          <c:w val="0.92424727089955627"/>
          <c:h val="0.35757584321786989"/>
        </c:manualLayout>
      </c:layout>
      <c:barChart>
        <c:barDir val="col"/>
        <c:grouping val="clustered"/>
        <c:varyColors val="0"/>
        <c:ser>
          <c:idx val="1"/>
          <c:order val="0"/>
          <c:tx>
            <c:strRef>
              <c:f>'6. FP RER'!$U$5</c:f>
              <c:strCache>
                <c:ptCount val="1"/>
                <c:pt idx="0">
                  <c:v>2020</c:v>
                </c:pt>
              </c:strCache>
            </c:strRef>
          </c:tx>
          <c:spPr>
            <a:solidFill>
              <a:srgbClr val="0077A5"/>
            </a:solidFill>
          </c:spPr>
          <c:invertIfNegative val="0"/>
          <c:cat>
            <c:multiLvlStrRef>
              <c:f>'6. FP RER'!$S$6:$T$52</c:f>
              <c:multiLvlStrCache>
                <c:ptCount val="47"/>
                <c:lvl>
                  <c:pt idx="0">
                    <c:v>C.H. YARUCAYA</c:v>
                  </c:pt>
                  <c:pt idx="1">
                    <c:v>C.H. RENOVANDES H1</c:v>
                  </c:pt>
                  <c:pt idx="2">
                    <c:v>C.H. CARHUAQUERO IV</c:v>
                  </c:pt>
                  <c:pt idx="3">
                    <c:v>C.H. CHANCAY</c:v>
                  </c:pt>
                  <c:pt idx="4">
                    <c:v>C.H. LA JOYA</c:v>
                  </c:pt>
                  <c:pt idx="5">
                    <c:v>C.H. RUCUY</c:v>
                  </c:pt>
                  <c:pt idx="6">
                    <c:v>C.H. CAÑA BRAVA</c:v>
                  </c:pt>
                  <c:pt idx="7">
                    <c:v>C.H. YANAPAMPA</c:v>
                  </c:pt>
                  <c:pt idx="8">
                    <c:v>C.H. IMPERIAL</c:v>
                  </c:pt>
                  <c:pt idx="9">
                    <c:v>C.H. ZAÑA</c:v>
                  </c:pt>
                  <c:pt idx="10">
                    <c:v>C.H. RUNATULLO III</c:v>
                  </c:pt>
                  <c:pt idx="11">
                    <c:v>C.H. ÁNGEL II</c:v>
                  </c:pt>
                  <c:pt idx="12">
                    <c:v>C.H. HER 1</c:v>
                  </c:pt>
                  <c:pt idx="13">
                    <c:v>C.H. CANCHAYLLO</c:v>
                  </c:pt>
                  <c:pt idx="14">
                    <c:v>C.H. POECHOS II</c:v>
                  </c:pt>
                  <c:pt idx="15">
                    <c:v>C.H. HUASAHUASI I</c:v>
                  </c:pt>
                  <c:pt idx="16">
                    <c:v>C.H. HUASAHUASI II</c:v>
                  </c:pt>
                  <c:pt idx="17">
                    <c:v>C.H. ÁNGEL I</c:v>
                  </c:pt>
                  <c:pt idx="18">
                    <c:v>C.H. LAS PIZARRAS</c:v>
                  </c:pt>
                  <c:pt idx="19">
                    <c:v>C.H. CARHUAC</c:v>
                  </c:pt>
                  <c:pt idx="20">
                    <c:v>C.H. POTRERO</c:v>
                  </c:pt>
                  <c:pt idx="21">
                    <c:v>C.H. ÁNGEL III</c:v>
                  </c:pt>
                  <c:pt idx="22">
                    <c:v>C.H. 8 DE AGOSTO</c:v>
                  </c:pt>
                  <c:pt idx="23">
                    <c:v>C.H. RONCADOR</c:v>
                  </c:pt>
                  <c:pt idx="24">
                    <c:v>C.H. RUNATULLO II</c:v>
                  </c:pt>
                  <c:pt idx="25">
                    <c:v>C.H. SANTA CRUZ II</c:v>
                  </c:pt>
                  <c:pt idx="26">
                    <c:v>C.H. SANTA CRUZ I</c:v>
                  </c:pt>
                  <c:pt idx="27">
                    <c:v>C.H. MANTA</c:v>
                  </c:pt>
                  <c:pt idx="28">
                    <c:v>C.H. PURMACANA</c:v>
                  </c:pt>
                  <c:pt idx="29">
                    <c:v>C.H. EL CARMEN</c:v>
                  </c:pt>
                  <c:pt idx="30">
                    <c:v>C.E. MARCONA</c:v>
                  </c:pt>
                  <c:pt idx="31">
                    <c:v>C.E. TRES HERMANAS</c:v>
                  </c:pt>
                  <c:pt idx="32">
                    <c:v>C.E. WAYRA I</c:v>
                  </c:pt>
                  <c:pt idx="33">
                    <c:v>C.E. CUPISNIQUE</c:v>
                  </c:pt>
                  <c:pt idx="34">
                    <c:v>C.E. TALARA</c:v>
                  </c:pt>
                  <c:pt idx="35">
                    <c:v>C.S. RUBI</c:v>
                  </c:pt>
                  <c:pt idx="36">
                    <c:v>C.S. MOQUEGUA FV</c:v>
                  </c:pt>
                  <c:pt idx="37">
                    <c:v>C.S. PANAMERICANA SOLAR</c:v>
                  </c:pt>
                  <c:pt idx="38">
                    <c:v>C.S. TACNA SOLAR</c:v>
                  </c:pt>
                  <c:pt idx="39">
                    <c:v>C.S. INTIPAMPA</c:v>
                  </c:pt>
                  <c:pt idx="40">
                    <c:v>C.S. MAJES SOLAR</c:v>
                  </c:pt>
                  <c:pt idx="41">
                    <c:v>C.S. REPARTICION</c:v>
                  </c:pt>
                  <c:pt idx="42">
                    <c:v>C.T. PARAMONGA</c:v>
                  </c:pt>
                  <c:pt idx="43">
                    <c:v>C.T. CALLAO</c:v>
                  </c:pt>
                  <c:pt idx="44">
                    <c:v>C.T. LA GRINGA</c:v>
                  </c:pt>
                  <c:pt idx="45">
                    <c:v>C.T. HUAYCOLORO</c:v>
                  </c:pt>
                  <c:pt idx="46">
                    <c:v>C.T. DOÑA CATALINA</c:v>
                  </c:pt>
                </c:lvl>
                <c:lvl>
                  <c:pt idx="0">
                    <c:v>HIDROELÉCTRICAS</c:v>
                  </c:pt>
                  <c:pt idx="30">
                    <c:v>EÓLICAS</c:v>
                  </c:pt>
                  <c:pt idx="35">
                    <c:v>SOLARES</c:v>
                  </c:pt>
                  <c:pt idx="42">
                    <c:v>TERMOELÉCTRICAS</c:v>
                  </c:pt>
                </c:lvl>
              </c:multiLvlStrCache>
            </c:multiLvlStrRef>
          </c:cat>
          <c:val>
            <c:numRef>
              <c:f>'6. FP RER'!$U$6:$U$52</c:f>
              <c:numCache>
                <c:formatCode>0.000</c:formatCode>
                <c:ptCount val="47"/>
                <c:pt idx="0">
                  <c:v>1</c:v>
                </c:pt>
                <c:pt idx="1">
                  <c:v>1</c:v>
                </c:pt>
                <c:pt idx="2">
                  <c:v>1</c:v>
                </c:pt>
                <c:pt idx="3">
                  <c:v>1</c:v>
                </c:pt>
                <c:pt idx="4">
                  <c:v>1</c:v>
                </c:pt>
                <c:pt idx="5">
                  <c:v>0.9889730969376137</c:v>
                </c:pt>
                <c:pt idx="6">
                  <c:v>0.94709179689382361</c:v>
                </c:pt>
                <c:pt idx="7">
                  <c:v>0.94316085753800405</c:v>
                </c:pt>
                <c:pt idx="8">
                  <c:v>0.94231507979833062</c:v>
                </c:pt>
                <c:pt idx="9">
                  <c:v>0.90670235918784858</c:v>
                </c:pt>
                <c:pt idx="10">
                  <c:v>0.87418462541831132</c:v>
                </c:pt>
                <c:pt idx="11">
                  <c:v>0.86904108996764495</c:v>
                </c:pt>
                <c:pt idx="12">
                  <c:v>0.8488575242323706</c:v>
                </c:pt>
                <c:pt idx="13">
                  <c:v>0.84864612721109278</c:v>
                </c:pt>
                <c:pt idx="14">
                  <c:v>0.84216681355862644</c:v>
                </c:pt>
                <c:pt idx="15">
                  <c:v>0.84154284040895766</c:v>
                </c:pt>
                <c:pt idx="16">
                  <c:v>0.82941474549607097</c:v>
                </c:pt>
                <c:pt idx="17">
                  <c:v>0.81897365528752675</c:v>
                </c:pt>
                <c:pt idx="18">
                  <c:v>0.81841904570483703</c:v>
                </c:pt>
                <c:pt idx="19">
                  <c:v>0.7932040850979053</c:v>
                </c:pt>
                <c:pt idx="20">
                  <c:v>0.79110463110749563</c:v>
                </c:pt>
                <c:pt idx="21">
                  <c:v>0.77885978903742736</c:v>
                </c:pt>
                <c:pt idx="22">
                  <c:v>0.72877127025213306</c:v>
                </c:pt>
                <c:pt idx="23">
                  <c:v>0.72842793634062986</c:v>
                </c:pt>
                <c:pt idx="24">
                  <c:v>0.72474639342300951</c:v>
                </c:pt>
                <c:pt idx="25">
                  <c:v>0.68195964645750884</c:v>
                </c:pt>
                <c:pt idx="26">
                  <c:v>0.64893595071273324</c:v>
                </c:pt>
                <c:pt idx="27">
                  <c:v>0.22601705729166699</c:v>
                </c:pt>
                <c:pt idx="28">
                  <c:v>0.40013041539672217</c:v>
                </c:pt>
                <c:pt idx="29">
                  <c:v>0.25381798874035039</c:v>
                </c:pt>
                <c:pt idx="30">
                  <c:v>0.66262056886099718</c:v>
                </c:pt>
                <c:pt idx="31">
                  <c:v>0.64139962993000887</c:v>
                </c:pt>
                <c:pt idx="32">
                  <c:v>0.56362249615617344</c:v>
                </c:pt>
                <c:pt idx="33">
                  <c:v>0.55948622097028766</c:v>
                </c:pt>
                <c:pt idx="34">
                  <c:v>0.53002578992751215</c:v>
                </c:pt>
                <c:pt idx="35">
                  <c:v>0.36134814916539459</c:v>
                </c:pt>
                <c:pt idx="36">
                  <c:v>0.35790791036970626</c:v>
                </c:pt>
                <c:pt idx="37">
                  <c:v>0.32752805407559199</c:v>
                </c:pt>
                <c:pt idx="38">
                  <c:v>0.30024319783128417</c:v>
                </c:pt>
                <c:pt idx="39">
                  <c:v>0.27797867421876982</c:v>
                </c:pt>
                <c:pt idx="40">
                  <c:v>0.27488089480874317</c:v>
                </c:pt>
                <c:pt idx="41">
                  <c:v>0.26816351326275045</c:v>
                </c:pt>
                <c:pt idx="42">
                  <c:v>0.82154580656778597</c:v>
                </c:pt>
                <c:pt idx="43">
                  <c:v>0.96787145696271926</c:v>
                </c:pt>
                <c:pt idx="44">
                  <c:v>0.61187903976815716</c:v>
                </c:pt>
                <c:pt idx="45">
                  <c:v>0.60276067750482076</c:v>
                </c:pt>
                <c:pt idx="46">
                  <c:v>0.50426950041742569</c:v>
                </c:pt>
              </c:numCache>
            </c:numRef>
          </c:val>
          <c:extLst>
            <c:ext xmlns:c16="http://schemas.microsoft.com/office/drawing/2014/chart" uri="{C3380CC4-5D6E-409C-BE32-E72D297353CC}">
              <c16:uniqueId val="{00000000-85FF-4DF3-8743-548E0D4D72F7}"/>
            </c:ext>
          </c:extLst>
        </c:ser>
        <c:ser>
          <c:idx val="0"/>
          <c:order val="1"/>
          <c:tx>
            <c:strRef>
              <c:f>'6. FP RER'!$V$5</c:f>
              <c:strCache>
                <c:ptCount val="1"/>
                <c:pt idx="0">
                  <c:v>2019</c:v>
                </c:pt>
              </c:strCache>
            </c:strRef>
          </c:tx>
          <c:spPr>
            <a:solidFill>
              <a:schemeClr val="accent2"/>
            </a:solidFill>
          </c:spPr>
          <c:invertIfNegative val="0"/>
          <c:cat>
            <c:multiLvlStrRef>
              <c:f>'6. FP RER'!$S$6:$T$52</c:f>
              <c:multiLvlStrCache>
                <c:ptCount val="47"/>
                <c:lvl>
                  <c:pt idx="0">
                    <c:v>C.H. YARUCAYA</c:v>
                  </c:pt>
                  <c:pt idx="1">
                    <c:v>C.H. RENOVANDES H1</c:v>
                  </c:pt>
                  <c:pt idx="2">
                    <c:v>C.H. CARHUAQUERO IV</c:v>
                  </c:pt>
                  <c:pt idx="3">
                    <c:v>C.H. CHANCAY</c:v>
                  </c:pt>
                  <c:pt idx="4">
                    <c:v>C.H. LA JOYA</c:v>
                  </c:pt>
                  <c:pt idx="5">
                    <c:v>C.H. RUCUY</c:v>
                  </c:pt>
                  <c:pt idx="6">
                    <c:v>C.H. CAÑA BRAVA</c:v>
                  </c:pt>
                  <c:pt idx="7">
                    <c:v>C.H. YANAPAMPA</c:v>
                  </c:pt>
                  <c:pt idx="8">
                    <c:v>C.H. IMPERIAL</c:v>
                  </c:pt>
                  <c:pt idx="9">
                    <c:v>C.H. ZAÑA</c:v>
                  </c:pt>
                  <c:pt idx="10">
                    <c:v>C.H. RUNATULLO III</c:v>
                  </c:pt>
                  <c:pt idx="11">
                    <c:v>C.H. ÁNGEL II</c:v>
                  </c:pt>
                  <c:pt idx="12">
                    <c:v>C.H. HER 1</c:v>
                  </c:pt>
                  <c:pt idx="13">
                    <c:v>C.H. CANCHAYLLO</c:v>
                  </c:pt>
                  <c:pt idx="14">
                    <c:v>C.H. POECHOS II</c:v>
                  </c:pt>
                  <c:pt idx="15">
                    <c:v>C.H. HUASAHUASI I</c:v>
                  </c:pt>
                  <c:pt idx="16">
                    <c:v>C.H. HUASAHUASI II</c:v>
                  </c:pt>
                  <c:pt idx="17">
                    <c:v>C.H. ÁNGEL I</c:v>
                  </c:pt>
                  <c:pt idx="18">
                    <c:v>C.H. LAS PIZARRAS</c:v>
                  </c:pt>
                  <c:pt idx="19">
                    <c:v>C.H. CARHUAC</c:v>
                  </c:pt>
                  <c:pt idx="20">
                    <c:v>C.H. POTRERO</c:v>
                  </c:pt>
                  <c:pt idx="21">
                    <c:v>C.H. ÁNGEL III</c:v>
                  </c:pt>
                  <c:pt idx="22">
                    <c:v>C.H. 8 DE AGOSTO</c:v>
                  </c:pt>
                  <c:pt idx="23">
                    <c:v>C.H. RONCADOR</c:v>
                  </c:pt>
                  <c:pt idx="24">
                    <c:v>C.H. RUNATULLO II</c:v>
                  </c:pt>
                  <c:pt idx="25">
                    <c:v>C.H. SANTA CRUZ II</c:v>
                  </c:pt>
                  <c:pt idx="26">
                    <c:v>C.H. SANTA CRUZ I</c:v>
                  </c:pt>
                  <c:pt idx="27">
                    <c:v>C.H. MANTA</c:v>
                  </c:pt>
                  <c:pt idx="28">
                    <c:v>C.H. PURMACANA</c:v>
                  </c:pt>
                  <c:pt idx="29">
                    <c:v>C.H. EL CARMEN</c:v>
                  </c:pt>
                  <c:pt idx="30">
                    <c:v>C.E. MARCONA</c:v>
                  </c:pt>
                  <c:pt idx="31">
                    <c:v>C.E. TRES HERMANAS</c:v>
                  </c:pt>
                  <c:pt idx="32">
                    <c:v>C.E. WAYRA I</c:v>
                  </c:pt>
                  <c:pt idx="33">
                    <c:v>C.E. CUPISNIQUE</c:v>
                  </c:pt>
                  <c:pt idx="34">
                    <c:v>C.E. TALARA</c:v>
                  </c:pt>
                  <c:pt idx="35">
                    <c:v>C.S. RUBI</c:v>
                  </c:pt>
                  <c:pt idx="36">
                    <c:v>C.S. MOQUEGUA FV</c:v>
                  </c:pt>
                  <c:pt idx="37">
                    <c:v>C.S. PANAMERICANA SOLAR</c:v>
                  </c:pt>
                  <c:pt idx="38">
                    <c:v>C.S. TACNA SOLAR</c:v>
                  </c:pt>
                  <c:pt idx="39">
                    <c:v>C.S. INTIPAMPA</c:v>
                  </c:pt>
                  <c:pt idx="40">
                    <c:v>C.S. MAJES SOLAR</c:v>
                  </c:pt>
                  <c:pt idx="41">
                    <c:v>C.S. REPARTICION</c:v>
                  </c:pt>
                  <c:pt idx="42">
                    <c:v>C.T. PARAMONGA</c:v>
                  </c:pt>
                  <c:pt idx="43">
                    <c:v>C.T. CALLAO</c:v>
                  </c:pt>
                  <c:pt idx="44">
                    <c:v>C.T. LA GRINGA</c:v>
                  </c:pt>
                  <c:pt idx="45">
                    <c:v>C.T. HUAYCOLORO</c:v>
                  </c:pt>
                  <c:pt idx="46">
                    <c:v>C.T. DOÑA CATALINA</c:v>
                  </c:pt>
                </c:lvl>
                <c:lvl>
                  <c:pt idx="0">
                    <c:v>HIDROELÉCTRICAS</c:v>
                  </c:pt>
                  <c:pt idx="30">
                    <c:v>EÓLICAS</c:v>
                  </c:pt>
                  <c:pt idx="35">
                    <c:v>SOLARES</c:v>
                  </c:pt>
                  <c:pt idx="42">
                    <c:v>TERMOELÉCTRICAS</c:v>
                  </c:pt>
                </c:lvl>
              </c:multiLvlStrCache>
            </c:multiLvlStrRef>
          </c:cat>
          <c:val>
            <c:numRef>
              <c:f>'6. FP RER'!$V$6:$V$52</c:f>
              <c:numCache>
                <c:formatCode>0.000</c:formatCode>
                <c:ptCount val="47"/>
                <c:pt idx="0">
                  <c:v>1</c:v>
                </c:pt>
                <c:pt idx="1">
                  <c:v>0.91314932086423239</c:v>
                </c:pt>
                <c:pt idx="2">
                  <c:v>0.84200050427577666</c:v>
                </c:pt>
                <c:pt idx="4">
                  <c:v>0.80360317028630124</c:v>
                </c:pt>
                <c:pt idx="6">
                  <c:v>0.88157391461717372</c:v>
                </c:pt>
                <c:pt idx="7">
                  <c:v>0.71172597660887238</c:v>
                </c:pt>
                <c:pt idx="8">
                  <c:v>0.80171358060482389</c:v>
                </c:pt>
                <c:pt idx="9">
                  <c:v>0.77921907572792848</c:v>
                </c:pt>
                <c:pt idx="10">
                  <c:v>0.83796735349034412</c:v>
                </c:pt>
                <c:pt idx="11">
                  <c:v>0.50945329199963818</c:v>
                </c:pt>
                <c:pt idx="12">
                  <c:v>0.57291269567219161</c:v>
                </c:pt>
                <c:pt idx="13">
                  <c:v>0.71010240177283923</c:v>
                </c:pt>
                <c:pt idx="14">
                  <c:v>0.69370181273580955</c:v>
                </c:pt>
                <c:pt idx="15">
                  <c:v>0.76185422766450717</c:v>
                </c:pt>
                <c:pt idx="16">
                  <c:v>0.76981830413620589</c:v>
                </c:pt>
                <c:pt idx="17">
                  <c:v>0.46613436482586817</c:v>
                </c:pt>
                <c:pt idx="18">
                  <c:v>0.83286616076414288</c:v>
                </c:pt>
                <c:pt idx="19">
                  <c:v>0.67445903522099415</c:v>
                </c:pt>
                <c:pt idx="20">
                  <c:v>0.83884575160563435</c:v>
                </c:pt>
                <c:pt idx="21">
                  <c:v>0.50178003632656076</c:v>
                </c:pt>
                <c:pt idx="23">
                  <c:v>0.5722691557651195</c:v>
                </c:pt>
                <c:pt idx="24">
                  <c:v>0.69757106577948491</c:v>
                </c:pt>
                <c:pt idx="25">
                  <c:v>0.70686604352589955</c:v>
                </c:pt>
                <c:pt idx="26">
                  <c:v>0.70253064881991201</c:v>
                </c:pt>
                <c:pt idx="28">
                  <c:v>0.10902908671357751</c:v>
                </c:pt>
                <c:pt idx="30">
                  <c:v>0.55914264202420005</c:v>
                </c:pt>
                <c:pt idx="31">
                  <c:v>0.54720170909716037</c:v>
                </c:pt>
                <c:pt idx="32">
                  <c:v>0.47574337307155307</c:v>
                </c:pt>
                <c:pt idx="33">
                  <c:v>0.44701753976150832</c:v>
                </c:pt>
                <c:pt idx="34">
                  <c:v>0.38480913039670622</c:v>
                </c:pt>
                <c:pt idx="35">
                  <c:v>0.29603227328455739</c:v>
                </c:pt>
                <c:pt idx="36">
                  <c:v>0.30867903688996307</c:v>
                </c:pt>
                <c:pt idx="37">
                  <c:v>0.26827097269221922</c:v>
                </c:pt>
                <c:pt idx="38">
                  <c:v>0.26276105884553408</c:v>
                </c:pt>
                <c:pt idx="39">
                  <c:v>0.30867903688996307</c:v>
                </c:pt>
                <c:pt idx="40">
                  <c:v>0.24399783684392268</c:v>
                </c:pt>
                <c:pt idx="41">
                  <c:v>0.23503944406077346</c:v>
                </c:pt>
                <c:pt idx="42">
                  <c:v>0.80351072979564497</c:v>
                </c:pt>
                <c:pt idx="44">
                  <c:v>0.9016831376948955</c:v>
                </c:pt>
                <c:pt idx="45">
                  <c:v>0.56804366652282579</c:v>
                </c:pt>
                <c:pt idx="46">
                  <c:v>0.73220944645871766</c:v>
                </c:pt>
              </c:numCache>
            </c:numRef>
          </c:val>
          <c:extLst>
            <c:ext xmlns:c16="http://schemas.microsoft.com/office/drawing/2014/chart" uri="{C3380CC4-5D6E-409C-BE32-E72D297353CC}">
              <c16:uniqueId val="{00000001-85FF-4DF3-8743-548E0D4D72F7}"/>
            </c:ext>
          </c:extLst>
        </c:ser>
        <c:dLbls>
          <c:showLegendKey val="0"/>
          <c:showVal val="0"/>
          <c:showCatName val="0"/>
          <c:showSerName val="0"/>
          <c:showPercent val="0"/>
          <c:showBubbleSize val="0"/>
        </c:dLbls>
        <c:gapWidth val="63"/>
        <c:axId val="969031040"/>
        <c:axId val="969032832"/>
      </c:barChart>
      <c:catAx>
        <c:axId val="969031040"/>
        <c:scaling>
          <c:orientation val="minMax"/>
        </c:scaling>
        <c:delete val="0"/>
        <c:axPos val="b"/>
        <c:numFmt formatCode="General" sourceLinked="1"/>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969032832"/>
        <c:crosses val="autoZero"/>
        <c:auto val="1"/>
        <c:lblAlgn val="ctr"/>
        <c:lblOffset val="100"/>
        <c:noMultiLvlLbl val="0"/>
      </c:catAx>
      <c:valAx>
        <c:axId val="969032832"/>
        <c:scaling>
          <c:orientation val="minMax"/>
          <c:max val="1.1000000000000001"/>
          <c:min val="0"/>
        </c:scaling>
        <c:delete val="0"/>
        <c:axPos val="l"/>
        <c:majorGridlines>
          <c:spPr>
            <a:ln cap="flat" cmpd="sng">
              <a:solidFill>
                <a:schemeClr val="accent1">
                  <a:lumMod val="60000"/>
                  <a:lumOff val="40000"/>
                </a:schemeClr>
              </a:solidFill>
              <a:prstDash val="dash"/>
            </a:ln>
          </c:spPr>
        </c:majorGridlines>
        <c:title>
          <c:tx>
            <c:rich>
              <a:bodyPr rot="0" vert="horz"/>
              <a:lstStyle/>
              <a:p>
                <a:pPr algn="l">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br>
                  <a:rPr lang="es-PA" sz="700">
                    <a:latin typeface="Arial" panose="020B0604020202020204" pitchFamily="34" charset="0"/>
                    <a:cs typeface="Arial" panose="020B0604020202020204" pitchFamily="34" charset="0"/>
                  </a:rPr>
                </a:br>
                <a:r>
                  <a:rPr lang="es-PA" sz="700">
                    <a:latin typeface="Arial" panose="020B0604020202020204" pitchFamily="34" charset="0"/>
                    <a:cs typeface="Arial" panose="020B0604020202020204" pitchFamily="34" charset="0"/>
                  </a:rPr>
                  <a:t>de</a:t>
                </a:r>
                <a:r>
                  <a:rPr lang="es-PA" sz="700" baseline="0">
                    <a:latin typeface="Arial" panose="020B0604020202020204" pitchFamily="34" charset="0"/>
                    <a:cs typeface="Arial" panose="020B0604020202020204" pitchFamily="34" charset="0"/>
                  </a:rPr>
                  <a:t> </a:t>
                </a:r>
                <a:r>
                  <a:rPr lang="es-PA" sz="700">
                    <a:latin typeface="Arial" panose="020B0604020202020204" pitchFamily="34" charset="0"/>
                    <a:cs typeface="Arial" panose="020B0604020202020204" pitchFamily="34" charset="0"/>
                  </a:rPr>
                  <a:t>Planta</a:t>
                </a:r>
              </a:p>
            </c:rich>
          </c:tx>
          <c:layout>
            <c:manualLayout>
              <c:xMode val="edge"/>
              <c:yMode val="edge"/>
              <c:x val="1.0790799857874221E-3"/>
              <c:y val="6.2846059401588947E-3"/>
            </c:manualLayout>
          </c:layout>
          <c:overlay val="0"/>
        </c:title>
        <c:numFmt formatCode="0.000" sourceLinked="1"/>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969031040"/>
        <c:crosses val="autoZero"/>
        <c:crossBetween val="between"/>
      </c:valAx>
    </c:plotArea>
    <c:legend>
      <c:legendPos val="r"/>
      <c:layout>
        <c:manualLayout>
          <c:xMode val="edge"/>
          <c:yMode val="edge"/>
          <c:x val="0.35893036281857355"/>
          <c:y val="8.1011984159950437E-2"/>
          <c:w val="0.25031763180510541"/>
          <c:h val="8.3306256695300285E-2"/>
        </c:manualLayout>
      </c:layout>
      <c:overlay val="0"/>
      <c:txPr>
        <a:bodyPr/>
        <a:lstStyle/>
        <a:p>
          <a:pPr>
            <a:defRPr sz="1000"/>
          </a:pPr>
          <a:endParaRPr lang="es-PE"/>
        </a:p>
      </c:txPr>
    </c:legend>
    <c:plotVisOnly val="1"/>
    <c:dispBlanksAs val="gap"/>
    <c:showDLblsOverMax val="0"/>
  </c:chart>
  <c:spPr>
    <a:noFill/>
    <a:ln>
      <a:noFill/>
    </a:ln>
  </c:sp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37494996095963978"/>
          <c:y val="1.2301968168956139E-2"/>
          <c:w val="0.55921220384484782"/>
          <c:h val="0.94558691825525532"/>
        </c:manualLayout>
      </c:layout>
      <c:barChart>
        <c:barDir val="bar"/>
        <c:grouping val="clustered"/>
        <c:varyColors val="0"/>
        <c:ser>
          <c:idx val="0"/>
          <c:order val="0"/>
          <c:tx>
            <c:strRef>
              <c:f>'7. Generacion empresa'!$M$4</c:f>
              <c:strCache>
                <c:ptCount val="1"/>
                <c:pt idx="0">
                  <c:v>2020</c:v>
                </c:pt>
              </c:strCache>
            </c:strRef>
          </c:tx>
          <c:spPr>
            <a:solidFill>
              <a:srgbClr val="0077A5"/>
            </a:solidFill>
          </c:spPr>
          <c:invertIfNegative val="0"/>
          <c:cat>
            <c:strRef>
              <c:f>'7. Generacion empresa'!$L$5:$L$63</c:f>
              <c:strCache>
                <c:ptCount val="59"/>
                <c:pt idx="0">
                  <c:v>CERRO VERDE</c:v>
                </c:pt>
                <c:pt idx="1">
                  <c:v>HYDRO PATAPO</c:v>
                </c:pt>
                <c:pt idx="2">
                  <c:v>ELECTRICA SANTA ROSA / ATRIA</c:v>
                </c:pt>
                <c:pt idx="3">
                  <c:v>IYEPSA</c:v>
                </c:pt>
                <c:pt idx="4">
                  <c:v>PLANTA  ETEN</c:v>
                </c:pt>
                <c:pt idx="5">
                  <c:v>MAJA ENERGIA</c:v>
                </c:pt>
                <c:pt idx="6">
                  <c:v>AGUA AZUL</c:v>
                </c:pt>
                <c:pt idx="7">
                  <c:v>SHOUGESA</c:v>
                </c:pt>
                <c:pt idx="8">
                  <c:v>ELECTRICA YANAPAMPA</c:v>
                </c:pt>
                <c:pt idx="9">
                  <c:v>HIDROCAÑETE</c:v>
                </c:pt>
                <c:pt idx="10">
                  <c:v>RIO DOBLE</c:v>
                </c:pt>
                <c:pt idx="11">
                  <c:v>INVERSION DE ENERGÍA RENOVABLES</c:v>
                </c:pt>
                <c:pt idx="12">
                  <c:v>ELECTRO ZAÑA</c:v>
                </c:pt>
                <c:pt idx="13">
                  <c:v>GTS REPARTICION</c:v>
                </c:pt>
                <c:pt idx="14">
                  <c:v>EGECSAC</c:v>
                </c:pt>
                <c:pt idx="15">
                  <c:v>SDF ENERGIA</c:v>
                </c:pt>
                <c:pt idx="16">
                  <c:v>GTS MAJES</c:v>
                </c:pt>
                <c:pt idx="17">
                  <c:v>TACNA SOLAR</c:v>
                </c:pt>
                <c:pt idx="18">
                  <c:v>MOQUEGUA FV</c:v>
                </c:pt>
                <c:pt idx="19">
                  <c:v>SAN JACINTO</c:v>
                </c:pt>
                <c:pt idx="20">
                  <c:v>PANAMERICANA SOLAR</c:v>
                </c:pt>
                <c:pt idx="21">
                  <c:v>SAMAY I</c:v>
                </c:pt>
                <c:pt idx="22">
                  <c:v>PETRAMAS</c:v>
                </c:pt>
                <c:pt idx="23">
                  <c:v>BIOENERGIA</c:v>
                </c:pt>
                <c:pt idx="24">
                  <c:v>AGROAURORA</c:v>
                </c:pt>
                <c:pt idx="25">
                  <c:v>RIO BAÑOS</c:v>
                </c:pt>
                <c:pt idx="26">
                  <c:v>HIDROELECTRICA HUANCHOR</c:v>
                </c:pt>
                <c:pt idx="27">
                  <c:v>HIDROMARAÑON/ CELEPSA RENOVABLES</c:v>
                </c:pt>
                <c:pt idx="28">
                  <c:v>ANDEAN POWER</c:v>
                </c:pt>
                <c:pt idx="29">
                  <c:v>GENERACIÓN ANDINA</c:v>
                </c:pt>
                <c:pt idx="30">
                  <c:v>AIPSA</c:v>
                </c:pt>
                <c:pt idx="31">
                  <c:v>SANTA ANA</c:v>
                </c:pt>
                <c:pt idx="32">
                  <c:v>TERMOSELVA</c:v>
                </c:pt>
                <c:pt idx="33">
                  <c:v>HUAURA POWER</c:v>
                </c:pt>
                <c:pt idx="34">
                  <c:v>EGESUR</c:v>
                </c:pt>
                <c:pt idx="35">
                  <c:v>EMGE JUNÍN / SANTA CRUZ</c:v>
                </c:pt>
                <c:pt idx="36">
                  <c:v>SINERSA</c:v>
                </c:pt>
                <c:pt idx="37">
                  <c:v>P.E. MARCONA</c:v>
                </c:pt>
                <c:pt idx="38">
                  <c:v>GEPSA</c:v>
                </c:pt>
                <c:pt idx="39">
                  <c:v>EMGE HUANZA</c:v>
                </c:pt>
                <c:pt idx="40">
                  <c:v>ENERGÍA EÓLICA</c:v>
                </c:pt>
                <c:pt idx="41">
                  <c:v>INLAND</c:v>
                </c:pt>
                <c:pt idx="42">
                  <c:v>P.E. TRES HERMANAS</c:v>
                </c:pt>
                <c:pt idx="43">
                  <c:v>SAN GABAN</c:v>
                </c:pt>
                <c:pt idx="44">
                  <c:v>CHINANGO</c:v>
                </c:pt>
                <c:pt idx="45">
                  <c:v>CELEPSA</c:v>
                </c:pt>
                <c:pt idx="46">
                  <c:v>ENEL GENERACION PIURA</c:v>
                </c:pt>
                <c:pt idx="47">
                  <c:v>EMGE HUALLAGA</c:v>
                </c:pt>
                <c:pt idx="48">
                  <c:v>EGASA</c:v>
                </c:pt>
                <c:pt idx="49">
                  <c:v>TERMOCHILCA</c:v>
                </c:pt>
                <c:pt idx="50">
                  <c:v>ORAZUL ENERGY PERÚ</c:v>
                </c:pt>
                <c:pt idx="51">
                  <c:v>EGEMSA</c:v>
                </c:pt>
                <c:pt idx="52">
                  <c:v>ENEL GREEN POWER PERU</c:v>
                </c:pt>
                <c:pt idx="53">
                  <c:v>STATKRAFT</c:v>
                </c:pt>
                <c:pt idx="54">
                  <c:v>FENIX POWER</c:v>
                </c:pt>
                <c:pt idx="55">
                  <c:v>ENEL GENERACION PERU</c:v>
                </c:pt>
                <c:pt idx="56">
                  <c:v>ELECTROPERU</c:v>
                </c:pt>
                <c:pt idx="57">
                  <c:v>ENGIE</c:v>
                </c:pt>
                <c:pt idx="58">
                  <c:v>KALLPA</c:v>
                </c:pt>
              </c:strCache>
            </c:strRef>
          </c:cat>
          <c:val>
            <c:numRef>
              <c:f>'7. Generacion empresa'!$M$5:$M$63</c:f>
              <c:numCache>
                <c:formatCode>General</c:formatCode>
                <c:ptCount val="59"/>
                <c:pt idx="0">
                  <c:v>0</c:v>
                </c:pt>
                <c:pt idx="1">
                  <c:v>0.12889900000000001</c:v>
                </c:pt>
                <c:pt idx="2">
                  <c:v>0.32842944749999997</c:v>
                </c:pt>
                <c:pt idx="3">
                  <c:v>0.40669540500000001</c:v>
                </c:pt>
                <c:pt idx="4">
                  <c:v>0.58341185000000007</c:v>
                </c:pt>
                <c:pt idx="5">
                  <c:v>0.88774774249999999</c:v>
                </c:pt>
                <c:pt idx="6">
                  <c:v>1.4728728600000001</c:v>
                </c:pt>
                <c:pt idx="7">
                  <c:v>1.6994767075000001</c:v>
                </c:pt>
                <c:pt idx="8">
                  <c:v>1.9741901425000001</c:v>
                </c:pt>
                <c:pt idx="9">
                  <c:v>2.4344000000000001</c:v>
                </c:pt>
                <c:pt idx="10">
                  <c:v>2.9062781099999997</c:v>
                </c:pt>
                <c:pt idx="11">
                  <c:v>3.1487543974999999</c:v>
                </c:pt>
                <c:pt idx="12">
                  <c:v>3.3687812450000001</c:v>
                </c:pt>
                <c:pt idx="13">
                  <c:v>3.5980077925000002</c:v>
                </c:pt>
                <c:pt idx="14">
                  <c:v>3.6143528150000002</c:v>
                </c:pt>
                <c:pt idx="15">
                  <c:v>3.6527770325</c:v>
                </c:pt>
                <c:pt idx="16">
                  <c:v>3.7930264</c:v>
                </c:pt>
                <c:pt idx="17">
                  <c:v>4.5691968475000007</c:v>
                </c:pt>
                <c:pt idx="18">
                  <c:v>4.7877358624999999</c:v>
                </c:pt>
                <c:pt idx="19">
                  <c:v>5.1205254999999994</c:v>
                </c:pt>
                <c:pt idx="20">
                  <c:v>5.6694066100000002</c:v>
                </c:pt>
                <c:pt idx="21">
                  <c:v>6.0102098750000001</c:v>
                </c:pt>
                <c:pt idx="22">
                  <c:v>6.5884644099999994</c:v>
                </c:pt>
                <c:pt idx="23">
                  <c:v>6.7955937975000005</c:v>
                </c:pt>
                <c:pt idx="24">
                  <c:v>7.7378870724999995</c:v>
                </c:pt>
                <c:pt idx="25">
                  <c:v>8.2396298975000004</c:v>
                </c:pt>
                <c:pt idx="26">
                  <c:v>9.6963337275000008</c:v>
                </c:pt>
                <c:pt idx="27">
                  <c:v>10.0043185675</c:v>
                </c:pt>
                <c:pt idx="28">
                  <c:v>10.023257812499999</c:v>
                </c:pt>
                <c:pt idx="29">
                  <c:v>10.639190759999998</c:v>
                </c:pt>
                <c:pt idx="30">
                  <c:v>10.799415547500001</c:v>
                </c:pt>
                <c:pt idx="31">
                  <c:v>11.088193905000001</c:v>
                </c:pt>
                <c:pt idx="32">
                  <c:v>11.3193498125</c:v>
                </c:pt>
                <c:pt idx="33">
                  <c:v>11.371676297499999</c:v>
                </c:pt>
                <c:pt idx="34">
                  <c:v>11.816421997499999</c:v>
                </c:pt>
                <c:pt idx="35">
                  <c:v>14.093762590000001</c:v>
                </c:pt>
                <c:pt idx="36">
                  <c:v>16.1593892625</c:v>
                </c:pt>
                <c:pt idx="37">
                  <c:v>16.1636633</c:v>
                </c:pt>
                <c:pt idx="38">
                  <c:v>17.672831800000001</c:v>
                </c:pt>
                <c:pt idx="39">
                  <c:v>42.749755329999999</c:v>
                </c:pt>
                <c:pt idx="40">
                  <c:v>43.340071054999996</c:v>
                </c:pt>
                <c:pt idx="41">
                  <c:v>46.701661407499998</c:v>
                </c:pt>
                <c:pt idx="42">
                  <c:v>51.6015576275</c:v>
                </c:pt>
                <c:pt idx="43">
                  <c:v>53.564943225</c:v>
                </c:pt>
                <c:pt idx="44">
                  <c:v>53.5823961575</c:v>
                </c:pt>
                <c:pt idx="45">
                  <c:v>62.238154625</c:v>
                </c:pt>
                <c:pt idx="46">
                  <c:v>69.921504500000012</c:v>
                </c:pt>
                <c:pt idx="47">
                  <c:v>73.771571962499991</c:v>
                </c:pt>
                <c:pt idx="48">
                  <c:v>78.280372622499996</c:v>
                </c:pt>
                <c:pt idx="49">
                  <c:v>86.537646402500002</c:v>
                </c:pt>
                <c:pt idx="50">
                  <c:v>95.214060855</c:v>
                </c:pt>
                <c:pt idx="51">
                  <c:v>101.10223247250002</c:v>
                </c:pt>
                <c:pt idx="52">
                  <c:v>104.2803046275</c:v>
                </c:pt>
                <c:pt idx="53">
                  <c:v>155.00370843000005</c:v>
                </c:pt>
                <c:pt idx="54">
                  <c:v>370.73170210750004</c:v>
                </c:pt>
                <c:pt idx="55">
                  <c:v>594.24165378750001</c:v>
                </c:pt>
                <c:pt idx="56">
                  <c:v>605.79122700000005</c:v>
                </c:pt>
                <c:pt idx="57">
                  <c:v>690.28812281750015</c:v>
                </c:pt>
                <c:pt idx="58">
                  <c:v>835.36959045500009</c:v>
                </c:pt>
              </c:numCache>
            </c:numRef>
          </c:val>
          <c:extLst>
            <c:ext xmlns:c16="http://schemas.microsoft.com/office/drawing/2014/chart" uri="{C3380CC4-5D6E-409C-BE32-E72D297353CC}">
              <c16:uniqueId val="{00000000-EC2C-44BF-A1B0-E0FDC77FAEDA}"/>
            </c:ext>
          </c:extLst>
        </c:ser>
        <c:ser>
          <c:idx val="1"/>
          <c:order val="1"/>
          <c:tx>
            <c:strRef>
              <c:f>'7. Generacion empresa'!$N$4</c:f>
              <c:strCache>
                <c:ptCount val="1"/>
                <c:pt idx="0">
                  <c:v>2019</c:v>
                </c:pt>
              </c:strCache>
            </c:strRef>
          </c:tx>
          <c:spPr>
            <a:solidFill>
              <a:schemeClr val="accent2"/>
            </a:solidFill>
          </c:spPr>
          <c:invertIfNegative val="0"/>
          <c:cat>
            <c:strRef>
              <c:f>'7. Generacion empresa'!$L$5:$L$63</c:f>
              <c:strCache>
                <c:ptCount val="59"/>
                <c:pt idx="0">
                  <c:v>CERRO VERDE</c:v>
                </c:pt>
                <c:pt idx="1">
                  <c:v>HYDRO PATAPO</c:v>
                </c:pt>
                <c:pt idx="2">
                  <c:v>ELECTRICA SANTA ROSA / ATRIA</c:v>
                </c:pt>
                <c:pt idx="3">
                  <c:v>IYEPSA</c:v>
                </c:pt>
                <c:pt idx="4">
                  <c:v>PLANTA  ETEN</c:v>
                </c:pt>
                <c:pt idx="5">
                  <c:v>MAJA ENERGIA</c:v>
                </c:pt>
                <c:pt idx="6">
                  <c:v>AGUA AZUL</c:v>
                </c:pt>
                <c:pt idx="7">
                  <c:v>SHOUGESA</c:v>
                </c:pt>
                <c:pt idx="8">
                  <c:v>ELECTRICA YANAPAMPA</c:v>
                </c:pt>
                <c:pt idx="9">
                  <c:v>HIDROCAÑETE</c:v>
                </c:pt>
                <c:pt idx="10">
                  <c:v>RIO DOBLE</c:v>
                </c:pt>
                <c:pt idx="11">
                  <c:v>INVERSION DE ENERGÍA RENOVABLES</c:v>
                </c:pt>
                <c:pt idx="12">
                  <c:v>ELECTRO ZAÑA</c:v>
                </c:pt>
                <c:pt idx="13">
                  <c:v>GTS REPARTICION</c:v>
                </c:pt>
                <c:pt idx="14">
                  <c:v>EGECSAC</c:v>
                </c:pt>
                <c:pt idx="15">
                  <c:v>SDF ENERGIA</c:v>
                </c:pt>
                <c:pt idx="16">
                  <c:v>GTS MAJES</c:v>
                </c:pt>
                <c:pt idx="17">
                  <c:v>TACNA SOLAR</c:v>
                </c:pt>
                <c:pt idx="18">
                  <c:v>MOQUEGUA FV</c:v>
                </c:pt>
                <c:pt idx="19">
                  <c:v>SAN JACINTO</c:v>
                </c:pt>
                <c:pt idx="20">
                  <c:v>PANAMERICANA SOLAR</c:v>
                </c:pt>
                <c:pt idx="21">
                  <c:v>SAMAY I</c:v>
                </c:pt>
                <c:pt idx="22">
                  <c:v>PETRAMAS</c:v>
                </c:pt>
                <c:pt idx="23">
                  <c:v>BIOENERGIA</c:v>
                </c:pt>
                <c:pt idx="24">
                  <c:v>AGROAURORA</c:v>
                </c:pt>
                <c:pt idx="25">
                  <c:v>RIO BAÑOS</c:v>
                </c:pt>
                <c:pt idx="26">
                  <c:v>HIDROELECTRICA HUANCHOR</c:v>
                </c:pt>
                <c:pt idx="27">
                  <c:v>HIDROMARAÑON/ CELEPSA RENOVABLES</c:v>
                </c:pt>
                <c:pt idx="28">
                  <c:v>ANDEAN POWER</c:v>
                </c:pt>
                <c:pt idx="29">
                  <c:v>GENERACIÓN ANDINA</c:v>
                </c:pt>
                <c:pt idx="30">
                  <c:v>AIPSA</c:v>
                </c:pt>
                <c:pt idx="31">
                  <c:v>SANTA ANA</c:v>
                </c:pt>
                <c:pt idx="32">
                  <c:v>TERMOSELVA</c:v>
                </c:pt>
                <c:pt idx="33">
                  <c:v>HUAURA POWER</c:v>
                </c:pt>
                <c:pt idx="34">
                  <c:v>EGESUR</c:v>
                </c:pt>
                <c:pt idx="35">
                  <c:v>EMGE JUNÍN / SANTA CRUZ</c:v>
                </c:pt>
                <c:pt idx="36">
                  <c:v>SINERSA</c:v>
                </c:pt>
                <c:pt idx="37">
                  <c:v>P.E. MARCONA</c:v>
                </c:pt>
                <c:pt idx="38">
                  <c:v>GEPSA</c:v>
                </c:pt>
                <c:pt idx="39">
                  <c:v>EMGE HUANZA</c:v>
                </c:pt>
                <c:pt idx="40">
                  <c:v>ENERGÍA EÓLICA</c:v>
                </c:pt>
                <c:pt idx="41">
                  <c:v>INLAND</c:v>
                </c:pt>
                <c:pt idx="42">
                  <c:v>P.E. TRES HERMANAS</c:v>
                </c:pt>
                <c:pt idx="43">
                  <c:v>SAN GABAN</c:v>
                </c:pt>
                <c:pt idx="44">
                  <c:v>CHINANGO</c:v>
                </c:pt>
                <c:pt idx="45">
                  <c:v>CELEPSA</c:v>
                </c:pt>
                <c:pt idx="46">
                  <c:v>ENEL GENERACION PIURA</c:v>
                </c:pt>
                <c:pt idx="47">
                  <c:v>EMGE HUALLAGA</c:v>
                </c:pt>
                <c:pt idx="48">
                  <c:v>EGASA</c:v>
                </c:pt>
                <c:pt idx="49">
                  <c:v>TERMOCHILCA</c:v>
                </c:pt>
                <c:pt idx="50">
                  <c:v>ORAZUL ENERGY PERÚ</c:v>
                </c:pt>
                <c:pt idx="51">
                  <c:v>EGEMSA</c:v>
                </c:pt>
                <c:pt idx="52">
                  <c:v>ENEL GREEN POWER PERU</c:v>
                </c:pt>
                <c:pt idx="53">
                  <c:v>STATKRAFT</c:v>
                </c:pt>
                <c:pt idx="54">
                  <c:v>FENIX POWER</c:v>
                </c:pt>
                <c:pt idx="55">
                  <c:v>ENEL GENERACION PERU</c:v>
                </c:pt>
                <c:pt idx="56">
                  <c:v>ELECTROPERU</c:v>
                </c:pt>
                <c:pt idx="57">
                  <c:v>ENGIE</c:v>
                </c:pt>
                <c:pt idx="58">
                  <c:v>KALLPA</c:v>
                </c:pt>
              </c:strCache>
            </c:strRef>
          </c:cat>
          <c:val>
            <c:numRef>
              <c:f>'7. Generacion empresa'!$N$5:$N$63</c:f>
              <c:numCache>
                <c:formatCode>General</c:formatCode>
                <c:ptCount val="59"/>
                <c:pt idx="0">
                  <c:v>1.293120155</c:v>
                </c:pt>
                <c:pt idx="1">
                  <c:v>0.410327</c:v>
                </c:pt>
                <c:pt idx="2">
                  <c:v>0.2409587225</c:v>
                </c:pt>
                <c:pt idx="3">
                  <c:v>0.90991176250000005</c:v>
                </c:pt>
                <c:pt idx="4">
                  <c:v>1.7925342850000001</c:v>
                </c:pt>
                <c:pt idx="5">
                  <c:v>0.90890776249999994</c:v>
                </c:pt>
                <c:pt idx="6">
                  <c:v>9.2458196400000006</c:v>
                </c:pt>
                <c:pt idx="7">
                  <c:v>0.75443277499999994</c:v>
                </c:pt>
                <c:pt idx="8">
                  <c:v>1.703283125</c:v>
                </c:pt>
                <c:pt idx="9">
                  <c:v>2.4540999999999999</c:v>
                </c:pt>
                <c:pt idx="10">
                  <c:v>4.7817676999999996</c:v>
                </c:pt>
                <c:pt idx="12">
                  <c:v>3.2163367274999999</c:v>
                </c:pt>
                <c:pt idx="13">
                  <c:v>3.8874629825000002</c:v>
                </c:pt>
                <c:pt idx="14">
                  <c:v>1.2097734025000002</c:v>
                </c:pt>
                <c:pt idx="15">
                  <c:v>19.022962199999998</c:v>
                </c:pt>
                <c:pt idx="16">
                  <c:v>3.9791125000000003</c:v>
                </c:pt>
                <c:pt idx="17">
                  <c:v>4.4378233575000001</c:v>
                </c:pt>
                <c:pt idx="18">
                  <c:v>4.6652179999999994</c:v>
                </c:pt>
                <c:pt idx="19">
                  <c:v>5.2313902500000005</c:v>
                </c:pt>
                <c:pt idx="20">
                  <c:v>5.0934307200000006</c:v>
                </c:pt>
                <c:pt idx="21">
                  <c:v>0.38157293249999996</c:v>
                </c:pt>
                <c:pt idx="22">
                  <c:v>6.0872632749999998</c:v>
                </c:pt>
                <c:pt idx="23">
                  <c:v>6.3284610624999997</c:v>
                </c:pt>
                <c:pt idx="24">
                  <c:v>0</c:v>
                </c:pt>
                <c:pt idx="25">
                  <c:v>8.3398417474999995</c:v>
                </c:pt>
                <c:pt idx="26">
                  <c:v>12.9292788775</c:v>
                </c:pt>
                <c:pt idx="27">
                  <c:v>9.7229389099999999</c:v>
                </c:pt>
                <c:pt idx="28">
                  <c:v>8.9568569525000008</c:v>
                </c:pt>
                <c:pt idx="30">
                  <c:v>8.5392450775000004</c:v>
                </c:pt>
                <c:pt idx="31">
                  <c:v>14.561900835000001</c:v>
                </c:pt>
                <c:pt idx="32">
                  <c:v>49.544273907499999</c:v>
                </c:pt>
                <c:pt idx="33">
                  <c:v>12.249863585</c:v>
                </c:pt>
                <c:pt idx="34">
                  <c:v>9.6892305249999993</c:v>
                </c:pt>
                <c:pt idx="35">
                  <c:v>20.545914439999997</c:v>
                </c:pt>
                <c:pt idx="36">
                  <c:v>16.7957603975</c:v>
                </c:pt>
                <c:pt idx="37">
                  <c:v>15.26119701</c:v>
                </c:pt>
                <c:pt idx="38">
                  <c:v>22.286422627499999</c:v>
                </c:pt>
                <c:pt idx="39">
                  <c:v>36.550209789999997</c:v>
                </c:pt>
                <c:pt idx="40">
                  <c:v>45.204932597500004</c:v>
                </c:pt>
                <c:pt idx="41">
                  <c:v>46.583902307499997</c:v>
                </c:pt>
                <c:pt idx="42">
                  <c:v>44.209399752500005</c:v>
                </c:pt>
                <c:pt idx="43">
                  <c:v>60.646513262500001</c:v>
                </c:pt>
                <c:pt idx="44">
                  <c:v>69.585147019999994</c:v>
                </c:pt>
                <c:pt idx="45">
                  <c:v>59.264519217500002</c:v>
                </c:pt>
                <c:pt idx="46">
                  <c:v>64.667762552499994</c:v>
                </c:pt>
                <c:pt idx="47">
                  <c:v>113.63428374</c:v>
                </c:pt>
                <c:pt idx="48">
                  <c:v>78.907008152499984</c:v>
                </c:pt>
                <c:pt idx="49">
                  <c:v>121.10620091999999</c:v>
                </c:pt>
                <c:pt idx="50">
                  <c:v>120.613389375</c:v>
                </c:pt>
                <c:pt idx="51">
                  <c:v>88.806342247499998</c:v>
                </c:pt>
                <c:pt idx="52">
                  <c:v>101.3922339625</c:v>
                </c:pt>
                <c:pt idx="53">
                  <c:v>166.49714083750001</c:v>
                </c:pt>
                <c:pt idx="54">
                  <c:v>347.31674387500004</c:v>
                </c:pt>
                <c:pt idx="55">
                  <c:v>599.47107346249982</c:v>
                </c:pt>
                <c:pt idx="56">
                  <c:v>572.44090935000008</c:v>
                </c:pt>
                <c:pt idx="57">
                  <c:v>669.62592800750008</c:v>
                </c:pt>
                <c:pt idx="58">
                  <c:v>778.58826709750008</c:v>
                </c:pt>
              </c:numCache>
            </c:numRef>
          </c:val>
          <c:extLst>
            <c:ext xmlns:c16="http://schemas.microsoft.com/office/drawing/2014/chart" uri="{C3380CC4-5D6E-409C-BE32-E72D297353CC}">
              <c16:uniqueId val="{00000001-EC2C-44BF-A1B0-E0FDC77FAEDA}"/>
            </c:ext>
          </c:extLst>
        </c:ser>
        <c:dLbls>
          <c:showLegendKey val="0"/>
          <c:showVal val="0"/>
          <c:showCatName val="0"/>
          <c:showSerName val="0"/>
          <c:showPercent val="0"/>
          <c:showBubbleSize val="0"/>
        </c:dLbls>
        <c:gapWidth val="150"/>
        <c:axId val="354657792"/>
        <c:axId val="354659328"/>
      </c:barChart>
      <c:catAx>
        <c:axId val="3546577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4659328"/>
        <c:crosses val="autoZero"/>
        <c:auto val="1"/>
        <c:lblAlgn val="ctr"/>
        <c:lblOffset val="100"/>
        <c:noMultiLvlLbl val="0"/>
      </c:catAx>
      <c:valAx>
        <c:axId val="354659328"/>
        <c:scaling>
          <c:orientation val="minMax"/>
          <c:max val="900"/>
          <c:min val="0"/>
        </c:scaling>
        <c:delete val="0"/>
        <c:axPos val="b"/>
        <c:title>
          <c:tx>
            <c:rich>
              <a:bodyPr/>
              <a:lstStyle/>
              <a:p>
                <a:pPr>
                  <a:defRPr sz="700">
                    <a:latin typeface="Arial" panose="020B0604020202020204" pitchFamily="34" charset="0"/>
                    <a:cs typeface="Arial" panose="020B0604020202020204" pitchFamily="34" charset="0"/>
                  </a:defRPr>
                </a:pPr>
                <a:r>
                  <a:rPr lang="es-PE" sz="700">
                    <a:latin typeface="Arial" panose="020B0604020202020204" pitchFamily="34" charset="0"/>
                    <a:cs typeface="Arial" panose="020B0604020202020204" pitchFamily="34" charset="0"/>
                  </a:rPr>
                  <a:t>GWh</a:t>
                </a:r>
              </a:p>
            </c:rich>
          </c:tx>
          <c:layout>
            <c:manualLayout>
              <c:xMode val="edge"/>
              <c:yMode val="edge"/>
              <c:x val="0.8876027369208187"/>
              <c:y val="0.97748859073676797"/>
            </c:manualLayout>
          </c:layout>
          <c:overlay val="0"/>
        </c:title>
        <c:numFmt formatCode="General" sourceLinked="1"/>
        <c:majorTickMark val="out"/>
        <c:minorTickMark val="none"/>
        <c:tickLblPos val="nextTo"/>
        <c:txPr>
          <a:bodyPr/>
          <a:lstStyle/>
          <a:p>
            <a:pPr>
              <a:defRPr sz="700" b="1">
                <a:latin typeface="Arial" panose="020B0604020202020204" pitchFamily="34" charset="0"/>
                <a:cs typeface="Arial" panose="020B0604020202020204" pitchFamily="34" charset="0"/>
              </a:defRPr>
            </a:pPr>
            <a:endParaRPr lang="es-PE"/>
          </a:p>
        </c:txPr>
        <c:crossAx val="354657792"/>
        <c:crosses val="autoZero"/>
        <c:crossBetween val="between"/>
      </c:valAx>
    </c:plotArea>
    <c:legend>
      <c:legendPos val="r"/>
      <c:layout>
        <c:manualLayout>
          <c:xMode val="edge"/>
          <c:yMode val="edge"/>
          <c:x val="0.51501665542750064"/>
          <c:y val="0.37751450409712056"/>
          <c:w val="0.24110417182030439"/>
          <c:h val="8.5183642057712866E-2"/>
        </c:manualLayout>
      </c:layout>
      <c:overlay val="0"/>
    </c:legend>
    <c:plotVisOnly val="1"/>
    <c:dispBlanksAs val="gap"/>
    <c:showDLblsOverMax val="0"/>
  </c:chart>
  <c:spPr>
    <a:ln>
      <a:noFill/>
    </a:ln>
  </c:spPr>
  <c:printSettings>
    <c:headerFooter>
      <c:oddHeader>&amp;L&amp;"Calibri Light,Regular"&amp;10 &amp;C&amp;"Calibri Light,Regular"&amp;10 &amp;R&amp;"Tahoma,Negrita"&amp;9Informe de la Operación Mensual - Agosto 2017
INFSGI-MES-08-2017
08/09/2017
Versión: 01</c:oddHeader>
      <c:oddFooter>&amp;L&amp;7COES SINAC, 2018
&amp;C7&amp;R&amp;7Dirección Ejecutiva
Sub Dirección de Gestión de Información</c:oddFooter>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0291272004103779E-2"/>
          <c:y val="0.15190762581022166"/>
          <c:w val="0.83360022102500342"/>
          <c:h val="0.74077532166518834"/>
        </c:manualLayout>
      </c:layout>
      <c:barChart>
        <c:barDir val="bar"/>
        <c:grouping val="stacked"/>
        <c:varyColors val="0"/>
        <c:ser>
          <c:idx val="0"/>
          <c:order val="0"/>
          <c:tx>
            <c:strRef>
              <c:f>'8. Max Potencia'!$A$10</c:f>
              <c:strCache>
                <c:ptCount val="1"/>
                <c:pt idx="0">
                  <c:v>Hidroeléctrica</c:v>
                </c:pt>
              </c:strCache>
            </c:strRef>
          </c:tx>
          <c:spPr>
            <a:solidFill>
              <a:srgbClr val="0077A5"/>
            </a:solidFill>
          </c:spPr>
          <c:invertIfNegative val="0"/>
          <c:cat>
            <c:numRef>
              <c:f>('8. Max Potencia'!$G$7:$H$7,'8. Max Potencia'!$J$7)</c:f>
              <c:numCache>
                <c:formatCode>General</c:formatCode>
                <c:ptCount val="3"/>
                <c:pt idx="0">
                  <c:v>2020</c:v>
                </c:pt>
                <c:pt idx="1">
                  <c:v>2019</c:v>
                </c:pt>
                <c:pt idx="2">
                  <c:v>2018</c:v>
                </c:pt>
              </c:numCache>
            </c:numRef>
          </c:cat>
          <c:val>
            <c:numRef>
              <c:f>('8. Max Potencia'!$G$10:$H$10,'8. Max Potencia'!$J$10)</c:f>
              <c:numCache>
                <c:formatCode>_(* #,##0.00_);_(* \(#,##0.00\);_(* "-"??_);_(@_)</c:formatCode>
                <c:ptCount val="3"/>
                <c:pt idx="0">
                  <c:v>4604.1638600000006</c:v>
                </c:pt>
                <c:pt idx="1">
                  <c:v>4580.6239199999991</c:v>
                </c:pt>
                <c:pt idx="2">
                  <c:v>4457.8647499999988</c:v>
                </c:pt>
              </c:numCache>
            </c:numRef>
          </c:val>
          <c:extLst>
            <c:ext xmlns:c16="http://schemas.microsoft.com/office/drawing/2014/chart" uri="{C3380CC4-5D6E-409C-BE32-E72D297353CC}">
              <c16:uniqueId val="{00000000-8473-4161-BA8B-91A066D44B7A}"/>
            </c:ext>
          </c:extLst>
        </c:ser>
        <c:ser>
          <c:idx val="1"/>
          <c:order val="1"/>
          <c:tx>
            <c:strRef>
              <c:f>'8. Max Potencia'!$A$11</c:f>
              <c:strCache>
                <c:ptCount val="1"/>
                <c:pt idx="0">
                  <c:v>Termoeléctrica</c:v>
                </c:pt>
              </c:strCache>
            </c:strRef>
          </c:tx>
          <c:spPr>
            <a:solidFill>
              <a:srgbClr val="FF6600"/>
            </a:solidFill>
          </c:spPr>
          <c:invertIfNegative val="0"/>
          <c:cat>
            <c:numRef>
              <c:f>('8. Max Potencia'!$G$7:$H$7,'8. Max Potencia'!$J$7)</c:f>
              <c:numCache>
                <c:formatCode>General</c:formatCode>
                <c:ptCount val="3"/>
                <c:pt idx="0">
                  <c:v>2020</c:v>
                </c:pt>
                <c:pt idx="1">
                  <c:v>2019</c:v>
                </c:pt>
                <c:pt idx="2">
                  <c:v>2018</c:v>
                </c:pt>
              </c:numCache>
            </c:numRef>
          </c:cat>
          <c:val>
            <c:numRef>
              <c:f>('8. Max Potencia'!$G$11:$H$11,'8. Max Potencia'!$J$11)</c:f>
              <c:numCache>
                <c:formatCode>_(* #,##0.00_);_(* \(#,##0.00\);_(* "-"??_);_(@_)</c:formatCode>
                <c:ptCount val="3"/>
                <c:pt idx="0">
                  <c:v>2265.9101700000001</c:v>
                </c:pt>
                <c:pt idx="1">
                  <c:v>2106.5043700000006</c:v>
                </c:pt>
                <c:pt idx="2">
                  <c:v>1943.7948299999998</c:v>
                </c:pt>
              </c:numCache>
            </c:numRef>
          </c:val>
          <c:extLst>
            <c:ext xmlns:c16="http://schemas.microsoft.com/office/drawing/2014/chart" uri="{C3380CC4-5D6E-409C-BE32-E72D297353CC}">
              <c16:uniqueId val="{00000001-8473-4161-BA8B-91A066D44B7A}"/>
            </c:ext>
          </c:extLst>
        </c:ser>
        <c:ser>
          <c:idx val="2"/>
          <c:order val="2"/>
          <c:tx>
            <c:strRef>
              <c:f>'8. Max Potencia'!$A$12</c:f>
              <c:strCache>
                <c:ptCount val="1"/>
                <c:pt idx="0">
                  <c:v>Eólica</c:v>
                </c:pt>
              </c:strCache>
            </c:strRef>
          </c:tx>
          <c:spPr>
            <a:solidFill>
              <a:srgbClr val="6DA6D9"/>
            </a:solidFill>
          </c:spPr>
          <c:invertIfNegative val="0"/>
          <c:cat>
            <c:numRef>
              <c:f>('8. Max Potencia'!$G$7:$H$7,'8. Max Potencia'!$J$7)</c:f>
              <c:numCache>
                <c:formatCode>General</c:formatCode>
                <c:ptCount val="3"/>
                <c:pt idx="0">
                  <c:v>2020</c:v>
                </c:pt>
                <c:pt idx="1">
                  <c:v>2019</c:v>
                </c:pt>
                <c:pt idx="2">
                  <c:v>2018</c:v>
                </c:pt>
              </c:numCache>
            </c:numRef>
          </c:cat>
          <c:val>
            <c:numRef>
              <c:f>('8. Max Potencia'!$G$12:$H$12,'8. Max Potencia'!$J$12)</c:f>
              <c:numCache>
                <c:formatCode>_(* #,##0.00_);_(* \(#,##0.00\);_(* "-"??_);_(@_)</c:formatCode>
                <c:ptCount val="3"/>
                <c:pt idx="0">
                  <c:v>255.22534999999999</c:v>
                </c:pt>
                <c:pt idx="1">
                  <c:v>303.54068999999998</c:v>
                </c:pt>
                <c:pt idx="2">
                  <c:v>309.01528000000002</c:v>
                </c:pt>
              </c:numCache>
            </c:numRef>
          </c:val>
          <c:extLst>
            <c:ext xmlns:c16="http://schemas.microsoft.com/office/drawing/2014/chart" uri="{C3380CC4-5D6E-409C-BE32-E72D297353CC}">
              <c16:uniqueId val="{00000002-8473-4161-BA8B-91A066D44B7A}"/>
            </c:ext>
          </c:extLst>
        </c:ser>
        <c:dLbls>
          <c:showLegendKey val="0"/>
          <c:showVal val="0"/>
          <c:showCatName val="0"/>
          <c:showSerName val="0"/>
          <c:showPercent val="0"/>
          <c:showBubbleSize val="0"/>
        </c:dLbls>
        <c:gapWidth val="150"/>
        <c:overlap val="100"/>
        <c:axId val="347148288"/>
        <c:axId val="347150208"/>
      </c:barChart>
      <c:catAx>
        <c:axId val="347148288"/>
        <c:scaling>
          <c:orientation val="minMax"/>
        </c:scaling>
        <c:delete val="0"/>
        <c:axPos val="l"/>
        <c:title>
          <c:tx>
            <c:rich>
              <a:bodyPr rot="0" vert="horz"/>
              <a:lstStyle/>
              <a:p>
                <a:pPr>
                  <a:defRPr/>
                </a:pPr>
                <a:r>
                  <a:rPr lang="en-US"/>
                  <a:t>AÑO</a:t>
                </a:r>
              </a:p>
            </c:rich>
          </c:tx>
          <c:layout>
            <c:manualLayout>
              <c:xMode val="edge"/>
              <c:yMode val="edge"/>
              <c:x val="3.8518727456497724E-2"/>
              <c:y val="9.1373367883468767E-2"/>
            </c:manualLayout>
          </c:layout>
          <c:overlay val="0"/>
        </c:title>
        <c:numFmt formatCode="#,##0" sourceLinked="0"/>
        <c:majorTickMark val="out"/>
        <c:minorTickMark val="none"/>
        <c:tickLblPos val="nextTo"/>
        <c:txPr>
          <a:bodyPr/>
          <a:lstStyle/>
          <a:p>
            <a:pPr>
              <a:defRPr b="1"/>
            </a:pPr>
            <a:endParaRPr lang="es-PE"/>
          </a:p>
        </c:txPr>
        <c:crossAx val="347150208"/>
        <c:crosses val="autoZero"/>
        <c:auto val="1"/>
        <c:lblAlgn val="ctr"/>
        <c:lblOffset val="100"/>
        <c:noMultiLvlLbl val="0"/>
      </c:catAx>
      <c:valAx>
        <c:axId val="347150208"/>
        <c:scaling>
          <c:orientation val="minMax"/>
          <c:min val="0"/>
        </c:scaling>
        <c:delete val="0"/>
        <c:axPos val="b"/>
        <c:majorGridlines/>
        <c:title>
          <c:tx>
            <c:rich>
              <a:bodyPr rot="0" vert="horz"/>
              <a:lstStyle/>
              <a:p>
                <a:pPr>
                  <a:defRPr/>
                </a:pPr>
                <a:r>
                  <a:rPr lang="en-US"/>
                  <a:t>MW</a:t>
                </a:r>
              </a:p>
            </c:rich>
          </c:tx>
          <c:layout>
            <c:manualLayout>
              <c:xMode val="edge"/>
              <c:yMode val="edge"/>
              <c:x val="0.95603494184405124"/>
              <c:y val="0.90544799048813929"/>
            </c:manualLayout>
          </c:layout>
          <c:overlay val="0"/>
        </c:title>
        <c:numFmt formatCode="#,##0" sourceLinked="0"/>
        <c:majorTickMark val="out"/>
        <c:minorTickMark val="none"/>
        <c:tickLblPos val="nextTo"/>
        <c:txPr>
          <a:bodyPr/>
          <a:lstStyle/>
          <a:p>
            <a:pPr>
              <a:defRPr b="1"/>
            </a:pPr>
            <a:endParaRPr lang="es-PE"/>
          </a:p>
        </c:txPr>
        <c:crossAx val="347148288"/>
        <c:crosses val="autoZero"/>
        <c:crossBetween val="between"/>
      </c:valAx>
    </c:plotArea>
    <c:legend>
      <c:legendPos val="t"/>
      <c:layout>
        <c:manualLayout>
          <c:xMode val="edge"/>
          <c:yMode val="edge"/>
          <c:x val="0.23570151027982611"/>
          <c:y val="1.9448058242493807E-2"/>
          <c:w val="0.53306253960238259"/>
          <c:h val="5.0239820088446303E-2"/>
        </c:manualLayout>
      </c:layout>
      <c:overlay val="0"/>
      <c:txPr>
        <a:bodyPr/>
        <a:lstStyle/>
        <a:p>
          <a:pPr>
            <a:defRPr sz="1200"/>
          </a:pPr>
          <a:endParaRPr lang="es-PE"/>
        </a:p>
      </c:txPr>
    </c:legend>
    <c:plotVisOnly val="1"/>
    <c:dispBlanksAs val="gap"/>
    <c:showDLblsOverMax val="0"/>
  </c:chart>
  <c:spPr>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45245125578898315"/>
          <c:y val="1.4872857509963519E-2"/>
          <c:w val="0.59072253423018817"/>
          <c:h val="0.94076278528072366"/>
        </c:manualLayout>
      </c:layout>
      <c:barChart>
        <c:barDir val="bar"/>
        <c:grouping val="clustered"/>
        <c:varyColors val="0"/>
        <c:ser>
          <c:idx val="0"/>
          <c:order val="0"/>
          <c:tx>
            <c:strRef>
              <c:f>'9. Pot. Empresa'!$M$6</c:f>
              <c:strCache>
                <c:ptCount val="1"/>
                <c:pt idx="0">
                  <c:v>2020</c:v>
                </c:pt>
              </c:strCache>
            </c:strRef>
          </c:tx>
          <c:spPr>
            <a:solidFill>
              <a:srgbClr val="0077A5"/>
            </a:solidFill>
          </c:spPr>
          <c:invertIfNegative val="0"/>
          <c:cat>
            <c:strRef>
              <c:f>'9. Pot. Empresa'!$L$7:$L$65</c:f>
              <c:strCache>
                <c:ptCount val="59"/>
                <c:pt idx="0">
                  <c:v>TERMOSELVA</c:v>
                </c:pt>
                <c:pt idx="1">
                  <c:v>TACNA SOLAR</c:v>
                </c:pt>
                <c:pt idx="2">
                  <c:v>SHOUGESA</c:v>
                </c:pt>
                <c:pt idx="3">
                  <c:v>SDF ENERGIA</c:v>
                </c:pt>
                <c:pt idx="4">
                  <c:v>SAMAY I</c:v>
                </c:pt>
                <c:pt idx="5">
                  <c:v>PLANTA  ETEN</c:v>
                </c:pt>
                <c:pt idx="6">
                  <c:v>PANAMERICANA SOLAR</c:v>
                </c:pt>
                <c:pt idx="7">
                  <c:v>MOQUEGUA FV</c:v>
                </c:pt>
                <c:pt idx="8">
                  <c:v>IYEPSA</c:v>
                </c:pt>
                <c:pt idx="9">
                  <c:v>HYDRO PATAPO</c:v>
                </c:pt>
                <c:pt idx="10">
                  <c:v>GTS REPARTICION</c:v>
                </c:pt>
                <c:pt idx="11">
                  <c:v>GTS MAJES</c:v>
                </c:pt>
                <c:pt idx="12">
                  <c:v>ELECTRICA SANTA ROSA / ATRIA</c:v>
                </c:pt>
                <c:pt idx="13">
                  <c:v>CERRO VERDE</c:v>
                </c:pt>
                <c:pt idx="14">
                  <c:v>AGUA AZUL</c:v>
                </c:pt>
                <c:pt idx="15">
                  <c:v>MAJA ENERGIA</c:v>
                </c:pt>
                <c:pt idx="16">
                  <c:v>ELECTRICA YANAPAMPA</c:v>
                </c:pt>
                <c:pt idx="17">
                  <c:v>HIDROCAÑETE</c:v>
                </c:pt>
                <c:pt idx="18">
                  <c:v>RIO DOBLE</c:v>
                </c:pt>
                <c:pt idx="19">
                  <c:v>EGECSAC</c:v>
                </c:pt>
                <c:pt idx="20">
                  <c:v>INVERSION DE ENERGÍA RENOVABLES</c:v>
                </c:pt>
                <c:pt idx="21">
                  <c:v>PETRAMAS</c:v>
                </c:pt>
                <c:pt idx="22">
                  <c:v>SAN JACINTO</c:v>
                </c:pt>
                <c:pt idx="23">
                  <c:v>ELECTRO ZAÑA</c:v>
                </c:pt>
                <c:pt idx="24">
                  <c:v>BIOENERGIA</c:v>
                </c:pt>
                <c:pt idx="25">
                  <c:v>RIO BAÑOS</c:v>
                </c:pt>
                <c:pt idx="26">
                  <c:v>GENERACIÓN ANDINA</c:v>
                </c:pt>
                <c:pt idx="27">
                  <c:v>HIDROELECTRICA HUANCHOR</c:v>
                </c:pt>
                <c:pt idx="28">
                  <c:v>AIPSA</c:v>
                </c:pt>
                <c:pt idx="29">
                  <c:v>HUAURA POWER</c:v>
                </c:pt>
                <c:pt idx="30">
                  <c:v>HIDROMARAÑON/ CELEPSA RENOVABLES</c:v>
                </c:pt>
                <c:pt idx="31">
                  <c:v>AGROAURORA</c:v>
                </c:pt>
                <c:pt idx="32">
                  <c:v>SANTA ANA</c:v>
                </c:pt>
                <c:pt idx="33">
                  <c:v>ANDEAN POWER</c:v>
                </c:pt>
                <c:pt idx="34">
                  <c:v>SINERSA</c:v>
                </c:pt>
                <c:pt idx="35">
                  <c:v>P.E. MARCONA</c:v>
                </c:pt>
                <c:pt idx="36">
                  <c:v>EGESUR</c:v>
                </c:pt>
                <c:pt idx="37">
                  <c:v>GEPSA</c:v>
                </c:pt>
                <c:pt idx="38">
                  <c:v>EMGE JUNÍN / SANTA CRUZ</c:v>
                </c:pt>
                <c:pt idx="39">
                  <c:v>INLAND</c:v>
                </c:pt>
                <c:pt idx="40">
                  <c:v>ENERGÍA EÓLICA</c:v>
                </c:pt>
                <c:pt idx="41">
                  <c:v>P.E. TRES HERMANAS</c:v>
                </c:pt>
                <c:pt idx="42">
                  <c:v>CHINANGO</c:v>
                </c:pt>
                <c:pt idx="43">
                  <c:v>ENEL GENERACION PIURA</c:v>
                </c:pt>
                <c:pt idx="44">
                  <c:v>EMGE HUANZA</c:v>
                </c:pt>
                <c:pt idx="45">
                  <c:v>SAN GABAN</c:v>
                </c:pt>
                <c:pt idx="46">
                  <c:v>ORAZUL ENERGY PERÚ</c:v>
                </c:pt>
                <c:pt idx="47">
                  <c:v>ENEL GREEN POWER PERU</c:v>
                </c:pt>
                <c:pt idx="48">
                  <c:v>EGEMSA</c:v>
                </c:pt>
                <c:pt idx="49">
                  <c:v>EGASA</c:v>
                </c:pt>
                <c:pt idx="50">
                  <c:v>CELEPSA</c:v>
                </c:pt>
                <c:pt idx="51">
                  <c:v>TERMOCHILCA</c:v>
                </c:pt>
                <c:pt idx="52">
                  <c:v>EMGE HUALLAGA</c:v>
                </c:pt>
                <c:pt idx="53">
                  <c:v>STATKRAFT</c:v>
                </c:pt>
                <c:pt idx="54">
                  <c:v>FENIX POWER</c:v>
                </c:pt>
                <c:pt idx="55">
                  <c:v>ELECTROPERU</c:v>
                </c:pt>
                <c:pt idx="56">
                  <c:v>ENEL GENERACION PERU</c:v>
                </c:pt>
                <c:pt idx="57">
                  <c:v>ENGIE</c:v>
                </c:pt>
                <c:pt idx="58">
                  <c:v>KALLPA</c:v>
                </c:pt>
              </c:strCache>
            </c:strRef>
          </c:cat>
          <c:val>
            <c:numRef>
              <c:f>'9. Pot. Empresa'!$M$7:$M$65</c:f>
              <c:numCache>
                <c:formatCode>0</c:formatCode>
                <c:ptCount val="5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1.7243599999999999</c:v>
                </c:pt>
                <c:pt idx="16">
                  <c:v>3.10764</c:v>
                </c:pt>
                <c:pt idx="17">
                  <c:v>3.2</c:v>
                </c:pt>
                <c:pt idx="18">
                  <c:v>3.3647800000000001</c:v>
                </c:pt>
                <c:pt idx="19">
                  <c:v>4.9999199999999995</c:v>
                </c:pt>
                <c:pt idx="20">
                  <c:v>6.3763199999999998</c:v>
                </c:pt>
                <c:pt idx="21">
                  <c:v>6.4186700000000005</c:v>
                </c:pt>
                <c:pt idx="22">
                  <c:v>7.6040000000000001</c:v>
                </c:pt>
                <c:pt idx="23">
                  <c:v>8.4974799999999995</c:v>
                </c:pt>
                <c:pt idx="24">
                  <c:v>9.21875</c:v>
                </c:pt>
                <c:pt idx="25">
                  <c:v>13.68366</c:v>
                </c:pt>
                <c:pt idx="26">
                  <c:v>16.162240000000001</c:v>
                </c:pt>
                <c:pt idx="27">
                  <c:v>16.32544</c:v>
                </c:pt>
                <c:pt idx="28">
                  <c:v>16.95091</c:v>
                </c:pt>
                <c:pt idx="29">
                  <c:v>17.483129999999999</c:v>
                </c:pt>
                <c:pt idx="30">
                  <c:v>17.688569999999999</c:v>
                </c:pt>
                <c:pt idx="31">
                  <c:v>18.936800000000002</c:v>
                </c:pt>
                <c:pt idx="32">
                  <c:v>20.17915</c:v>
                </c:pt>
                <c:pt idx="33">
                  <c:v>20.584229999999998</c:v>
                </c:pt>
                <c:pt idx="34">
                  <c:v>23.301749999999998</c:v>
                </c:pt>
                <c:pt idx="35">
                  <c:v>25.070930000000001</c:v>
                </c:pt>
                <c:pt idx="36">
                  <c:v>25.866</c:v>
                </c:pt>
                <c:pt idx="37">
                  <c:v>34.844459999999998</c:v>
                </c:pt>
                <c:pt idx="38">
                  <c:v>46.260140000000007</c:v>
                </c:pt>
                <c:pt idx="39">
                  <c:v>56.957920000000001</c:v>
                </c:pt>
                <c:pt idx="40">
                  <c:v>79.319369999999992</c:v>
                </c:pt>
                <c:pt idx="41">
                  <c:v>89.456779999999995</c:v>
                </c:pt>
                <c:pt idx="42">
                  <c:v>90.49024</c:v>
                </c:pt>
                <c:pt idx="43">
                  <c:v>90.699780000000004</c:v>
                </c:pt>
                <c:pt idx="44">
                  <c:v>91.939629999999994</c:v>
                </c:pt>
                <c:pt idx="45">
                  <c:v>108.12949</c:v>
                </c:pt>
                <c:pt idx="46">
                  <c:v>120.82327000000002</c:v>
                </c:pt>
                <c:pt idx="47">
                  <c:v>129.79413</c:v>
                </c:pt>
                <c:pt idx="48">
                  <c:v>142.62241</c:v>
                </c:pt>
                <c:pt idx="49">
                  <c:v>146.21921999999995</c:v>
                </c:pt>
                <c:pt idx="50">
                  <c:v>173.91239000000002</c:v>
                </c:pt>
                <c:pt idx="51">
                  <c:v>227.72192999999999</c:v>
                </c:pt>
                <c:pt idx="52">
                  <c:v>235.11723000000001</c:v>
                </c:pt>
                <c:pt idx="53">
                  <c:v>277.36728999999997</c:v>
                </c:pt>
                <c:pt idx="54">
                  <c:v>551.00720999999999</c:v>
                </c:pt>
                <c:pt idx="55">
                  <c:v>847.33104000000003</c:v>
                </c:pt>
                <c:pt idx="56">
                  <c:v>877.10056000000009</c:v>
                </c:pt>
                <c:pt idx="57">
                  <c:v>1050.52241</c:v>
                </c:pt>
                <c:pt idx="58">
                  <c:v>1081.25729</c:v>
                </c:pt>
              </c:numCache>
            </c:numRef>
          </c:val>
          <c:extLst>
            <c:ext xmlns:c16="http://schemas.microsoft.com/office/drawing/2014/chart" uri="{C3380CC4-5D6E-409C-BE32-E72D297353CC}">
              <c16:uniqueId val="{00000000-2FE3-4C80-BE80-2E47F9F8F14C}"/>
            </c:ext>
          </c:extLst>
        </c:ser>
        <c:ser>
          <c:idx val="1"/>
          <c:order val="1"/>
          <c:tx>
            <c:strRef>
              <c:f>'9. Pot. Empresa'!$N$6</c:f>
              <c:strCache>
                <c:ptCount val="1"/>
                <c:pt idx="0">
                  <c:v>2019</c:v>
                </c:pt>
              </c:strCache>
            </c:strRef>
          </c:tx>
          <c:spPr>
            <a:solidFill>
              <a:srgbClr val="FF6600"/>
            </a:solidFill>
          </c:spPr>
          <c:invertIfNegative val="0"/>
          <c:cat>
            <c:strRef>
              <c:f>'9. Pot. Empresa'!$L$7:$L$65</c:f>
              <c:strCache>
                <c:ptCount val="59"/>
                <c:pt idx="0">
                  <c:v>TERMOSELVA</c:v>
                </c:pt>
                <c:pt idx="1">
                  <c:v>TACNA SOLAR</c:v>
                </c:pt>
                <c:pt idx="2">
                  <c:v>SHOUGESA</c:v>
                </c:pt>
                <c:pt idx="3">
                  <c:v>SDF ENERGIA</c:v>
                </c:pt>
                <c:pt idx="4">
                  <c:v>SAMAY I</c:v>
                </c:pt>
                <c:pt idx="5">
                  <c:v>PLANTA  ETEN</c:v>
                </c:pt>
                <c:pt idx="6">
                  <c:v>PANAMERICANA SOLAR</c:v>
                </c:pt>
                <c:pt idx="7">
                  <c:v>MOQUEGUA FV</c:v>
                </c:pt>
                <c:pt idx="8">
                  <c:v>IYEPSA</c:v>
                </c:pt>
                <c:pt idx="9">
                  <c:v>HYDRO PATAPO</c:v>
                </c:pt>
                <c:pt idx="10">
                  <c:v>GTS REPARTICION</c:v>
                </c:pt>
                <c:pt idx="11">
                  <c:v>GTS MAJES</c:v>
                </c:pt>
                <c:pt idx="12">
                  <c:v>ELECTRICA SANTA ROSA / ATRIA</c:v>
                </c:pt>
                <c:pt idx="13">
                  <c:v>CERRO VERDE</c:v>
                </c:pt>
                <c:pt idx="14">
                  <c:v>AGUA AZUL</c:v>
                </c:pt>
                <c:pt idx="15">
                  <c:v>MAJA ENERGIA</c:v>
                </c:pt>
                <c:pt idx="16">
                  <c:v>ELECTRICA YANAPAMPA</c:v>
                </c:pt>
                <c:pt idx="17">
                  <c:v>HIDROCAÑETE</c:v>
                </c:pt>
                <c:pt idx="18">
                  <c:v>RIO DOBLE</c:v>
                </c:pt>
                <c:pt idx="19">
                  <c:v>EGECSAC</c:v>
                </c:pt>
                <c:pt idx="20">
                  <c:v>INVERSION DE ENERGÍA RENOVABLES</c:v>
                </c:pt>
                <c:pt idx="21">
                  <c:v>PETRAMAS</c:v>
                </c:pt>
                <c:pt idx="22">
                  <c:v>SAN JACINTO</c:v>
                </c:pt>
                <c:pt idx="23">
                  <c:v>ELECTRO ZAÑA</c:v>
                </c:pt>
                <c:pt idx="24">
                  <c:v>BIOENERGIA</c:v>
                </c:pt>
                <c:pt idx="25">
                  <c:v>RIO BAÑOS</c:v>
                </c:pt>
                <c:pt idx="26">
                  <c:v>GENERACIÓN ANDINA</c:v>
                </c:pt>
                <c:pt idx="27">
                  <c:v>HIDROELECTRICA HUANCHOR</c:v>
                </c:pt>
                <c:pt idx="28">
                  <c:v>AIPSA</c:v>
                </c:pt>
                <c:pt idx="29">
                  <c:v>HUAURA POWER</c:v>
                </c:pt>
                <c:pt idx="30">
                  <c:v>HIDROMARAÑON/ CELEPSA RENOVABLES</c:v>
                </c:pt>
                <c:pt idx="31">
                  <c:v>AGROAURORA</c:v>
                </c:pt>
                <c:pt idx="32">
                  <c:v>SANTA ANA</c:v>
                </c:pt>
                <c:pt idx="33">
                  <c:v>ANDEAN POWER</c:v>
                </c:pt>
                <c:pt idx="34">
                  <c:v>SINERSA</c:v>
                </c:pt>
                <c:pt idx="35">
                  <c:v>P.E. MARCONA</c:v>
                </c:pt>
                <c:pt idx="36">
                  <c:v>EGESUR</c:v>
                </c:pt>
                <c:pt idx="37">
                  <c:v>GEPSA</c:v>
                </c:pt>
                <c:pt idx="38">
                  <c:v>EMGE JUNÍN / SANTA CRUZ</c:v>
                </c:pt>
                <c:pt idx="39">
                  <c:v>INLAND</c:v>
                </c:pt>
                <c:pt idx="40">
                  <c:v>ENERGÍA EÓLICA</c:v>
                </c:pt>
                <c:pt idx="41">
                  <c:v>P.E. TRES HERMANAS</c:v>
                </c:pt>
                <c:pt idx="42">
                  <c:v>CHINANGO</c:v>
                </c:pt>
                <c:pt idx="43">
                  <c:v>ENEL GENERACION PIURA</c:v>
                </c:pt>
                <c:pt idx="44">
                  <c:v>EMGE HUANZA</c:v>
                </c:pt>
                <c:pt idx="45">
                  <c:v>SAN GABAN</c:v>
                </c:pt>
                <c:pt idx="46">
                  <c:v>ORAZUL ENERGY PERÚ</c:v>
                </c:pt>
                <c:pt idx="47">
                  <c:v>ENEL GREEN POWER PERU</c:v>
                </c:pt>
                <c:pt idx="48">
                  <c:v>EGEMSA</c:v>
                </c:pt>
                <c:pt idx="49">
                  <c:v>EGASA</c:v>
                </c:pt>
                <c:pt idx="50">
                  <c:v>CELEPSA</c:v>
                </c:pt>
                <c:pt idx="51">
                  <c:v>TERMOCHILCA</c:v>
                </c:pt>
                <c:pt idx="52">
                  <c:v>EMGE HUALLAGA</c:v>
                </c:pt>
                <c:pt idx="53">
                  <c:v>STATKRAFT</c:v>
                </c:pt>
                <c:pt idx="54">
                  <c:v>FENIX POWER</c:v>
                </c:pt>
                <c:pt idx="55">
                  <c:v>ELECTROPERU</c:v>
                </c:pt>
                <c:pt idx="56">
                  <c:v>ENEL GENERACION PERU</c:v>
                </c:pt>
                <c:pt idx="57">
                  <c:v>ENGIE</c:v>
                </c:pt>
                <c:pt idx="58">
                  <c:v>KALLPA</c:v>
                </c:pt>
              </c:strCache>
            </c:strRef>
          </c:cat>
          <c:val>
            <c:numRef>
              <c:f>'9. Pot. Empresa'!$N$7:$N$65</c:f>
              <c:numCache>
                <c:formatCode>0</c:formatCode>
                <c:ptCount val="59"/>
                <c:pt idx="0">
                  <c:v>75.331770000000006</c:v>
                </c:pt>
                <c:pt idx="1">
                  <c:v>0</c:v>
                </c:pt>
                <c:pt idx="2">
                  <c:v>0</c:v>
                </c:pt>
                <c:pt idx="3">
                  <c:v>28.075600000000001</c:v>
                </c:pt>
                <c:pt idx="4">
                  <c:v>0</c:v>
                </c:pt>
                <c:pt idx="5">
                  <c:v>0</c:v>
                </c:pt>
                <c:pt idx="6">
                  <c:v>0</c:v>
                </c:pt>
                <c:pt idx="7">
                  <c:v>0</c:v>
                </c:pt>
                <c:pt idx="8">
                  <c:v>0</c:v>
                </c:pt>
                <c:pt idx="9">
                  <c:v>0</c:v>
                </c:pt>
                <c:pt idx="10">
                  <c:v>0</c:v>
                </c:pt>
                <c:pt idx="11">
                  <c:v>0</c:v>
                </c:pt>
                <c:pt idx="12">
                  <c:v>0.86545000000000005</c:v>
                </c:pt>
                <c:pt idx="13">
                  <c:v>0</c:v>
                </c:pt>
                <c:pt idx="14">
                  <c:v>19.29279</c:v>
                </c:pt>
                <c:pt idx="15">
                  <c:v>1.3524</c:v>
                </c:pt>
                <c:pt idx="16">
                  <c:v>2.3477800000000002</c:v>
                </c:pt>
                <c:pt idx="17">
                  <c:v>3.6</c:v>
                </c:pt>
                <c:pt idx="18">
                  <c:v>9.44374</c:v>
                </c:pt>
                <c:pt idx="19">
                  <c:v>1.6198300000000001</c:v>
                </c:pt>
                <c:pt idx="21">
                  <c:v>9.6182999999999996</c:v>
                </c:pt>
                <c:pt idx="22">
                  <c:v>7.8860000000000001</c:v>
                </c:pt>
                <c:pt idx="23">
                  <c:v>8.8300000000000003E-2</c:v>
                </c:pt>
                <c:pt idx="24">
                  <c:v>10.9375</c:v>
                </c:pt>
                <c:pt idx="25">
                  <c:v>10.050419999999999</c:v>
                </c:pt>
                <c:pt idx="27">
                  <c:v>18.948140000000002</c:v>
                </c:pt>
                <c:pt idx="28">
                  <c:v>15.04555</c:v>
                </c:pt>
                <c:pt idx="29">
                  <c:v>15.62922</c:v>
                </c:pt>
                <c:pt idx="30">
                  <c:v>12.681609999999999</c:v>
                </c:pt>
                <c:pt idx="31">
                  <c:v>0</c:v>
                </c:pt>
                <c:pt idx="32">
                  <c:v>20.00038</c:v>
                </c:pt>
                <c:pt idx="33">
                  <c:v>11.063040000000001</c:v>
                </c:pt>
                <c:pt idx="34">
                  <c:v>20.43648</c:v>
                </c:pt>
                <c:pt idx="35">
                  <c:v>31.385619999999999</c:v>
                </c:pt>
                <c:pt idx="36">
                  <c:v>24.864000000000001</c:v>
                </c:pt>
                <c:pt idx="37">
                  <c:v>31.074109999999997</c:v>
                </c:pt>
                <c:pt idx="38">
                  <c:v>21.031730000000003</c:v>
                </c:pt>
                <c:pt idx="39">
                  <c:v>56.91836</c:v>
                </c:pt>
                <c:pt idx="40">
                  <c:v>82.920580000000001</c:v>
                </c:pt>
                <c:pt idx="41">
                  <c:v>91.066339999999997</c:v>
                </c:pt>
                <c:pt idx="42">
                  <c:v>115.81262</c:v>
                </c:pt>
                <c:pt idx="43">
                  <c:v>90.786299999999997</c:v>
                </c:pt>
                <c:pt idx="44">
                  <c:v>47.267439999999993</c:v>
                </c:pt>
                <c:pt idx="45">
                  <c:v>108.10897</c:v>
                </c:pt>
                <c:pt idx="46">
                  <c:v>212.86322000000001</c:v>
                </c:pt>
                <c:pt idx="47">
                  <c:v>129.91175999999999</c:v>
                </c:pt>
                <c:pt idx="48">
                  <c:v>107.57561</c:v>
                </c:pt>
                <c:pt idx="49">
                  <c:v>155.04728999999998</c:v>
                </c:pt>
                <c:pt idx="50">
                  <c:v>194.63587000000001</c:v>
                </c:pt>
                <c:pt idx="51">
                  <c:v>0.50978000000000001</c:v>
                </c:pt>
                <c:pt idx="52">
                  <c:v>356.78033000000005</c:v>
                </c:pt>
                <c:pt idx="53">
                  <c:v>244.84998999999999</c:v>
                </c:pt>
                <c:pt idx="54">
                  <c:v>270.29468000000003</c:v>
                </c:pt>
                <c:pt idx="55">
                  <c:v>721.59647999999993</c:v>
                </c:pt>
                <c:pt idx="56">
                  <c:v>1184.59446</c:v>
                </c:pt>
                <c:pt idx="57">
                  <c:v>938.29721999999992</c:v>
                </c:pt>
                <c:pt idx="58">
                  <c:v>1328.0607600000001</c:v>
                </c:pt>
              </c:numCache>
            </c:numRef>
          </c:val>
          <c:extLst>
            <c:ext xmlns:c16="http://schemas.microsoft.com/office/drawing/2014/chart" uri="{C3380CC4-5D6E-409C-BE32-E72D297353CC}">
              <c16:uniqueId val="{00000001-2FE3-4C80-BE80-2E47F9F8F14C}"/>
            </c:ext>
          </c:extLst>
        </c:ser>
        <c:dLbls>
          <c:showLegendKey val="0"/>
          <c:showVal val="0"/>
          <c:showCatName val="0"/>
          <c:showSerName val="0"/>
          <c:showPercent val="0"/>
          <c:showBubbleSize val="0"/>
        </c:dLbls>
        <c:gapWidth val="150"/>
        <c:axId val="351364992"/>
        <c:axId val="351366528"/>
      </c:barChart>
      <c:catAx>
        <c:axId val="351364992"/>
        <c:scaling>
          <c:orientation val="minMax"/>
        </c:scaling>
        <c:delete val="0"/>
        <c:axPos val="l"/>
        <c:numFmt formatCode="General" sourceLinked="0"/>
        <c:majorTickMark val="out"/>
        <c:minorTickMark val="none"/>
        <c:tickLblPos val="nextTo"/>
        <c:txPr>
          <a:bodyPr/>
          <a:lstStyle/>
          <a:p>
            <a:pPr>
              <a:defRPr sz="600">
                <a:latin typeface="Arial" panose="020B0604020202020204" pitchFamily="34" charset="0"/>
                <a:cs typeface="Arial" panose="020B0604020202020204" pitchFamily="34" charset="0"/>
              </a:defRPr>
            </a:pPr>
            <a:endParaRPr lang="es-PE"/>
          </a:p>
        </c:txPr>
        <c:crossAx val="351366528"/>
        <c:crosses val="autoZero"/>
        <c:auto val="1"/>
        <c:lblAlgn val="ctr"/>
        <c:lblOffset val="100"/>
        <c:noMultiLvlLbl val="0"/>
      </c:catAx>
      <c:valAx>
        <c:axId val="351366528"/>
        <c:scaling>
          <c:orientation val="minMax"/>
          <c:max val="1450"/>
          <c:min val="0"/>
        </c:scaling>
        <c:delete val="0"/>
        <c:axPos val="b"/>
        <c:majorGridlines/>
        <c:title>
          <c:tx>
            <c:rich>
              <a:bodyPr/>
              <a:lstStyle/>
              <a:p>
                <a:pPr>
                  <a:defRPr sz="700"/>
                </a:pPr>
                <a:r>
                  <a:rPr lang="es-PE" sz="700"/>
                  <a:t>MW</a:t>
                </a:r>
              </a:p>
            </c:rich>
          </c:tx>
          <c:layout>
            <c:manualLayout>
              <c:xMode val="edge"/>
              <c:yMode val="edge"/>
              <c:x val="0.90468298505554934"/>
              <c:y val="0.97894266121174733"/>
            </c:manualLayout>
          </c:layout>
          <c:overlay val="0"/>
        </c:title>
        <c:numFmt formatCode="0" sourceLinked="1"/>
        <c:majorTickMark val="out"/>
        <c:minorTickMark val="none"/>
        <c:tickLblPos val="nextTo"/>
        <c:txPr>
          <a:bodyPr/>
          <a:lstStyle/>
          <a:p>
            <a:pPr>
              <a:defRPr sz="700" b="0"/>
            </a:pPr>
            <a:endParaRPr lang="es-PE"/>
          </a:p>
        </c:txPr>
        <c:crossAx val="351364992"/>
        <c:crosses val="autoZero"/>
        <c:crossBetween val="between"/>
        <c:majorUnit val="400"/>
      </c:valAx>
    </c:plotArea>
    <c:legend>
      <c:legendPos val="r"/>
      <c:layout>
        <c:manualLayout>
          <c:xMode val="edge"/>
          <c:yMode val="edge"/>
          <c:x val="0.71936522423993388"/>
          <c:y val="0.39830742392059892"/>
          <c:w val="0.22095413152862417"/>
          <c:h val="6.0980304677881472E-2"/>
        </c:manualLayout>
      </c:layout>
      <c:overlay val="0"/>
    </c:legend>
    <c:plotVisOnly val="1"/>
    <c:dispBlanksAs val="gap"/>
    <c:showDLblsOverMax val="0"/>
  </c:chart>
  <c:spPr>
    <a:ln>
      <a:noFill/>
    </a:ln>
  </c:spPr>
  <c:printSettings>
    <c:headerFooter>
      <c:oddHeader>&amp;R&amp;7Informe de la Operación Mensual-Noviembre 2019
INFSGI-MES-11-2019
16/12/2019
Versión: 01</c:oddHeader>
      <c:oddFooter>&amp;L&amp;7COES, 2018&amp;C9&amp;R&amp;7Dirección Ejecutiva
Sub Dirección de Gestión de Información</c:oddFooter>
    </c:headerFooter>
    <c:pageMargins b="0.75" l="0.7" r="0.7" t="0.75" header="0.3" footer="0.3"/>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a:pPr>
            <a:r>
              <a:rPr lang="en-US" sz="1000" b="1" i="0" baseline="0">
                <a:effectLst/>
              </a:rPr>
              <a:t>VOLUMEN DE LAS  LAGUNAS ENEL (SANTA EULALIA Y MARCA)</a:t>
            </a:r>
            <a:endParaRPr lang="es-PE" sz="1000">
              <a:effectLst/>
            </a:endParaRPr>
          </a:p>
        </c:rich>
      </c:tx>
      <c:layout>
        <c:manualLayout>
          <c:xMode val="edge"/>
          <c:yMode val="edge"/>
          <c:x val="0.17934114999457987"/>
          <c:y val="4.5057884134650387E-2"/>
        </c:manualLayout>
      </c:layout>
      <c:overlay val="1"/>
    </c:title>
    <c:autoTitleDeleted val="0"/>
    <c:plotArea>
      <c:layout>
        <c:manualLayout>
          <c:layoutTarget val="inner"/>
          <c:xMode val="edge"/>
          <c:yMode val="edge"/>
          <c:x val="5.0092021582100438E-2"/>
          <c:y val="0.20100753961900794"/>
          <c:w val="0.93573858815800515"/>
          <c:h val="0.67796098989555775"/>
        </c:manualLayout>
      </c:layout>
      <c:lineChart>
        <c:grouping val="standard"/>
        <c:varyColors val="0"/>
        <c:ser>
          <c:idx val="2"/>
          <c:order val="0"/>
          <c:tx>
            <c:strRef>
              <c:f>'10. Volúmenes'!$N$11</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Volúmenes'!$N$12:$N$63</c:f>
              <c:numCache>
                <c:formatCode>0.00</c:formatCode>
                <c:ptCount val="52"/>
                <c:pt idx="0">
                  <c:v>93.1</c:v>
                </c:pt>
                <c:pt idx="1">
                  <c:v>93.1</c:v>
                </c:pt>
                <c:pt idx="2">
                  <c:v>98.74</c:v>
                </c:pt>
                <c:pt idx="3">
                  <c:v>98.74</c:v>
                </c:pt>
                <c:pt idx="4">
                  <c:v>125.15</c:v>
                </c:pt>
                <c:pt idx="5">
                  <c:v>125.15</c:v>
                </c:pt>
                <c:pt idx="6">
                  <c:v>142.99</c:v>
                </c:pt>
                <c:pt idx="7">
                  <c:v>142.99</c:v>
                </c:pt>
                <c:pt idx="8">
                  <c:v>159.53</c:v>
                </c:pt>
                <c:pt idx="9">
                  <c:v>159.53</c:v>
                </c:pt>
                <c:pt idx="10">
                  <c:v>184.94</c:v>
                </c:pt>
                <c:pt idx="11">
                  <c:v>184.94</c:v>
                </c:pt>
                <c:pt idx="12">
                  <c:v>203.73</c:v>
                </c:pt>
                <c:pt idx="13">
                  <c:v>203.73</c:v>
                </c:pt>
                <c:pt idx="14">
                  <c:v>203.73</c:v>
                </c:pt>
                <c:pt idx="15">
                  <c:v>222.8</c:v>
                </c:pt>
                <c:pt idx="16">
                  <c:v>222.8</c:v>
                </c:pt>
                <c:pt idx="17">
                  <c:v>225.58</c:v>
                </c:pt>
                <c:pt idx="18">
                  <c:v>225.58</c:v>
                </c:pt>
                <c:pt idx="19">
                  <c:v>226.61</c:v>
                </c:pt>
                <c:pt idx="20">
                  <c:v>226.61</c:v>
                </c:pt>
                <c:pt idx="21">
                  <c:v>227.42</c:v>
                </c:pt>
                <c:pt idx="22">
                  <c:v>227.42</c:v>
                </c:pt>
                <c:pt idx="23">
                  <c:v>227.45</c:v>
                </c:pt>
                <c:pt idx="24">
                  <c:v>227.45</c:v>
                </c:pt>
                <c:pt idx="25">
                  <c:v>225.56</c:v>
                </c:pt>
                <c:pt idx="26">
                  <c:v>225.56</c:v>
                </c:pt>
                <c:pt idx="27">
                  <c:v>225.56</c:v>
                </c:pt>
                <c:pt idx="28">
                  <c:v>222.04</c:v>
                </c:pt>
                <c:pt idx="29">
                  <c:v>222.04</c:v>
                </c:pt>
                <c:pt idx="30">
                  <c:v>213.13</c:v>
                </c:pt>
                <c:pt idx="31">
                  <c:v>213.13</c:v>
                </c:pt>
                <c:pt idx="32">
                  <c:v>205.97</c:v>
                </c:pt>
                <c:pt idx="33">
                  <c:v>199.49</c:v>
                </c:pt>
                <c:pt idx="34">
                  <c:v>193.4</c:v>
                </c:pt>
                <c:pt idx="35">
                  <c:v>187.93</c:v>
                </c:pt>
                <c:pt idx="36">
                  <c:v>182.85</c:v>
                </c:pt>
                <c:pt idx="37">
                  <c:v>179.77</c:v>
                </c:pt>
                <c:pt idx="38">
                  <c:v>173.62</c:v>
                </c:pt>
                <c:pt idx="39">
                  <c:v>163</c:v>
                </c:pt>
                <c:pt idx="40">
                  <c:v>156.5</c:v>
                </c:pt>
                <c:pt idx="41">
                  <c:v>152.78</c:v>
                </c:pt>
                <c:pt idx="42">
                  <c:v>148.63</c:v>
                </c:pt>
                <c:pt idx="43">
                  <c:v>142.91</c:v>
                </c:pt>
                <c:pt idx="44">
                  <c:v>137.04</c:v>
                </c:pt>
                <c:pt idx="45">
                  <c:v>131.22999999999999</c:v>
                </c:pt>
                <c:pt idx="46">
                  <c:v>125.5</c:v>
                </c:pt>
                <c:pt idx="47">
                  <c:v>120.41</c:v>
                </c:pt>
                <c:pt idx="48">
                  <c:v>115.91300200000001</c:v>
                </c:pt>
                <c:pt idx="49">
                  <c:v>110.0599976</c:v>
                </c:pt>
                <c:pt idx="50">
                  <c:v>107.5970001</c:v>
                </c:pt>
                <c:pt idx="51">
                  <c:v>104.4029999</c:v>
                </c:pt>
              </c:numCache>
            </c:numRef>
          </c:val>
          <c:smooth val="0"/>
          <c:extLst>
            <c:ext xmlns:c16="http://schemas.microsoft.com/office/drawing/2014/chart" uri="{C3380CC4-5D6E-409C-BE32-E72D297353CC}">
              <c16:uniqueId val="{00000002-70C0-4DC4-934D-909B877B1C5A}"/>
            </c:ext>
          </c:extLst>
        </c:ser>
        <c:ser>
          <c:idx val="3"/>
          <c:order val="1"/>
          <c:tx>
            <c:strRef>
              <c:f>'10. Volúmenes'!$O$11</c:f>
              <c:strCache>
                <c:ptCount val="1"/>
                <c:pt idx="0">
                  <c:v>2018</c:v>
                </c:pt>
              </c:strCache>
            </c:strRef>
          </c:tx>
          <c:spPr>
            <a:ln w="22225">
              <a:solidFill>
                <a:srgbClr val="C00000"/>
              </a:solidFill>
            </a:ln>
          </c:spPr>
          <c:marker>
            <c:symbol val="triangle"/>
            <c:size val="7"/>
            <c:spPr>
              <a:solidFill>
                <a:srgbClr val="C00000"/>
              </a:solidFill>
              <a:ln w="12700">
                <a:solidFill>
                  <a:schemeClr val="bg1"/>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Volúmenes'!$O$12:$O$63</c:f>
              <c:numCache>
                <c:formatCode>0.00</c:formatCode>
                <c:ptCount val="52"/>
                <c:pt idx="0">
                  <c:v>104.46</c:v>
                </c:pt>
                <c:pt idx="1">
                  <c:v>103.4720001</c:v>
                </c:pt>
                <c:pt idx="2">
                  <c:v>106.08699799999999</c:v>
                </c:pt>
                <c:pt idx="3">
                  <c:v>112.7200012</c:v>
                </c:pt>
                <c:pt idx="4">
                  <c:v>122.3190002</c:v>
                </c:pt>
                <c:pt idx="5">
                  <c:v>126.1559982</c:v>
                </c:pt>
                <c:pt idx="6">
                  <c:v>142.9900055</c:v>
                </c:pt>
                <c:pt idx="7">
                  <c:v>134.13600159999999</c:v>
                </c:pt>
                <c:pt idx="8">
                  <c:v>153.34500120000001</c:v>
                </c:pt>
                <c:pt idx="9">
                  <c:v>153.0590057</c:v>
                </c:pt>
                <c:pt idx="10">
                  <c:v>162.93200680000001</c:v>
                </c:pt>
                <c:pt idx="11">
                  <c:v>172.76199339999999</c:v>
                </c:pt>
                <c:pt idx="12">
                  <c:v>182.13900760000001</c:v>
                </c:pt>
                <c:pt idx="13">
                  <c:v>191.4750061</c:v>
                </c:pt>
                <c:pt idx="14">
                  <c:v>198.43899540000001</c:v>
                </c:pt>
                <c:pt idx="15">
                  <c:v>201.52999879999999</c:v>
                </c:pt>
                <c:pt idx="16">
                  <c:v>206.03700259999999</c:v>
                </c:pt>
                <c:pt idx="17">
                  <c:v>213.67399599999999</c:v>
                </c:pt>
                <c:pt idx="18">
                  <c:v>216.75700380000001</c:v>
                </c:pt>
                <c:pt idx="19">
                  <c:v>217.29400630000001</c:v>
                </c:pt>
                <c:pt idx="20">
                  <c:v>218.3190002</c:v>
                </c:pt>
                <c:pt idx="21">
                  <c:v>218.79899599999999</c:v>
                </c:pt>
                <c:pt idx="22">
                  <c:v>217.8880005</c:v>
                </c:pt>
                <c:pt idx="23">
                  <c:v>216.04899599999999</c:v>
                </c:pt>
                <c:pt idx="24">
                  <c:v>212.24600219999999</c:v>
                </c:pt>
                <c:pt idx="25">
                  <c:v>210.22099299999999</c:v>
                </c:pt>
                <c:pt idx="26">
                  <c:v>209.85200499999999</c:v>
                </c:pt>
                <c:pt idx="27">
                  <c:v>203.92900090000001</c:v>
                </c:pt>
                <c:pt idx="28">
                  <c:v>200.56300350000001</c:v>
                </c:pt>
                <c:pt idx="29">
                  <c:v>194.94900509999999</c:v>
                </c:pt>
                <c:pt idx="30">
                  <c:v>188.386</c:v>
                </c:pt>
                <c:pt idx="31">
                  <c:v>184.72900390000001</c:v>
                </c:pt>
                <c:pt idx="32">
                  <c:v>178.8809967</c:v>
                </c:pt>
                <c:pt idx="33">
                  <c:v>176.98599239999999</c:v>
                </c:pt>
                <c:pt idx="34">
                  <c:v>173.36999510000001</c:v>
                </c:pt>
                <c:pt idx="35">
                  <c:v>167.63</c:v>
                </c:pt>
                <c:pt idx="36">
                  <c:v>162.30700680000001</c:v>
                </c:pt>
                <c:pt idx="37">
                  <c:v>159.02699279999999</c:v>
                </c:pt>
                <c:pt idx="38">
                  <c:v>153.61700440000001</c:v>
                </c:pt>
                <c:pt idx="39">
                  <c:v>151.72999569999999</c:v>
                </c:pt>
                <c:pt idx="40">
                  <c:v>147.996002197265</c:v>
                </c:pt>
                <c:pt idx="41">
                  <c:v>144.53999328613199</c:v>
                </c:pt>
                <c:pt idx="42">
                  <c:v>143.72300720214801</c:v>
                </c:pt>
                <c:pt idx="43">
                  <c:v>142.33900449999999</c:v>
                </c:pt>
                <c:pt idx="44">
                  <c:v>143.13200380000001</c:v>
                </c:pt>
                <c:pt idx="45">
                  <c:v>141.37</c:v>
                </c:pt>
                <c:pt idx="46">
                  <c:v>140.33900449999999</c:v>
                </c:pt>
                <c:pt idx="47">
                  <c:v>137.8150024</c:v>
                </c:pt>
                <c:pt idx="48">
                  <c:v>129.0279999</c:v>
                </c:pt>
                <c:pt idx="49">
                  <c:v>129.30000000000001</c:v>
                </c:pt>
                <c:pt idx="50">
                  <c:v>129</c:v>
                </c:pt>
                <c:pt idx="51">
                  <c:v>130.4810028</c:v>
                </c:pt>
              </c:numCache>
            </c:numRef>
          </c:val>
          <c:smooth val="0"/>
          <c:extLst>
            <c:ext xmlns:c16="http://schemas.microsoft.com/office/drawing/2014/chart" uri="{C3380CC4-5D6E-409C-BE32-E72D297353CC}">
              <c16:uniqueId val="{00000001-70C0-4DC4-934D-909B877B1C5A}"/>
            </c:ext>
          </c:extLst>
        </c:ser>
        <c:ser>
          <c:idx val="0"/>
          <c:order val="2"/>
          <c:tx>
            <c:strRef>
              <c:f>'10. Volúmenes'!$P$11</c:f>
              <c:strCache>
                <c:ptCount val="1"/>
                <c:pt idx="0">
                  <c:v>2019</c:v>
                </c:pt>
              </c:strCache>
            </c:strRef>
          </c:tx>
          <c:marker>
            <c:symbol val="circle"/>
            <c:size val="4"/>
            <c:spPr>
              <a:solidFill>
                <a:srgbClr val="0077A5"/>
              </a:solidFill>
              <a:ln w="9525">
                <a:solidFill>
                  <a:schemeClr val="bg1">
                    <a:lumMod val="95000"/>
                  </a:schemeClr>
                </a:solidFill>
              </a:ln>
            </c:spPr>
          </c:marke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Volúmenes'!$P$12:$P$63</c:f>
              <c:numCache>
                <c:formatCode>0.00</c:formatCode>
                <c:ptCount val="52"/>
                <c:pt idx="0">
                  <c:v>117.2900009</c:v>
                </c:pt>
                <c:pt idx="1">
                  <c:v>116.0110016</c:v>
                </c:pt>
                <c:pt idx="2">
                  <c:v>117.6</c:v>
                </c:pt>
                <c:pt idx="3">
                  <c:v>128.32000729999999</c:v>
                </c:pt>
                <c:pt idx="4">
                  <c:v>139.2400055</c:v>
                </c:pt>
                <c:pt idx="5">
                  <c:v>150.94</c:v>
                </c:pt>
                <c:pt idx="6">
                  <c:v>162.4909973</c:v>
                </c:pt>
                <c:pt idx="7">
                  <c:v>169.03700259999999</c:v>
                </c:pt>
                <c:pt idx="8">
                  <c:v>182.64300539999999</c:v>
                </c:pt>
                <c:pt idx="9">
                  <c:v>190.99600219999999</c:v>
                </c:pt>
                <c:pt idx="10">
                  <c:v>200.89500427246</c:v>
                </c:pt>
                <c:pt idx="11">
                  <c:v>209.09500120000001</c:v>
                </c:pt>
                <c:pt idx="12">
                  <c:v>215.7310028</c:v>
                </c:pt>
                <c:pt idx="13">
                  <c:v>219.1710052</c:v>
                </c:pt>
                <c:pt idx="14">
                  <c:v>220.17399599999999</c:v>
                </c:pt>
                <c:pt idx="15">
                  <c:v>220.3150024</c:v>
                </c:pt>
                <c:pt idx="16">
                  <c:v>220.56</c:v>
                </c:pt>
                <c:pt idx="17">
                  <c:v>224.15199279999999</c:v>
                </c:pt>
                <c:pt idx="18">
                  <c:v>224.378006</c:v>
                </c:pt>
                <c:pt idx="19">
                  <c:v>224.60401920000001</c:v>
                </c:pt>
                <c:pt idx="20">
                  <c:v>223.4909973</c:v>
                </c:pt>
                <c:pt idx="21">
                  <c:v>222.62600710000001</c:v>
                </c:pt>
                <c:pt idx="22">
                  <c:v>221.62399289999999</c:v>
                </c:pt>
                <c:pt idx="23">
                  <c:v>218.3840027</c:v>
                </c:pt>
                <c:pt idx="24">
                  <c:v>215.08099369999999</c:v>
                </c:pt>
                <c:pt idx="25">
                  <c:v>210.41900630000001</c:v>
                </c:pt>
                <c:pt idx="26">
                  <c:v>204.23</c:v>
                </c:pt>
                <c:pt idx="27">
                  <c:v>201.1309967</c:v>
                </c:pt>
                <c:pt idx="28">
                  <c:v>196.16000366210901</c:v>
                </c:pt>
                <c:pt idx="29">
                  <c:v>193.86</c:v>
                </c:pt>
                <c:pt idx="30">
                  <c:v>186.24800110000001</c:v>
                </c:pt>
                <c:pt idx="31">
                  <c:v>182.40899659999999</c:v>
                </c:pt>
                <c:pt idx="32">
                  <c:v>178.6940002</c:v>
                </c:pt>
                <c:pt idx="33">
                  <c:v>173.61300660000001</c:v>
                </c:pt>
                <c:pt idx="34">
                  <c:v>170.0189972</c:v>
                </c:pt>
                <c:pt idx="35">
                  <c:v>166.0690002</c:v>
                </c:pt>
                <c:pt idx="36">
                  <c:v>159.17399599999999</c:v>
                </c:pt>
                <c:pt idx="37">
                  <c:v>157.84</c:v>
                </c:pt>
                <c:pt idx="38">
                  <c:v>156.28199768066401</c:v>
                </c:pt>
                <c:pt idx="39">
                  <c:v>148.3529968</c:v>
                </c:pt>
                <c:pt idx="40">
                  <c:v>151.04400630000001</c:v>
                </c:pt>
                <c:pt idx="41">
                  <c:v>146.53</c:v>
                </c:pt>
                <c:pt idx="42">
                  <c:v>137.7400055</c:v>
                </c:pt>
                <c:pt idx="43">
                  <c:v>133.1380005</c:v>
                </c:pt>
                <c:pt idx="44">
                  <c:v>125.7330017</c:v>
                </c:pt>
                <c:pt idx="45">
                  <c:v>125.2030029</c:v>
                </c:pt>
                <c:pt idx="46">
                  <c:v>120.5130005</c:v>
                </c:pt>
                <c:pt idx="47">
                  <c:v>119.3089981</c:v>
                </c:pt>
                <c:pt idx="48">
                  <c:v>119.33200069999999</c:v>
                </c:pt>
                <c:pt idx="49">
                  <c:v>135.91499329999999</c:v>
                </c:pt>
                <c:pt idx="50">
                  <c:v>131.21000670000001</c:v>
                </c:pt>
                <c:pt idx="51">
                  <c:v>139.86399840000001</c:v>
                </c:pt>
              </c:numCache>
            </c:numRef>
          </c:val>
          <c:smooth val="0"/>
          <c:extLst>
            <c:ext xmlns:c16="http://schemas.microsoft.com/office/drawing/2014/chart" uri="{C3380CC4-5D6E-409C-BE32-E72D297353CC}">
              <c16:uniqueId val="{00000000-70C0-4DC4-934D-909B877B1C5A}"/>
            </c:ext>
          </c:extLst>
        </c:ser>
        <c:ser>
          <c:idx val="1"/>
          <c:order val="3"/>
          <c:tx>
            <c:strRef>
              <c:f>'10. Volúmenes'!$Q$11</c:f>
              <c:strCache>
                <c:ptCount val="1"/>
                <c:pt idx="0">
                  <c:v>2020</c:v>
                </c:pt>
              </c:strCache>
            </c:strRef>
          </c:tx>
          <c:spPr>
            <a:ln w="7620"/>
          </c:spPr>
          <c:cat>
            <c:numRef>
              <c:f>'10. Volúmenes'!$M$12:$M$64</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'10. Volúmenes'!$Q$12:$Q$64</c:f>
              <c:numCache>
                <c:formatCode>0.00</c:formatCode>
                <c:ptCount val="53"/>
                <c:pt idx="0">
                  <c:v>117.290000915527</c:v>
                </c:pt>
                <c:pt idx="1">
                  <c:v>146.93600459999999</c:v>
                </c:pt>
                <c:pt idx="2">
                  <c:v>149.93200680000001</c:v>
                </c:pt>
                <c:pt idx="3">
                  <c:v>152.6190033</c:v>
                </c:pt>
                <c:pt idx="4">
                  <c:v>162.19599909999999</c:v>
                </c:pt>
                <c:pt idx="5">
                  <c:v>168.51100158691401</c:v>
                </c:pt>
                <c:pt idx="6">
                  <c:v>175.46800229999999</c:v>
                </c:pt>
                <c:pt idx="7">
                  <c:v>188.82800292968699</c:v>
                </c:pt>
                <c:pt idx="8">
                  <c:v>196.47700499999999</c:v>
                </c:pt>
                <c:pt idx="9">
                  <c:v>199.98199460000001</c:v>
                </c:pt>
                <c:pt idx="10">
                  <c:v>200.89500430000001</c:v>
                </c:pt>
                <c:pt idx="11">
                  <c:v>210.61200000000002</c:v>
                </c:pt>
                <c:pt idx="12">
                  <c:v>221.91900634765599</c:v>
                </c:pt>
                <c:pt idx="13">
                  <c:v>223.19599909999999</c:v>
                </c:pt>
                <c:pt idx="14">
                  <c:v>225.0500031</c:v>
                </c:pt>
                <c:pt idx="15">
                  <c:v>224.84800720000001</c:v>
                </c:pt>
                <c:pt idx="16">
                  <c:v>225.27900695800699</c:v>
                </c:pt>
                <c:pt idx="17" formatCode="0.0">
                  <c:v>226.44200129999999</c:v>
                </c:pt>
                <c:pt idx="18" formatCode="0.0">
                  <c:v>227.14199830000001</c:v>
                </c:pt>
                <c:pt idx="19" formatCode="0.0">
                  <c:v>227.625</c:v>
                </c:pt>
                <c:pt idx="20" formatCode="0.0">
                  <c:v>227.75800000000001</c:v>
                </c:pt>
                <c:pt idx="21" formatCode="0.0">
                  <c:v>226.41700739999999</c:v>
                </c:pt>
                <c:pt idx="22" formatCode="0.0">
                  <c:v>224.4589996</c:v>
                </c:pt>
                <c:pt idx="23" formatCode="0.0">
                  <c:v>220.634994506835</c:v>
                </c:pt>
                <c:pt idx="24" formatCode="0.0">
                  <c:v>218.28599550000001</c:v>
                </c:pt>
                <c:pt idx="25" formatCode="0.0">
                  <c:v>214.90499879999999</c:v>
                </c:pt>
                <c:pt idx="26" formatCode="0.0">
                  <c:v>210.91799926757801</c:v>
                </c:pt>
                <c:pt idx="27" formatCode="0.0">
                  <c:v>207.96099849999999</c:v>
                </c:pt>
                <c:pt idx="28" formatCode="0.0">
                  <c:v>205.66700739999999</c:v>
                </c:pt>
                <c:pt idx="29" formatCode="0.0">
                  <c:v>197.3999939</c:v>
                </c:pt>
                <c:pt idx="30" formatCode="0.0">
                  <c:v>194.98199460000001</c:v>
                </c:pt>
                <c:pt idx="31" formatCode="General">
                  <c:v>190.13999938964801</c:v>
                </c:pt>
                <c:pt idx="32" formatCode="General">
                  <c:v>186.17300420000001</c:v>
                </c:pt>
                <c:pt idx="33" formatCode="General">
                  <c:v>183.14799500000001</c:v>
                </c:pt>
                <c:pt idx="34" formatCode="General">
                  <c:v>175.24000549316401</c:v>
                </c:pt>
                <c:pt idx="35" formatCode="General">
                  <c:v>171.61000061035099</c:v>
                </c:pt>
                <c:pt idx="36" formatCode="General">
                  <c:v>167.78999328613199</c:v>
                </c:pt>
                <c:pt idx="37" formatCode="General">
                  <c:v>170.03999328613199</c:v>
                </c:pt>
                <c:pt idx="38" formatCode="General">
                  <c:v>159.69</c:v>
                </c:pt>
                <c:pt idx="39" formatCode="General">
                  <c:v>150.2969971</c:v>
                </c:pt>
                <c:pt idx="40" formatCode="General">
                  <c:v>146.7689972</c:v>
                </c:pt>
                <c:pt idx="41" formatCode="General">
                  <c:v>142.69900512695301</c:v>
                </c:pt>
                <c:pt idx="42" formatCode="General">
                  <c:v>135.75</c:v>
                </c:pt>
                <c:pt idx="43" formatCode="General">
                  <c:v>130.27000430000001</c:v>
                </c:pt>
              </c:numCache>
            </c:numRef>
          </c:val>
          <c:smooth val="0"/>
          <c:extLst>
            <c:ext xmlns:c16="http://schemas.microsoft.com/office/drawing/2014/chart" uri="{C3380CC4-5D6E-409C-BE32-E72D297353CC}">
              <c16:uniqueId val="{00000000-7C1B-41CE-A723-C95B6C4B48F3}"/>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numFmt formatCode="#,##0_ ;\-#,##0\ " sourceLinked="1"/>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lgn="l">
                  <a:defRPr/>
                </a:pPr>
                <a:r>
                  <a:rPr lang="en-US"/>
                  <a:t>Millones</a:t>
                </a:r>
                <a:br>
                  <a:rPr lang="en-US"/>
                </a:br>
                <a:r>
                  <a:rPr lang="en-US"/>
                  <a:t>de m3</a:t>
                </a:r>
              </a:p>
            </c:rich>
          </c:tx>
          <c:layout>
            <c:manualLayout>
              <c:xMode val="edge"/>
              <c:yMode val="edge"/>
              <c:x val="4.1850328666346963E-3"/>
              <c:y val="7.8221812327581325E-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926403599373089"/>
          <c:y val="0.79216888512990402"/>
          <c:w val="0.41086870501915085"/>
          <c:h val="5.3655243736512481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Enero 2018
INFSGI-MES-01-2018
15/02/2018
Versión: 01</c:oddHeader>
    </c:headerFooter>
    <c:pageMargins b="0.75" l="0.7" r="0.7" t="0.75" header="0.3" footer="0.3"/>
    <c:pageSetup orientation="portrait"/>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 ÚTIL DEL LAGO JUNÍN - ELECTROPERÚ</a:t>
            </a:r>
          </a:p>
        </c:rich>
      </c:tx>
      <c:layout>
        <c:manualLayout>
          <c:xMode val="edge"/>
          <c:yMode val="edge"/>
          <c:x val="0.24371235610765229"/>
          <c:y val="6.5606540439772695E-2"/>
        </c:manualLayout>
      </c:layout>
      <c:overlay val="1"/>
    </c:title>
    <c:autoTitleDeleted val="0"/>
    <c:plotArea>
      <c:layout>
        <c:manualLayout>
          <c:layoutTarget val="inner"/>
          <c:xMode val="edge"/>
          <c:yMode val="edge"/>
          <c:x val="4.8044164228694813E-2"/>
          <c:y val="0.19371987512072408"/>
          <c:w val="0.93573858815800515"/>
          <c:h val="0.67796098989555775"/>
        </c:manualLayout>
      </c:layout>
      <c:lineChart>
        <c:grouping val="standard"/>
        <c:varyColors val="0"/>
        <c:ser>
          <c:idx val="2"/>
          <c:order val="0"/>
          <c:tx>
            <c:strRef>
              <c:f>'11. Volúmenes'!$O$5</c:f>
              <c:strCache>
                <c:ptCount val="1"/>
                <c:pt idx="0">
                  <c:v>2017</c:v>
                </c:pt>
              </c:strCache>
            </c:strRef>
          </c:tx>
          <c:spPr>
            <a:ln w="15875">
              <a:solidFill>
                <a:schemeClr val="accent6"/>
              </a:solidFill>
            </a:ln>
          </c:spPr>
          <c:marker>
            <c:symbol val="star"/>
            <c:size val="7"/>
            <c:spPr>
              <a:noFill/>
              <a:ln>
                <a:solidFill>
                  <a:srgbClr val="00B050"/>
                </a:solidFill>
              </a:ln>
              <a:effectLst/>
            </c:spPr>
          </c:marker>
          <c:val>
            <c:numRef>
              <c:f>'11. Volúmenes'!$O$6:$O$57</c:f>
              <c:numCache>
                <c:formatCode>0.00</c:formatCode>
                <c:ptCount val="52"/>
                <c:pt idx="0">
                  <c:v>27.559000019999999</c:v>
                </c:pt>
                <c:pt idx="1">
                  <c:v>36.5890007</c:v>
                </c:pt>
                <c:pt idx="2">
                  <c:v>63.17599869</c:v>
                </c:pt>
                <c:pt idx="3">
                  <c:v>113.2139969</c:v>
                </c:pt>
                <c:pt idx="4">
                  <c:v>156.8220062</c:v>
                </c:pt>
                <c:pt idx="5">
                  <c:v>168.8840027</c:v>
                </c:pt>
                <c:pt idx="6">
                  <c:v>196.28300479999999</c:v>
                </c:pt>
                <c:pt idx="7">
                  <c:v>230.18899540000001</c:v>
                </c:pt>
                <c:pt idx="8">
                  <c:v>249.13000489999999</c:v>
                </c:pt>
                <c:pt idx="9">
                  <c:v>311.77999999999997</c:v>
                </c:pt>
                <c:pt idx="10">
                  <c:v>332.70800000000003</c:v>
                </c:pt>
                <c:pt idx="11">
                  <c:v>344.881012</c:v>
                </c:pt>
                <c:pt idx="12">
                  <c:v>338.77499390000003</c:v>
                </c:pt>
                <c:pt idx="13">
                  <c:v>338.77999390000002</c:v>
                </c:pt>
                <c:pt idx="14">
                  <c:v>347.94900510000002</c:v>
                </c:pt>
                <c:pt idx="15">
                  <c:v>354.11401369999999</c:v>
                </c:pt>
                <c:pt idx="16">
                  <c:v>351.02700809999999</c:v>
                </c:pt>
                <c:pt idx="17">
                  <c:v>354.11401369999999</c:v>
                </c:pt>
                <c:pt idx="18">
                  <c:v>363.43499759999997</c:v>
                </c:pt>
                <c:pt idx="19">
                  <c:v>366.56100459999999</c:v>
                </c:pt>
                <c:pt idx="20">
                  <c:v>357.21099850000002</c:v>
                </c:pt>
                <c:pt idx="21">
                  <c:v>341.82</c:v>
                </c:pt>
                <c:pt idx="22">
                  <c:v>326.67999270000001</c:v>
                </c:pt>
                <c:pt idx="23">
                  <c:v>308.82998659999998</c:v>
                </c:pt>
                <c:pt idx="24">
                  <c:v>291.33300780000002</c:v>
                </c:pt>
                <c:pt idx="25">
                  <c:v>268.55099489999998</c:v>
                </c:pt>
                <c:pt idx="26">
                  <c:v>265.7470093</c:v>
                </c:pt>
                <c:pt idx="27">
                  <c:v>243.66999820000001</c:v>
                </c:pt>
                <c:pt idx="28">
                  <c:v>227.5220032</c:v>
                </c:pt>
                <c:pt idx="29">
                  <c:v>216.95199579999999</c:v>
                </c:pt>
                <c:pt idx="30">
                  <c:v>209.128006</c:v>
                </c:pt>
                <c:pt idx="31">
                  <c:v>198.83200070000001</c:v>
                </c:pt>
                <c:pt idx="32">
                  <c:v>188.69299319999999</c:v>
                </c:pt>
                <c:pt idx="33">
                  <c:v>183.68200680000001</c:v>
                </c:pt>
                <c:pt idx="34">
                  <c:v>176.23899840000001</c:v>
                </c:pt>
                <c:pt idx="35">
                  <c:v>168.8840027</c:v>
                </c:pt>
                <c:pt idx="36">
                  <c:v>159.2149963</c:v>
                </c:pt>
                <c:pt idx="37">
                  <c:v>149.70199579999999</c:v>
                </c:pt>
                <c:pt idx="38">
                  <c:v>138.02999879999999</c:v>
                </c:pt>
                <c:pt idx="39">
                  <c:v>131.14500430000001</c:v>
                </c:pt>
                <c:pt idx="40">
                  <c:v>108.82900239999999</c:v>
                </c:pt>
                <c:pt idx="41">
                  <c:v>95.908996579999993</c:v>
                </c:pt>
                <c:pt idx="42">
                  <c:v>83.341003420000007</c:v>
                </c:pt>
                <c:pt idx="43">
                  <c:v>75.16</c:v>
                </c:pt>
                <c:pt idx="44">
                  <c:v>65.149002080000002</c:v>
                </c:pt>
                <c:pt idx="45">
                  <c:v>47.749000549999998</c:v>
                </c:pt>
                <c:pt idx="46">
                  <c:v>34.763999939999998</c:v>
                </c:pt>
                <c:pt idx="47">
                  <c:v>13.618000029999999</c:v>
                </c:pt>
                <c:pt idx="48">
                  <c:v>8.5520000459999999</c:v>
                </c:pt>
                <c:pt idx="49">
                  <c:v>13.618000029999999</c:v>
                </c:pt>
                <c:pt idx="50">
                  <c:v>18.771999359999999</c:v>
                </c:pt>
                <c:pt idx="51">
                  <c:v>25.781999590000002</c:v>
                </c:pt>
              </c:numCache>
            </c:numRef>
          </c:val>
          <c:smooth val="0"/>
          <c:extLst>
            <c:ext xmlns:c16="http://schemas.microsoft.com/office/drawing/2014/chart" uri="{C3380CC4-5D6E-409C-BE32-E72D297353CC}">
              <c16:uniqueId val="{00000002-E67E-478C-BF33-2DFC489EAE45}"/>
            </c:ext>
          </c:extLst>
        </c:ser>
        <c:ser>
          <c:idx val="3"/>
          <c:order val="1"/>
          <c:tx>
            <c:strRef>
              <c:f>'11. Volúmenes'!$P$5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val>
            <c:numRef>
              <c:f>'11. Volúmenes'!$P$6:$P$57</c:f>
              <c:numCache>
                <c:formatCode>0.00</c:formatCode>
                <c:ptCount val="52"/>
                <c:pt idx="0">
                  <c:v>34.76</c:v>
                </c:pt>
                <c:pt idx="1">
                  <c:v>47.749000549999998</c:v>
                </c:pt>
                <c:pt idx="2">
                  <c:v>67.130996699999997</c:v>
                </c:pt>
                <c:pt idx="3">
                  <c:v>93.789001459999994</c:v>
                </c:pt>
                <c:pt idx="4">
                  <c:v>111.01599880000001</c:v>
                </c:pt>
                <c:pt idx="5">
                  <c:v>126.6029968</c:v>
                </c:pt>
                <c:pt idx="6">
                  <c:v>135.7250061</c:v>
                </c:pt>
                <c:pt idx="7">
                  <c:v>159.2149963</c:v>
                </c:pt>
                <c:pt idx="8">
                  <c:v>186.18299870000001</c:v>
                </c:pt>
                <c:pt idx="9">
                  <c:v>203.96099849999999</c:v>
                </c:pt>
                <c:pt idx="10">
                  <c:v>230.18899540000001</c:v>
                </c:pt>
                <c:pt idx="11">
                  <c:v>282.71701050000001</c:v>
                </c:pt>
                <c:pt idx="12">
                  <c:v>329.68899540000001</c:v>
                </c:pt>
                <c:pt idx="13">
                  <c:v>329.68899540000001</c:v>
                </c:pt>
                <c:pt idx="14">
                  <c:v>326.67999270000001</c:v>
                </c:pt>
                <c:pt idx="15">
                  <c:v>314.7409973</c:v>
                </c:pt>
                <c:pt idx="16">
                  <c:v>305.89001459999997</c:v>
                </c:pt>
                <c:pt idx="17">
                  <c:v>314.7409973</c:v>
                </c:pt>
                <c:pt idx="18">
                  <c:v>314.7409973</c:v>
                </c:pt>
                <c:pt idx="19">
                  <c:v>314.7409973</c:v>
                </c:pt>
                <c:pt idx="20">
                  <c:v>314.7409973</c:v>
                </c:pt>
                <c:pt idx="21">
                  <c:v>311.78100590000003</c:v>
                </c:pt>
                <c:pt idx="22">
                  <c:v>308.82998659999998</c:v>
                </c:pt>
                <c:pt idx="23">
                  <c:v>300.0379944</c:v>
                </c:pt>
                <c:pt idx="24">
                  <c:v>294.22500609999997</c:v>
                </c:pt>
                <c:pt idx="25">
                  <c:v>282.71701050000001</c:v>
                </c:pt>
                <c:pt idx="26">
                  <c:v>271.36</c:v>
                </c:pt>
                <c:pt idx="27">
                  <c:v>260.16900629999998</c:v>
                </c:pt>
                <c:pt idx="28">
                  <c:v>251.88</c:v>
                </c:pt>
                <c:pt idx="29">
                  <c:v>232.8650055</c:v>
                </c:pt>
                <c:pt idx="30">
                  <c:v>211.726</c:v>
                </c:pt>
                <c:pt idx="31">
                  <c:v>181.19200129999999</c:v>
                </c:pt>
                <c:pt idx="32">
                  <c:v>152.0650024</c:v>
                </c:pt>
                <c:pt idx="33">
                  <c:v>156.8220062</c:v>
                </c:pt>
                <c:pt idx="34">
                  <c:v>156.82</c:v>
                </c:pt>
                <c:pt idx="35">
                  <c:v>159.21</c:v>
                </c:pt>
                <c:pt idx="36">
                  <c:v>159.2149963</c:v>
                </c:pt>
                <c:pt idx="37">
                  <c:v>149.70199579999999</c:v>
                </c:pt>
                <c:pt idx="38">
                  <c:v>117.6380005</c:v>
                </c:pt>
                <c:pt idx="39">
                  <c:v>91.680000309999997</c:v>
                </c:pt>
                <c:pt idx="40">
                  <c:v>71.125</c:v>
                </c:pt>
                <c:pt idx="41">
                  <c:v>59.261001586913999</c:v>
                </c:pt>
                <c:pt idx="42">
                  <c:v>47.749000549316399</c:v>
                </c:pt>
                <c:pt idx="43">
                  <c:v>38.424999239999998</c:v>
                </c:pt>
                <c:pt idx="44">
                  <c:v>31.142000199999998</c:v>
                </c:pt>
                <c:pt idx="45">
                  <c:v>22.26</c:v>
                </c:pt>
                <c:pt idx="46">
                  <c:v>17.044000629999999</c:v>
                </c:pt>
                <c:pt idx="47">
                  <c:v>36.5890007</c:v>
                </c:pt>
                <c:pt idx="48">
                  <c:v>36.590000000000003</c:v>
                </c:pt>
                <c:pt idx="49">
                  <c:v>34.763999939999998</c:v>
                </c:pt>
                <c:pt idx="50">
                  <c:v>38.4</c:v>
                </c:pt>
                <c:pt idx="51">
                  <c:v>59.261001589999999</c:v>
                </c:pt>
              </c:numCache>
            </c:numRef>
          </c:val>
          <c:smooth val="0"/>
          <c:extLst>
            <c:ext xmlns:c16="http://schemas.microsoft.com/office/drawing/2014/chart" uri="{C3380CC4-5D6E-409C-BE32-E72D297353CC}">
              <c16:uniqueId val="{00000001-E67E-478C-BF33-2DFC489EAE45}"/>
            </c:ext>
          </c:extLst>
        </c:ser>
        <c:ser>
          <c:idx val="0"/>
          <c:order val="2"/>
          <c:tx>
            <c:strRef>
              <c:f>'11. Volúmenes'!$Q$5</c:f>
              <c:strCache>
                <c:ptCount val="1"/>
                <c:pt idx="0">
                  <c:v>2019</c:v>
                </c:pt>
              </c:strCache>
            </c:strRef>
          </c:tx>
          <c:spPr>
            <a:ln w="19050"/>
          </c:spPr>
          <c:marker>
            <c:symbol val="circle"/>
            <c:size val="4"/>
            <c:spPr>
              <a:solidFill>
                <a:srgbClr val="0077A5"/>
              </a:solidFill>
              <a:ln w="9525">
                <a:solidFill>
                  <a:schemeClr val="bg1">
                    <a:lumMod val="95000"/>
                  </a:schemeClr>
                </a:solidFill>
              </a:ln>
            </c:spPr>
          </c:marker>
          <c:val>
            <c:numRef>
              <c:f>'11. Volúmenes'!$Q$6:$Q$57</c:f>
              <c:numCache>
                <c:formatCode>0.00</c:formatCode>
                <c:ptCount val="52"/>
                <c:pt idx="0">
                  <c:v>71.125</c:v>
                </c:pt>
                <c:pt idx="1">
                  <c:v>79.228996280000004</c:v>
                </c:pt>
                <c:pt idx="2">
                  <c:v>106.65</c:v>
                </c:pt>
                <c:pt idx="3">
                  <c:v>140.34500120000001</c:v>
                </c:pt>
                <c:pt idx="4">
                  <c:v>186.18299870000001</c:v>
                </c:pt>
                <c:pt idx="5">
                  <c:v>222.22</c:v>
                </c:pt>
                <c:pt idx="6">
                  <c:v>277.02099609999999</c:v>
                </c:pt>
                <c:pt idx="7">
                  <c:v>293.06698610000001</c:v>
                </c:pt>
                <c:pt idx="8">
                  <c:v>294.29501340000002</c:v>
                </c:pt>
                <c:pt idx="9">
                  <c:v>291.91101070000002</c:v>
                </c:pt>
                <c:pt idx="10">
                  <c:v>301.204986572265</c:v>
                </c:pt>
                <c:pt idx="11">
                  <c:v>310.0090027</c:v>
                </c:pt>
                <c:pt idx="12">
                  <c:v>333.91799930000002</c:v>
                </c:pt>
                <c:pt idx="13">
                  <c:v>335.73699950000002</c:v>
                </c:pt>
                <c:pt idx="14">
                  <c:v>335.73699950000002</c:v>
                </c:pt>
                <c:pt idx="15">
                  <c:v>335.73699950000002</c:v>
                </c:pt>
                <c:pt idx="16">
                  <c:v>335.73699950000002</c:v>
                </c:pt>
                <c:pt idx="17">
                  <c:v>335.73699950000002</c:v>
                </c:pt>
                <c:pt idx="18">
                  <c:v>314.7409973</c:v>
                </c:pt>
                <c:pt idx="19">
                  <c:v>315.3340149</c:v>
                </c:pt>
                <c:pt idx="20">
                  <c:v>311.78100590000003</c:v>
                </c:pt>
                <c:pt idx="21">
                  <c:v>310.60000609999997</c:v>
                </c:pt>
                <c:pt idx="22">
                  <c:v>307.06500240000003</c:v>
                </c:pt>
                <c:pt idx="23">
                  <c:v>302.9590149</c:v>
                </c:pt>
                <c:pt idx="24">
                  <c:v>300.0379944</c:v>
                </c:pt>
                <c:pt idx="25">
                  <c:v>296.06698610000001</c:v>
                </c:pt>
                <c:pt idx="26">
                  <c:v>275.89</c:v>
                </c:pt>
                <c:pt idx="27">
                  <c:v>248.58200070000001</c:v>
                </c:pt>
                <c:pt idx="28">
                  <c:v>238.787994384765</c:v>
                </c:pt>
                <c:pt idx="29">
                  <c:v>229.12</c:v>
                </c:pt>
                <c:pt idx="30">
                  <c:v>219.05400090000001</c:v>
                </c:pt>
                <c:pt idx="31">
                  <c:v>209.128006</c:v>
                </c:pt>
                <c:pt idx="32">
                  <c:v>199.85499569999999</c:v>
                </c:pt>
                <c:pt idx="33">
                  <c:v>188.69299319999999</c:v>
                </c:pt>
                <c:pt idx="34">
                  <c:v>177.72099299999999</c:v>
                </c:pt>
                <c:pt idx="35">
                  <c:v>164.99800110000001</c:v>
                </c:pt>
                <c:pt idx="36">
                  <c:v>154.53400055</c:v>
                </c:pt>
                <c:pt idx="37">
                  <c:v>144.07</c:v>
                </c:pt>
                <c:pt idx="38">
                  <c:v>135.725006103515</c:v>
                </c:pt>
                <c:pt idx="39">
                  <c:v>127.0559998</c:v>
                </c:pt>
                <c:pt idx="40">
                  <c:v>110.13999939999999</c:v>
                </c:pt>
                <c:pt idx="41">
                  <c:v>100.61</c:v>
                </c:pt>
                <c:pt idx="42">
                  <c:v>95.484001160000005</c:v>
                </c:pt>
                <c:pt idx="43">
                  <c:v>89.581001279999995</c:v>
                </c:pt>
                <c:pt idx="44">
                  <c:v>79.638999940000005</c:v>
                </c:pt>
                <c:pt idx="45">
                  <c:v>80.049003600000006</c:v>
                </c:pt>
                <c:pt idx="46">
                  <c:v>85.825996399999994</c:v>
                </c:pt>
                <c:pt idx="47">
                  <c:v>77.596000669999995</c:v>
                </c:pt>
                <c:pt idx="48">
                  <c:v>54.613998410000001</c:v>
                </c:pt>
                <c:pt idx="49">
                  <c:v>64.358001709999996</c:v>
                </c:pt>
                <c:pt idx="50">
                  <c:v>80.049003600000006</c:v>
                </c:pt>
                <c:pt idx="51">
                  <c:v>108.82900239999999</c:v>
                </c:pt>
              </c:numCache>
            </c:numRef>
          </c:val>
          <c:smooth val="0"/>
          <c:extLst>
            <c:ext xmlns:c16="http://schemas.microsoft.com/office/drawing/2014/chart" uri="{C3380CC4-5D6E-409C-BE32-E72D297353CC}">
              <c16:uniqueId val="{00000000-E67E-478C-BF33-2DFC489EAE45}"/>
            </c:ext>
          </c:extLst>
        </c:ser>
        <c:ser>
          <c:idx val="1"/>
          <c:order val="3"/>
          <c:tx>
            <c:strRef>
              <c:f>'11. Volúmenes'!$R$5</c:f>
              <c:strCache>
                <c:ptCount val="1"/>
                <c:pt idx="0">
                  <c:v>2020</c:v>
                </c:pt>
              </c:strCache>
            </c:strRef>
          </c:tx>
          <c:spPr>
            <a:ln w="6350"/>
          </c:spPr>
          <c:val>
            <c:numRef>
              <c:f>'11. Volúmenes'!$R$6:$R$58</c:f>
              <c:numCache>
                <c:formatCode>_(* #,##0.00_);_(* \(#,##0.00\);_(* "-"??_);_(@_)</c:formatCode>
                <c:ptCount val="53"/>
                <c:pt idx="0">
                  <c:v>133.42999267578099</c:v>
                </c:pt>
                <c:pt idx="1">
                  <c:v>141.27299500000001</c:v>
                </c:pt>
                <c:pt idx="2">
                  <c:v>151.56199649999999</c:v>
                </c:pt>
                <c:pt idx="3">
                  <c:v>167.9100037</c:v>
                </c:pt>
                <c:pt idx="4">
                  <c:v>209.06850435244098</c:v>
                </c:pt>
                <c:pt idx="5">
                  <c:v>250.22700500488199</c:v>
                </c:pt>
                <c:pt idx="6">
                  <c:v>274.18798829999997</c:v>
                </c:pt>
                <c:pt idx="7">
                  <c:v>291.3330078125</c:v>
                </c:pt>
                <c:pt idx="8">
                  <c:v>281.57400510000002</c:v>
                </c:pt>
                <c:pt idx="9">
                  <c:v>277.58898929999998</c:v>
                </c:pt>
                <c:pt idx="10">
                  <c:v>288.4509888</c:v>
                </c:pt>
                <c:pt idx="11">
                  <c:v>295.38400268554602</c:v>
                </c:pt>
                <c:pt idx="12">
                  <c:v>303.54400634765602</c:v>
                </c:pt>
                <c:pt idx="13" formatCode="General">
                  <c:v>296.54501340000002</c:v>
                </c:pt>
                <c:pt idx="14" formatCode="General">
                  <c:v>289.60299680000003</c:v>
                </c:pt>
                <c:pt idx="15" formatCode="General">
                  <c:v>285.006012</c:v>
                </c:pt>
                <c:pt idx="16" formatCode="General">
                  <c:v>285.00601196289</c:v>
                </c:pt>
                <c:pt idx="17" formatCode="General">
                  <c:v>285.006012</c:v>
                </c:pt>
                <c:pt idx="18" formatCode="General">
                  <c:v>314.7409973</c:v>
                </c:pt>
                <c:pt idx="19" formatCode="General">
                  <c:v>314.14801030000001</c:v>
                </c:pt>
                <c:pt idx="20" formatCode="0.000">
                  <c:v>312.37200927734301</c:v>
                </c:pt>
                <c:pt idx="21" formatCode="0.000">
                  <c:v>310.60000609999997</c:v>
                </c:pt>
                <c:pt idx="22" formatCode="0.000">
                  <c:v>307.06500240000003</c:v>
                </c:pt>
                <c:pt idx="23" formatCode="0.000">
                  <c:v>300.621002197265</c:v>
                </c:pt>
                <c:pt idx="24" formatCode="0.000">
                  <c:v>286.72698969999999</c:v>
                </c:pt>
                <c:pt idx="25" formatCode="0.000">
                  <c:v>266.86801150000002</c:v>
                </c:pt>
                <c:pt idx="26" formatCode="0.000">
                  <c:v>255.73500061035099</c:v>
                </c:pt>
                <c:pt idx="27" formatCode="0.000">
                  <c:v>244.7590027</c:v>
                </c:pt>
                <c:pt idx="28" formatCode="0.000">
                  <c:v>231.25799559999999</c:v>
                </c:pt>
                <c:pt idx="29" formatCode="0.000">
                  <c:v>219.58000179999999</c:v>
                </c:pt>
                <c:pt idx="30" formatCode="0.000">
                  <c:v>209.128006</c:v>
                </c:pt>
                <c:pt idx="31" formatCode="General">
                  <c:v>201.39199830000001</c:v>
                </c:pt>
                <c:pt idx="32" formatCode="General">
                  <c:v>189.6999969</c:v>
                </c:pt>
                <c:pt idx="33" formatCode="General">
                  <c:v>178.71099849999999</c:v>
                </c:pt>
                <c:pt idx="34" formatCode="General">
                  <c:v>167.91000366210901</c:v>
                </c:pt>
                <c:pt idx="35" formatCode="General">
                  <c:v>158.25599670410099</c:v>
                </c:pt>
                <c:pt idx="36" formatCode="General">
                  <c:v>147.34800720214801</c:v>
                </c:pt>
                <c:pt idx="37" formatCode="General">
                  <c:v>136.64599609375</c:v>
                </c:pt>
                <c:pt idx="38" formatCode="General">
                  <c:v>131.14500430000001</c:v>
                </c:pt>
                <c:pt idx="39" formatCode="General">
                  <c:v>120.7580032</c:v>
                </c:pt>
                <c:pt idx="40" formatCode="General">
                  <c:v>102.3249969</c:v>
                </c:pt>
                <c:pt idx="41" formatCode="General">
                  <c:v>92.944999694824205</c:v>
                </c:pt>
                <c:pt idx="42" formatCode="General">
                  <c:v>84.166999820000001</c:v>
                </c:pt>
                <c:pt idx="43" formatCode="General">
                  <c:v>82.51499939</c:v>
                </c:pt>
              </c:numCache>
            </c:numRef>
          </c:val>
          <c:smooth val="0"/>
          <c:extLst>
            <c:ext xmlns:c16="http://schemas.microsoft.com/office/drawing/2014/chart" uri="{C3380CC4-5D6E-409C-BE32-E72D297353CC}">
              <c16:uniqueId val="{00000000-C446-4F9D-AE96-B5DE48A8F04B}"/>
            </c:ext>
          </c:extLst>
        </c:ser>
        <c:dLbls>
          <c:showLegendKey val="0"/>
          <c:showVal val="0"/>
          <c:showCatName val="0"/>
          <c:showSerName val="0"/>
          <c:showPercent val="0"/>
          <c:showBubbleSize val="0"/>
        </c:dLbls>
        <c:marker val="1"/>
        <c:smooth val="0"/>
        <c:axId val="350902528"/>
        <c:axId val="350913280"/>
      </c:lineChart>
      <c:catAx>
        <c:axId val="350902528"/>
        <c:scaling>
          <c:orientation val="minMax"/>
        </c:scaling>
        <c:delete val="0"/>
        <c:axPos val="b"/>
        <c:title>
          <c:tx>
            <c:rich>
              <a:bodyPr/>
              <a:lstStyle/>
              <a:p>
                <a:pPr>
                  <a:defRPr/>
                </a:pPr>
                <a:r>
                  <a:rPr lang="en-US"/>
                  <a:t>Semanas</a:t>
                </a:r>
              </a:p>
            </c:rich>
          </c:tx>
          <c:layout>
            <c:manualLayout>
              <c:xMode val="edge"/>
              <c:yMode val="edge"/>
              <c:x val="0.91317951613927173"/>
              <c:y val="0.92620699140030271"/>
            </c:manualLayout>
          </c:layout>
          <c:overlay val="0"/>
        </c:title>
        <c:majorTickMark val="out"/>
        <c:minorTickMark val="none"/>
        <c:tickLblPos val="nextTo"/>
        <c:crossAx val="350913280"/>
        <c:crosses val="autoZero"/>
        <c:auto val="1"/>
        <c:lblAlgn val="ctr"/>
        <c:lblOffset val="100"/>
        <c:tickLblSkip val="4"/>
        <c:tickMarkSkip val="1"/>
        <c:noMultiLvlLbl val="0"/>
      </c:catAx>
      <c:valAx>
        <c:axId val="350913280"/>
        <c:scaling>
          <c:orientation val="minMax"/>
          <c:min val="0"/>
        </c:scaling>
        <c:delete val="0"/>
        <c:axPos val="l"/>
        <c:majorGridlines/>
        <c:title>
          <c:tx>
            <c:rich>
              <a:bodyPr rot="0" vert="horz"/>
              <a:lstStyle/>
              <a:p>
                <a:pPr>
                  <a:defRPr/>
                </a:pPr>
                <a:r>
                  <a:rPr lang="en-US"/>
                  <a:t>Millones de m3</a:t>
                </a:r>
              </a:p>
            </c:rich>
          </c:tx>
          <c:layout>
            <c:manualLayout>
              <c:xMode val="edge"/>
              <c:yMode val="edge"/>
              <c:x val="6.2615510194436218E-3"/>
              <c:y val="0.11109965635738832"/>
            </c:manualLayout>
          </c:layout>
          <c:overlay val="0"/>
        </c:title>
        <c:numFmt formatCode="0" sourceLinked="0"/>
        <c:majorTickMark val="out"/>
        <c:minorTickMark val="none"/>
        <c:tickLblPos val="nextTo"/>
        <c:crossAx val="350902528"/>
        <c:crosses val="autoZero"/>
        <c:crossBetween val="between"/>
      </c:valAx>
    </c:plotArea>
    <c:legend>
      <c:legendPos val="b"/>
      <c:layout>
        <c:manualLayout>
          <c:xMode val="edge"/>
          <c:yMode val="edge"/>
          <c:x val="0.26516300612465599"/>
          <c:y val="0.81181982887173243"/>
          <c:w val="0.40862731212426778"/>
          <c:h val="6.0426048527624059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Abril 2018
INFSGI-MES-04-2018
10/05/2018
Versión: 01</c:oddHeader>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VOLUMEN</a:t>
            </a:r>
            <a:r>
              <a:rPr lang="es-PE"/>
              <a:t> TOTAL  DE LOS EMBALSES EGASA</a:t>
            </a:r>
          </a:p>
          <a:p>
            <a:pPr>
              <a:defRPr/>
            </a:pPr>
            <a:r>
              <a:rPr lang="es-PE"/>
              <a:t> (El Frayle, Pañe, Pillones,  Aguada Blanca, Chalhuanca y Bamputañe )</a:t>
            </a:r>
          </a:p>
        </c:rich>
      </c:tx>
      <c:overlay val="1"/>
    </c:title>
    <c:autoTitleDeleted val="0"/>
    <c:plotArea>
      <c:layout>
        <c:manualLayout>
          <c:layoutTarget val="inner"/>
          <c:xMode val="edge"/>
          <c:yMode val="edge"/>
          <c:x val="6.7787212591650728E-2"/>
          <c:y val="0.2405180497363909"/>
          <c:w val="0.92607319764209539"/>
          <c:h val="0.66347317452750187"/>
        </c:manualLayout>
      </c:layout>
      <c:lineChart>
        <c:grouping val="standard"/>
        <c:varyColors val="0"/>
        <c:ser>
          <c:idx val="2"/>
          <c:order val="0"/>
          <c:tx>
            <c:strRef>
              <c:f>'11. Volúmenes'!$T$5</c:f>
              <c:strCache>
                <c:ptCount val="1"/>
                <c:pt idx="0">
                  <c:v>2017</c:v>
                </c:pt>
              </c:strCache>
            </c:strRef>
          </c:tx>
          <c:spPr>
            <a:ln w="19050">
              <a:solidFill>
                <a:schemeClr val="accent6"/>
              </a:solidFill>
            </a:ln>
          </c:spPr>
          <c:marker>
            <c:symbol val="star"/>
            <c:size val="7"/>
            <c:spPr>
              <a:noFill/>
              <a:ln>
                <a:solidFill>
                  <a:srgbClr val="00B050"/>
                </a:solidFill>
              </a:ln>
              <a:effectLst/>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Volúmenes'!$T$7:$T$57</c:f>
              <c:numCache>
                <c:formatCode>0.00</c:formatCode>
                <c:ptCount val="51"/>
                <c:pt idx="0">
                  <c:v>136.535000822</c:v>
                </c:pt>
                <c:pt idx="1">
                  <c:v>170.80799961000002</c:v>
                </c:pt>
                <c:pt idx="2">
                  <c:v>186.385000214</c:v>
                </c:pt>
                <c:pt idx="3">
                  <c:v>204.80799868699998</c:v>
                </c:pt>
                <c:pt idx="4">
                  <c:v>201.82999366799999</c:v>
                </c:pt>
                <c:pt idx="5">
                  <c:v>199.59600258</c:v>
                </c:pt>
                <c:pt idx="6">
                  <c:v>214.34299659800001</c:v>
                </c:pt>
                <c:pt idx="7">
                  <c:v>250.89400288000002</c:v>
                </c:pt>
                <c:pt idx="8">
                  <c:v>298.99899296000001</c:v>
                </c:pt>
                <c:pt idx="9">
                  <c:v>321.03300188000003</c:v>
                </c:pt>
                <c:pt idx="10">
                  <c:v>332.34900279999999</c:v>
                </c:pt>
                <c:pt idx="11">
                  <c:v>366.02899361000004</c:v>
                </c:pt>
                <c:pt idx="12">
                  <c:v>382.58400344</c:v>
                </c:pt>
                <c:pt idx="13">
                  <c:v>385.29699126999998</c:v>
                </c:pt>
                <c:pt idx="14">
                  <c:v>384.95899003</c:v>
                </c:pt>
                <c:pt idx="15">
                  <c:v>381.86699488000005</c:v>
                </c:pt>
                <c:pt idx="16">
                  <c:v>382.77999115</c:v>
                </c:pt>
                <c:pt idx="17">
                  <c:v>381.91700169999996</c:v>
                </c:pt>
                <c:pt idx="18">
                  <c:v>379.35699083999998</c:v>
                </c:pt>
                <c:pt idx="19">
                  <c:v>375.59600258</c:v>
                </c:pt>
                <c:pt idx="20">
                  <c:v>373.52000000000004</c:v>
                </c:pt>
                <c:pt idx="21">
                  <c:v>369.22100255000004</c:v>
                </c:pt>
                <c:pt idx="22">
                  <c:v>364.44200138999997</c:v>
                </c:pt>
                <c:pt idx="23">
                  <c:v>359.61999897999999</c:v>
                </c:pt>
                <c:pt idx="24">
                  <c:v>354.77499773999995</c:v>
                </c:pt>
                <c:pt idx="25">
                  <c:v>349.77999684000002</c:v>
                </c:pt>
                <c:pt idx="26">
                  <c:v>344.32400322999996</c:v>
                </c:pt>
                <c:pt idx="27">
                  <c:v>338.60699847999996</c:v>
                </c:pt>
                <c:pt idx="28">
                  <c:v>332.49400331000004</c:v>
                </c:pt>
                <c:pt idx="29">
                  <c:v>324</c:v>
                </c:pt>
                <c:pt idx="30">
                  <c:v>320.73399734000003</c:v>
                </c:pt>
                <c:pt idx="31">
                  <c:v>314.19900131999998</c:v>
                </c:pt>
                <c:pt idx="32">
                  <c:v>307.85200500000002</c:v>
                </c:pt>
                <c:pt idx="33">
                  <c:v>300.83900069999999</c:v>
                </c:pt>
                <c:pt idx="34">
                  <c:v>293.46100233999999</c:v>
                </c:pt>
                <c:pt idx="35">
                  <c:v>287.76599501999999</c:v>
                </c:pt>
                <c:pt idx="36">
                  <c:v>282.07300377000001</c:v>
                </c:pt>
                <c:pt idx="37">
                  <c:v>275.53000069000001</c:v>
                </c:pt>
                <c:pt idx="38">
                  <c:v>268.25699615000002</c:v>
                </c:pt>
                <c:pt idx="39">
                  <c:v>261.21399689000003</c:v>
                </c:pt>
                <c:pt idx="40">
                  <c:v>255.58900451</c:v>
                </c:pt>
                <c:pt idx="41">
                  <c:v>249.85500335</c:v>
                </c:pt>
                <c:pt idx="42">
                  <c:v>242.79000000000002</c:v>
                </c:pt>
                <c:pt idx="43">
                  <c:v>235.60499572000001</c:v>
                </c:pt>
                <c:pt idx="44">
                  <c:v>230.54900361099999</c:v>
                </c:pt>
                <c:pt idx="45">
                  <c:v>223.60000467499998</c:v>
                </c:pt>
                <c:pt idx="46">
                  <c:v>217.17600035300001</c:v>
                </c:pt>
                <c:pt idx="47">
                  <c:v>210.45100211699997</c:v>
                </c:pt>
                <c:pt idx="48">
                  <c:v>203.37099885499998</c:v>
                </c:pt>
                <c:pt idx="49">
                  <c:v>202.35899971500001</c:v>
                </c:pt>
                <c:pt idx="50">
                  <c:v>201.25199794899999</c:v>
                </c:pt>
              </c:numCache>
            </c:numRef>
          </c:val>
          <c:smooth val="0"/>
          <c:extLst>
            <c:ext xmlns:c16="http://schemas.microsoft.com/office/drawing/2014/chart" uri="{C3380CC4-5D6E-409C-BE32-E72D297353CC}">
              <c16:uniqueId val="{00000002-47CE-4929-AC22-8EC513788285}"/>
            </c:ext>
          </c:extLst>
        </c:ser>
        <c:ser>
          <c:idx val="3"/>
          <c:order val="1"/>
          <c:tx>
            <c:strRef>
              <c:f>'11. Volúmenes'!$U$5</c:f>
              <c:strCache>
                <c:ptCount val="1"/>
                <c:pt idx="0">
                  <c:v>2018</c:v>
                </c:pt>
              </c:strCache>
            </c:strRef>
          </c:tx>
          <c:spPr>
            <a:ln w="19050">
              <a:solidFill>
                <a:srgbClr val="C00000"/>
              </a:solidFill>
            </a:ln>
          </c:spPr>
          <c:marker>
            <c:symbol val="triangle"/>
            <c:size val="5"/>
            <c:spPr>
              <a:solidFill>
                <a:srgbClr val="C00000"/>
              </a:solidFill>
              <a:ln w="12700">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Volúmenes'!$U$6:$U$57</c:f>
              <c:numCache>
                <c:formatCode>0.00</c:formatCode>
                <c:ptCount val="52"/>
                <c:pt idx="0">
                  <c:v>210.20000000000002</c:v>
                </c:pt>
                <c:pt idx="1">
                  <c:v>216.70300435500002</c:v>
                </c:pt>
                <c:pt idx="2">
                  <c:v>232.83600043999999</c:v>
                </c:pt>
                <c:pt idx="3">
                  <c:v>271.78000545999998</c:v>
                </c:pt>
                <c:pt idx="4">
                  <c:v>269.07999802</c:v>
                </c:pt>
                <c:pt idx="5">
                  <c:v>273.52000047000001</c:v>
                </c:pt>
                <c:pt idx="6">
                  <c:v>302.63299941999998</c:v>
                </c:pt>
                <c:pt idx="7">
                  <c:v>328.23703</c:v>
                </c:pt>
                <c:pt idx="8">
                  <c:v>343.54049999999995</c:v>
                </c:pt>
                <c:pt idx="9">
                  <c:v>371.29100467000001</c:v>
                </c:pt>
                <c:pt idx="10">
                  <c:v>390.38299555999998</c:v>
                </c:pt>
                <c:pt idx="11">
                  <c:v>412.41217171999995</c:v>
                </c:pt>
                <c:pt idx="12">
                  <c:v>410.83199501000001</c:v>
                </c:pt>
                <c:pt idx="13">
                  <c:v>403.70400233999999</c:v>
                </c:pt>
                <c:pt idx="14">
                  <c:v>399.27400204999998</c:v>
                </c:pt>
                <c:pt idx="15">
                  <c:v>394.58499913000003</c:v>
                </c:pt>
                <c:pt idx="16">
                  <c:v>392.29800030000007</c:v>
                </c:pt>
                <c:pt idx="17">
                  <c:v>390.15600400999995</c:v>
                </c:pt>
                <c:pt idx="18">
                  <c:v>386.47099490999994</c:v>
                </c:pt>
                <c:pt idx="19">
                  <c:v>382.00799562999993</c:v>
                </c:pt>
                <c:pt idx="20">
                  <c:v>378.52099610999994</c:v>
                </c:pt>
                <c:pt idx="21">
                  <c:v>375.20999716</c:v>
                </c:pt>
                <c:pt idx="22">
                  <c:v>374.07600211999994</c:v>
                </c:pt>
                <c:pt idx="23">
                  <c:v>370.89200402</c:v>
                </c:pt>
                <c:pt idx="24">
                  <c:v>366.71700096999996</c:v>
                </c:pt>
                <c:pt idx="25">
                  <c:v>361.43599508999995</c:v>
                </c:pt>
                <c:pt idx="26">
                  <c:v>355.34</c:v>
                </c:pt>
                <c:pt idx="27">
                  <c:v>349.01599981000004</c:v>
                </c:pt>
                <c:pt idx="28">
                  <c:v>343.97999999999996</c:v>
                </c:pt>
                <c:pt idx="29">
                  <c:v>342.06599807739167</c:v>
                </c:pt>
                <c:pt idx="30">
                  <c:v>335.23199999999997</c:v>
                </c:pt>
                <c:pt idx="31">
                  <c:v>329.56800555999996</c:v>
                </c:pt>
                <c:pt idx="32">
                  <c:v>323.79099748000004</c:v>
                </c:pt>
                <c:pt idx="33">
                  <c:v>317.64699750999995</c:v>
                </c:pt>
                <c:pt idx="34">
                  <c:v>311.42</c:v>
                </c:pt>
                <c:pt idx="35">
                  <c:v>305.20999999999998</c:v>
                </c:pt>
                <c:pt idx="36">
                  <c:v>299.17000225600003</c:v>
                </c:pt>
                <c:pt idx="37">
                  <c:v>292.45899891799996</c:v>
                </c:pt>
                <c:pt idx="38">
                  <c:v>286.11999916000002</c:v>
                </c:pt>
                <c:pt idx="39">
                  <c:v>278.57999837699998</c:v>
                </c:pt>
                <c:pt idx="40">
                  <c:v>271.23250496387476</c:v>
                </c:pt>
                <c:pt idx="41">
                  <c:v>256.27199935913058</c:v>
                </c:pt>
                <c:pt idx="42">
                  <c:v>249.67099761962871</c:v>
                </c:pt>
                <c:pt idx="43">
                  <c:v>249.67099761962871</c:v>
                </c:pt>
                <c:pt idx="44">
                  <c:v>243.378839739</c:v>
                </c:pt>
                <c:pt idx="45">
                  <c:v>236.34</c:v>
                </c:pt>
                <c:pt idx="46">
                  <c:v>227.62000255999999</c:v>
                </c:pt>
                <c:pt idx="47">
                  <c:v>220.01436420799999</c:v>
                </c:pt>
                <c:pt idx="48">
                  <c:v>212.37999999999997</c:v>
                </c:pt>
                <c:pt idx="49">
                  <c:v>205.46782675599999</c:v>
                </c:pt>
                <c:pt idx="50">
                  <c:v>199</c:v>
                </c:pt>
                <c:pt idx="51">
                  <c:v>192.88799664499999</c:v>
                </c:pt>
              </c:numCache>
            </c:numRef>
          </c:val>
          <c:smooth val="0"/>
          <c:extLst>
            <c:ext xmlns:c16="http://schemas.microsoft.com/office/drawing/2014/chart" uri="{C3380CC4-5D6E-409C-BE32-E72D297353CC}">
              <c16:uniqueId val="{00000001-47CE-4929-AC22-8EC513788285}"/>
            </c:ext>
          </c:extLst>
        </c:ser>
        <c:ser>
          <c:idx val="0"/>
          <c:order val="2"/>
          <c:tx>
            <c:strRef>
              <c:f>'11. Volúmenes'!$V$5</c:f>
              <c:strCache>
                <c:ptCount val="1"/>
                <c:pt idx="0">
                  <c:v>2019</c:v>
                </c:pt>
              </c:strCache>
            </c:strRef>
          </c:tx>
          <c:spPr>
            <a:ln w="19050"/>
          </c:spPr>
          <c:marker>
            <c:symbol val="circle"/>
            <c:size val="5"/>
            <c:spPr>
              <a:solidFill>
                <a:srgbClr val="0077A5"/>
              </a:solidFill>
              <a:ln w="9525">
                <a:solidFill>
                  <a:schemeClr val="bg1"/>
                </a:solidFill>
              </a:ln>
            </c:spPr>
          </c:marke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Volúmenes'!$V$6:$V$57</c:f>
              <c:numCache>
                <c:formatCode>0.00</c:formatCode>
                <c:ptCount val="52"/>
                <c:pt idx="0">
                  <c:v>190.20000426299998</c:v>
                </c:pt>
                <c:pt idx="1">
                  <c:v>185.80498987600001</c:v>
                </c:pt>
                <c:pt idx="2">
                  <c:v>190.06000000000003</c:v>
                </c:pt>
                <c:pt idx="3">
                  <c:v>198.06799936900001</c:v>
                </c:pt>
                <c:pt idx="4">
                  <c:v>217.55805158600003</c:v>
                </c:pt>
                <c:pt idx="5">
                  <c:v>279.10000000000002</c:v>
                </c:pt>
                <c:pt idx="6">
                  <c:v>338.21854399</c:v>
                </c:pt>
                <c:pt idx="7">
                  <c:v>388.64800643000001</c:v>
                </c:pt>
                <c:pt idx="8">
                  <c:v>377.13099283000003</c:v>
                </c:pt>
                <c:pt idx="9">
                  <c:v>385.62499995999997</c:v>
                </c:pt>
                <c:pt idx="10">
                  <c:v>389.38100242614604</c:v>
                </c:pt>
                <c:pt idx="11">
                  <c:v>386.27799791999996</c:v>
                </c:pt>
                <c:pt idx="12">
                  <c:v>388.98099517000003</c:v>
                </c:pt>
                <c:pt idx="13">
                  <c:v>393.36499596000004</c:v>
                </c:pt>
                <c:pt idx="14">
                  <c:v>385.77799804</c:v>
                </c:pt>
                <c:pt idx="15">
                  <c:v>385.72399323999997</c:v>
                </c:pt>
                <c:pt idx="16">
                  <c:v>388.74200823000001</c:v>
                </c:pt>
                <c:pt idx="17">
                  <c:v>386.49800113000003</c:v>
                </c:pt>
                <c:pt idx="18">
                  <c:v>384.38200000000001</c:v>
                </c:pt>
                <c:pt idx="19">
                  <c:v>381.56399727000002</c:v>
                </c:pt>
                <c:pt idx="20">
                  <c:v>376.47088237999998</c:v>
                </c:pt>
                <c:pt idx="21">
                  <c:v>370.73099807</c:v>
                </c:pt>
                <c:pt idx="22">
                  <c:v>363.24299430999997</c:v>
                </c:pt>
                <c:pt idx="23">
                  <c:v>357.21200376000002</c:v>
                </c:pt>
                <c:pt idx="24">
                  <c:v>352.1909981</c:v>
                </c:pt>
                <c:pt idx="25">
                  <c:v>346.62612917400003</c:v>
                </c:pt>
                <c:pt idx="26">
                  <c:v>341.25900444999996</c:v>
                </c:pt>
                <c:pt idx="27">
                  <c:v>337.18899436699996</c:v>
                </c:pt>
                <c:pt idx="28">
                  <c:v>333.50600986443789</c:v>
                </c:pt>
                <c:pt idx="29">
                  <c:v>324.04999999999995</c:v>
                </c:pt>
                <c:pt idx="30">
                  <c:v>318.10600236499999</c:v>
                </c:pt>
                <c:pt idx="31">
                  <c:v>312.078003352</c:v>
                </c:pt>
                <c:pt idx="32">
                  <c:v>312.078003352</c:v>
                </c:pt>
                <c:pt idx="33">
                  <c:v>299.58200316099999</c:v>
                </c:pt>
                <c:pt idx="34">
                  <c:v>292.71899843200003</c:v>
                </c:pt>
                <c:pt idx="35">
                  <c:v>286.64699412499999</c:v>
                </c:pt>
                <c:pt idx="36">
                  <c:v>280.605003845</c:v>
                </c:pt>
                <c:pt idx="37">
                  <c:v>274.21999999999997</c:v>
                </c:pt>
                <c:pt idx="38">
                  <c:v>267.58499765396107</c:v>
                </c:pt>
                <c:pt idx="39">
                  <c:v>260.96199703900004</c:v>
                </c:pt>
                <c:pt idx="40">
                  <c:v>253.29600046600001</c:v>
                </c:pt>
                <c:pt idx="41">
                  <c:v>246.06</c:v>
                </c:pt>
                <c:pt idx="42">
                  <c:v>241.02699661899999</c:v>
                </c:pt>
                <c:pt idx="43">
                  <c:v>234.19399833099999</c:v>
                </c:pt>
                <c:pt idx="44">
                  <c:v>228.64612817499997</c:v>
                </c:pt>
                <c:pt idx="45">
                  <c:v>222.81199835999999</c:v>
                </c:pt>
                <c:pt idx="46">
                  <c:v>216.31200409100001</c:v>
                </c:pt>
                <c:pt idx="47">
                  <c:v>210.250997547</c:v>
                </c:pt>
                <c:pt idx="48">
                  <c:v>202.73299884100001</c:v>
                </c:pt>
                <c:pt idx="49">
                  <c:v>195.51400422099999</c:v>
                </c:pt>
                <c:pt idx="50">
                  <c:v>188.995997891</c:v>
                </c:pt>
                <c:pt idx="51">
                  <c:v>184.65400219100002</c:v>
                </c:pt>
              </c:numCache>
            </c:numRef>
          </c:val>
          <c:smooth val="0"/>
          <c:extLst>
            <c:ext xmlns:c16="http://schemas.microsoft.com/office/drawing/2014/chart" uri="{C3380CC4-5D6E-409C-BE32-E72D297353CC}">
              <c16:uniqueId val="{00000000-47CE-4929-AC22-8EC513788285}"/>
            </c:ext>
          </c:extLst>
        </c:ser>
        <c:ser>
          <c:idx val="1"/>
          <c:order val="3"/>
          <c:tx>
            <c:strRef>
              <c:f>'11. Volúmenes'!$W$5</c:f>
              <c:strCache>
                <c:ptCount val="1"/>
                <c:pt idx="0">
                  <c:v>2020</c:v>
                </c:pt>
              </c:strCache>
            </c:strRef>
          </c:tx>
          <c:spPr>
            <a:ln w="6350"/>
          </c:spPr>
          <c:cat>
            <c:numRef>
              <c:f>'11. Volúmenes'!$N$6:$N$58</c:f>
              <c:numCache>
                <c:formatCode>#,##0_ ;\-#,##0\ </c:formatCode>
                <c:ptCount val="53"/>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numCache>
            </c:numRef>
          </c:cat>
          <c:val>
            <c:numRef>
              <c:f>'11. Volúmenes'!$W$6:$W$58</c:f>
              <c:numCache>
                <c:formatCode>_(* #,##0.00_);_(* \(#,##0.00\);_(* "-"??_);_(@_)</c:formatCode>
                <c:ptCount val="53"/>
                <c:pt idx="0">
                  <c:v>186.65300035476668</c:v>
                </c:pt>
                <c:pt idx="1">
                  <c:v>194.494995117</c:v>
                </c:pt>
                <c:pt idx="2">
                  <c:v>212.15300178999999</c:v>
                </c:pt>
                <c:pt idx="3">
                  <c:v>213.71899984999999</c:v>
                </c:pt>
                <c:pt idx="4">
                  <c:v>219.56099320000001</c:v>
                </c:pt>
                <c:pt idx="5">
                  <c:v>285.12099838256813</c:v>
                </c:pt>
                <c:pt idx="6">
                  <c:v>329.34199910000001</c:v>
                </c:pt>
                <c:pt idx="7">
                  <c:v>352.60932731628355</c:v>
                </c:pt>
                <c:pt idx="8">
                  <c:v>377.95000650999998</c:v>
                </c:pt>
                <c:pt idx="9">
                  <c:v>383.25900259000002</c:v>
                </c:pt>
                <c:pt idx="10">
                  <c:v>394.92200288000009</c:v>
                </c:pt>
                <c:pt idx="11">
                  <c:v>390.290998458861</c:v>
                </c:pt>
                <c:pt idx="12">
                  <c:v>402.17499160766499</c:v>
                </c:pt>
                <c:pt idx="13" formatCode="General">
                  <c:v>398.93495940999998</c:v>
                </c:pt>
                <c:pt idx="14" formatCode="General">
                  <c:v>388.01895332999999</c:v>
                </c:pt>
                <c:pt idx="15" formatCode="General">
                  <c:v>383.39695458999995</c:v>
                </c:pt>
                <c:pt idx="16" formatCode="General">
                  <c:v>381.56399345397853</c:v>
                </c:pt>
                <c:pt idx="17" formatCode="General">
                  <c:v>379.87400246999994</c:v>
                </c:pt>
                <c:pt idx="18" formatCode="General">
                  <c:v>375.69400404000004</c:v>
                </c:pt>
                <c:pt idx="19" formatCode="General">
                  <c:v>370.56599616999995</c:v>
                </c:pt>
                <c:pt idx="20" formatCode="General">
                  <c:v>365.52200794219863</c:v>
                </c:pt>
                <c:pt idx="21" formatCode="General">
                  <c:v>359.19900507300002</c:v>
                </c:pt>
                <c:pt idx="22" formatCode="General">
                  <c:v>354.24799921000005</c:v>
                </c:pt>
                <c:pt idx="23" formatCode="General">
                  <c:v>348.87000203132561</c:v>
                </c:pt>
                <c:pt idx="24" formatCode="General">
                  <c:v>343.83099551700002</c:v>
                </c:pt>
                <c:pt idx="25" formatCode="General">
                  <c:v>338.47100355099997</c:v>
                </c:pt>
                <c:pt idx="26" formatCode="General">
                  <c:v>333.23996639251612</c:v>
                </c:pt>
                <c:pt idx="27" formatCode="General">
                  <c:v>327.71050074999999</c:v>
                </c:pt>
                <c:pt idx="28" formatCode="General">
                  <c:v>322.11699965099996</c:v>
                </c:pt>
                <c:pt idx="29" formatCode="General">
                  <c:v>316.39600081599997</c:v>
                </c:pt>
                <c:pt idx="30" formatCode="General">
                  <c:v>310.66199637099999</c:v>
                </c:pt>
                <c:pt idx="31" formatCode="General">
                  <c:v>304.63100243800005</c:v>
                </c:pt>
                <c:pt idx="32" formatCode="General">
                  <c:v>299.14499665</c:v>
                </c:pt>
                <c:pt idx="33" formatCode="General">
                  <c:v>293.22399712800001</c:v>
                </c:pt>
                <c:pt idx="34" formatCode="General">
                  <c:v>287.11000061035065</c:v>
                </c:pt>
                <c:pt idx="35" formatCode="General">
                  <c:v>280.34500217437699</c:v>
                </c:pt>
                <c:pt idx="36" formatCode="General">
                  <c:v>273.90200042724575</c:v>
                </c:pt>
                <c:pt idx="37" formatCode="General">
                  <c:v>267.16300058364783</c:v>
                </c:pt>
                <c:pt idx="38" formatCode="General">
                  <c:v>262.426999588</c:v>
                </c:pt>
                <c:pt idx="39" formatCode="General">
                  <c:v>258.968997</c:v>
                </c:pt>
                <c:pt idx="40" formatCode="General">
                  <c:v>255.76199719799999</c:v>
                </c:pt>
                <c:pt idx="41" formatCode="General">
                  <c:v>251.31199836730943</c:v>
                </c:pt>
                <c:pt idx="42" formatCode="General">
                  <c:v>245.88199755799999</c:v>
                </c:pt>
                <c:pt idx="43" formatCode="General">
                  <c:v>239.051002463</c:v>
                </c:pt>
              </c:numCache>
            </c:numRef>
          </c:val>
          <c:smooth val="0"/>
          <c:extLst>
            <c:ext xmlns:c16="http://schemas.microsoft.com/office/drawing/2014/chart" uri="{C3380CC4-5D6E-409C-BE32-E72D297353CC}">
              <c16:uniqueId val="{00000000-E1BF-4057-9ADB-D6C5569EB743}"/>
            </c:ext>
          </c:extLst>
        </c:ser>
        <c:dLbls>
          <c:showLegendKey val="0"/>
          <c:showVal val="0"/>
          <c:showCatName val="0"/>
          <c:showSerName val="0"/>
          <c:showPercent val="0"/>
          <c:showBubbleSize val="0"/>
        </c:dLbls>
        <c:marker val="1"/>
        <c:smooth val="0"/>
        <c:axId val="351077120"/>
        <c:axId val="351079424"/>
      </c:lineChart>
      <c:catAx>
        <c:axId val="351077120"/>
        <c:scaling>
          <c:orientation val="minMax"/>
        </c:scaling>
        <c:delete val="0"/>
        <c:axPos val="b"/>
        <c:title>
          <c:tx>
            <c:rich>
              <a:bodyPr/>
              <a:lstStyle/>
              <a:p>
                <a:pPr>
                  <a:defRPr/>
                </a:pPr>
                <a:r>
                  <a:rPr lang="en-US"/>
                  <a:t>Semanas</a:t>
                </a:r>
              </a:p>
            </c:rich>
          </c:tx>
          <c:layout>
            <c:manualLayout>
              <c:xMode val="edge"/>
              <c:yMode val="edge"/>
              <c:x val="0.93219880839012859"/>
              <c:y val="0.9385361177678877"/>
            </c:manualLayout>
          </c:layout>
          <c:overlay val="0"/>
        </c:title>
        <c:numFmt formatCode="#,##0_ ;\-#,##0\ " sourceLinked="1"/>
        <c:majorTickMark val="out"/>
        <c:minorTickMark val="none"/>
        <c:tickLblPos val="nextTo"/>
        <c:crossAx val="351079424"/>
        <c:crosses val="autoZero"/>
        <c:auto val="1"/>
        <c:lblAlgn val="ctr"/>
        <c:lblOffset val="100"/>
        <c:tickLblSkip val="4"/>
        <c:tickMarkSkip val="1"/>
        <c:noMultiLvlLbl val="0"/>
      </c:catAx>
      <c:valAx>
        <c:axId val="351079424"/>
        <c:scaling>
          <c:orientation val="minMax"/>
          <c:min val="0"/>
        </c:scaling>
        <c:delete val="0"/>
        <c:axPos val="l"/>
        <c:majorGridlines/>
        <c:title>
          <c:tx>
            <c:rich>
              <a:bodyPr rot="0" vert="horz"/>
              <a:lstStyle/>
              <a:p>
                <a:pPr>
                  <a:defRPr/>
                </a:pPr>
                <a:r>
                  <a:rPr lang="en-US"/>
                  <a:t>Millones de m3</a:t>
                </a:r>
              </a:p>
            </c:rich>
          </c:tx>
          <c:layout>
            <c:manualLayout>
              <c:xMode val="edge"/>
              <c:yMode val="edge"/>
              <c:x val="0"/>
              <c:y val="0.15215207964870597"/>
            </c:manualLayout>
          </c:layout>
          <c:overlay val="0"/>
        </c:title>
        <c:numFmt formatCode="0.00" sourceLinked="1"/>
        <c:majorTickMark val="out"/>
        <c:minorTickMark val="none"/>
        <c:tickLblPos val="nextTo"/>
        <c:crossAx val="351077120"/>
        <c:crosses val="autoZero"/>
        <c:crossBetween val="between"/>
      </c:valAx>
    </c:plotArea>
    <c:legend>
      <c:legendPos val="b"/>
      <c:layout>
        <c:manualLayout>
          <c:xMode val="edge"/>
          <c:yMode val="edge"/>
          <c:x val="0.26516304240963051"/>
          <c:y val="0.83562668221925773"/>
          <c:w val="0.41395477365138017"/>
          <c:h val="3.891523867651159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6040583355125455"/>
          <c:y val="0.23813283854470019"/>
          <c:w val="0.49963526112427425"/>
          <c:h val="0.52999295536363078"/>
        </c:manualLayout>
      </c:layout>
      <c:pieChart>
        <c:varyColors val="1"/>
        <c:ser>
          <c:idx val="0"/>
          <c:order val="0"/>
          <c:dPt>
            <c:idx val="0"/>
            <c:bubble3D val="0"/>
            <c:spPr>
              <a:solidFill>
                <a:srgbClr val="0077A5"/>
              </a:solidFill>
              <a:ln w="19050">
                <a:solidFill>
                  <a:schemeClr val="lt1"/>
                </a:solidFill>
              </a:ln>
              <a:effectLst/>
            </c:spPr>
            <c:extLst>
              <c:ext xmlns:c16="http://schemas.microsoft.com/office/drawing/2014/chart" uri="{C3380CC4-5D6E-409C-BE32-E72D297353CC}">
                <c16:uniqueId val="{00000001-3BB0-40B2-8E5F-F2E8765A4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BB0-40B2-8E5F-F2E8765A4A22}"/>
              </c:ext>
            </c:extLst>
          </c:dPt>
          <c:dPt>
            <c:idx val="2"/>
            <c:bubble3D val="0"/>
            <c:spPr>
              <a:solidFill>
                <a:srgbClr val="996600"/>
              </a:solidFill>
              <a:ln w="19050">
                <a:solidFill>
                  <a:schemeClr val="lt1"/>
                </a:solidFill>
              </a:ln>
              <a:effectLst/>
            </c:spPr>
            <c:extLst>
              <c:ext xmlns:c16="http://schemas.microsoft.com/office/drawing/2014/chart" uri="{C3380CC4-5D6E-409C-BE32-E72D297353CC}">
                <c16:uniqueId val="{00000005-3BB0-40B2-8E5F-F2E8765A4A22}"/>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3BB0-40B2-8E5F-F2E8765A4A22}"/>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9-3BB0-40B2-8E5F-F2E8765A4A22}"/>
              </c:ext>
            </c:extLst>
          </c:dPt>
          <c:dPt>
            <c:idx val="5"/>
            <c:bubble3D val="0"/>
            <c:spPr>
              <a:solidFill>
                <a:srgbClr val="6DA6D9"/>
              </a:solidFill>
              <a:ln w="19050">
                <a:solidFill>
                  <a:schemeClr val="lt1"/>
                </a:solidFill>
              </a:ln>
              <a:effectLst/>
            </c:spPr>
            <c:extLst>
              <c:ext xmlns:c16="http://schemas.microsoft.com/office/drawing/2014/chart" uri="{C3380CC4-5D6E-409C-BE32-E72D297353CC}">
                <c16:uniqueId val="{0000000B-3BB0-40B2-8E5F-F2E8765A4A22}"/>
              </c:ext>
            </c:extLst>
          </c:dPt>
          <c:dPt>
            <c:idx val="6"/>
            <c:bubble3D val="0"/>
            <c:spPr>
              <a:solidFill>
                <a:schemeClr val="accent4"/>
              </a:solidFill>
              <a:ln w="19050">
                <a:solidFill>
                  <a:schemeClr val="lt1"/>
                </a:solidFill>
              </a:ln>
              <a:effectLst/>
            </c:spPr>
            <c:extLst>
              <c:ext xmlns:c16="http://schemas.microsoft.com/office/drawing/2014/chart" uri="{C3380CC4-5D6E-409C-BE32-E72D297353CC}">
                <c16:uniqueId val="{0000000D-3BB0-40B2-8E5F-F2E8765A4A22}"/>
              </c:ext>
            </c:extLst>
          </c:dPt>
          <c:dLbls>
            <c:dLbl>
              <c:idx val="0"/>
              <c:layout>
                <c:manualLayout>
                  <c:x val="4.635668700469868E-2"/>
                  <c:y val="4.0032671581271252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BB0-40B2-8E5F-F2E8765A4A22}"/>
                </c:ext>
              </c:extLst>
            </c:dLbl>
            <c:dLbl>
              <c:idx val="1"/>
              <c:layout>
                <c:manualLayout>
                  <c:x val="-3.3920696125447666E-2"/>
                  <c:y val="1.7463209802583774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BB0-40B2-8E5F-F2E8765A4A22}"/>
                </c:ext>
              </c:extLst>
            </c:dLbl>
            <c:dLbl>
              <c:idx val="2"/>
              <c:layout>
                <c:manualLayout>
                  <c:x val="-0.16162600135232696"/>
                  <c:y val="-2.1026852822569463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3BB0-40B2-8E5F-F2E8765A4A22}"/>
                </c:ext>
              </c:extLst>
            </c:dLbl>
            <c:dLbl>
              <c:idx val="3"/>
              <c:layout>
                <c:manualLayout>
                  <c:x val="-0.101265644746397"/>
                  <c:y val="-9.4799727089677668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7-3BB0-40B2-8E5F-F2E8765A4A22}"/>
                </c:ext>
              </c:extLst>
            </c:dLbl>
            <c:dLbl>
              <c:idx val="4"/>
              <c:layout>
                <c:manualLayout>
                  <c:x val="3.889367354275558E-2"/>
                  <c:y val="-0.11960827310117597"/>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9-3BB0-40B2-8E5F-F2E8765A4A22}"/>
                </c:ext>
              </c:extLst>
            </c:dLbl>
            <c:dLbl>
              <c:idx val="5"/>
              <c:layout>
                <c:manualLayout>
                  <c:x val="0.15385104116607673"/>
                  <c:y val="-0.11226848385003245"/>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BB0-40B2-8E5F-F2E8765A4A22}"/>
                </c:ext>
              </c:extLst>
            </c:dLbl>
            <c:dLbl>
              <c:idx val="6"/>
              <c:layout>
                <c:manualLayout>
                  <c:x val="0.1886024199836116"/>
                  <c:y val="-6.5504024317863188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D-3BB0-40B2-8E5F-F2E8765A4A22}"/>
                </c:ext>
              </c:extLst>
            </c:dLbl>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Resumen'!$P$23:$P$29</c:f>
              <c:numCache>
                <c:formatCode>0.00</c:formatCode>
                <c:ptCount val="7"/>
                <c:pt idx="0">
                  <c:v>2126.1102036450002</c:v>
                </c:pt>
                <c:pt idx="1">
                  <c:v>2074.23717308</c:v>
                </c:pt>
                <c:pt idx="2">
                  <c:v>8.6008893574999998</c:v>
                </c:pt>
                <c:pt idx="3">
                  <c:v>8.3248968874999996</c:v>
                </c:pt>
                <c:pt idx="4">
                  <c:v>26.186359665000001</c:v>
                </c:pt>
                <c:pt idx="5">
                  <c:v>162.04094952</c:v>
                </c:pt>
                <c:pt idx="6">
                  <c:v>77.070130602500001</c:v>
                </c:pt>
              </c:numCache>
            </c:numRef>
          </c:val>
          <c:extLst>
            <c:ext xmlns:c16="http://schemas.microsoft.com/office/drawing/2014/chart" uri="{C3380CC4-5D6E-409C-BE32-E72D297353CC}">
              <c16:uniqueId val="{0000000E-3BB0-40B2-8E5F-F2E8765A4A22}"/>
            </c:ext>
          </c:extLst>
        </c:ser>
        <c:ser>
          <c:idx val="1"/>
          <c:order val="1"/>
          <c:tx>
            <c:strRef>
              <c:f>'1. Resumen'!$N$24</c:f>
              <c:strCache>
                <c:ptCount val="1"/>
                <c:pt idx="0">
                  <c:v>Gas Natural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0-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Resumen'!$O$24</c:f>
              <c:numCache>
                <c:formatCode>0.00</c:formatCode>
                <c:ptCount val="1"/>
                <c:pt idx="0">
                  <c:v>2087.9096773200004</c:v>
                </c:pt>
              </c:numCache>
            </c:numRef>
          </c:val>
          <c:extLst>
            <c:ext xmlns:c16="http://schemas.microsoft.com/office/drawing/2014/chart" uri="{C3380CC4-5D6E-409C-BE32-E72D297353CC}">
              <c16:uniqueId val="{00000011-3BB0-40B2-8E5F-F2E8765A4A22}"/>
            </c:ext>
          </c:extLst>
        </c:ser>
        <c:ser>
          <c:idx val="2"/>
          <c:order val="2"/>
          <c:tx>
            <c:strRef>
              <c:f>'1. Resumen'!$N$25</c:f>
              <c:strCache>
                <c:ptCount val="1"/>
                <c:pt idx="0">
                  <c:v>Carbón</c:v>
                </c:pt>
              </c:strCache>
            </c:strRef>
          </c:tx>
          <c:dPt>
            <c:idx val="0"/>
            <c:bubble3D val="0"/>
            <c:spPr>
              <a:solidFill>
                <a:srgbClr val="996600"/>
              </a:solidFill>
              <a:ln w="19050">
                <a:solidFill>
                  <a:schemeClr val="lt1"/>
                </a:solidFill>
              </a:ln>
              <a:effectLst/>
            </c:spPr>
            <c:extLst>
              <c:ext xmlns:c16="http://schemas.microsoft.com/office/drawing/2014/chart" uri="{C3380CC4-5D6E-409C-BE32-E72D297353CC}">
                <c16:uniqueId val="{00000013-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Resumen'!$O$25</c:f>
              <c:numCache>
                <c:formatCode>0.00</c:formatCode>
                <c:ptCount val="1"/>
                <c:pt idx="0">
                  <c:v>8.6402158400000015</c:v>
                </c:pt>
              </c:numCache>
            </c:numRef>
          </c:val>
          <c:extLst>
            <c:ext xmlns:c16="http://schemas.microsoft.com/office/drawing/2014/chart" uri="{C3380CC4-5D6E-409C-BE32-E72D297353CC}">
              <c16:uniqueId val="{00000014-3BB0-40B2-8E5F-F2E8765A4A22}"/>
            </c:ext>
          </c:extLst>
        </c:ser>
        <c:ser>
          <c:idx val="3"/>
          <c:order val="3"/>
          <c:tx>
            <c:strRef>
              <c:f>'1. Resumen'!$N$26</c:f>
              <c:strCache>
                <c:ptCount val="1"/>
                <c:pt idx="0">
                  <c:v>Diesel2/Residual500/Residual 6</c:v>
                </c:pt>
              </c:strCache>
            </c:strRef>
          </c:tx>
          <c:dPt>
            <c:idx val="0"/>
            <c:bubble3D val="0"/>
            <c:spPr>
              <a:solidFill>
                <a:srgbClr val="FF0000"/>
              </a:solidFill>
              <a:ln w="19050">
                <a:solidFill>
                  <a:schemeClr val="lt1"/>
                </a:solidFill>
              </a:ln>
              <a:effectLst/>
            </c:spPr>
            <c:extLst>
              <c:ext xmlns:c16="http://schemas.microsoft.com/office/drawing/2014/chart" uri="{C3380CC4-5D6E-409C-BE32-E72D297353CC}">
                <c16:uniqueId val="{00000016-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Resumen'!$O$26</c:f>
              <c:numCache>
                <c:formatCode>0.00</c:formatCode>
                <c:ptCount val="1"/>
                <c:pt idx="0">
                  <c:v>32.195152377499994</c:v>
                </c:pt>
              </c:numCache>
            </c:numRef>
          </c:val>
          <c:extLst>
            <c:ext xmlns:c16="http://schemas.microsoft.com/office/drawing/2014/chart" uri="{C3380CC4-5D6E-409C-BE32-E72D297353CC}">
              <c16:uniqueId val="{00000017-3BB0-40B2-8E5F-F2E8765A4A22}"/>
            </c:ext>
          </c:extLst>
        </c:ser>
        <c:ser>
          <c:idx val="4"/>
          <c:order val="4"/>
          <c:tx>
            <c:strRef>
              <c:f>'1. Resumen'!$N$27</c:f>
              <c:strCache>
                <c:ptCount val="1"/>
                <c:pt idx="0">
                  <c:v>Bagazo / Biogás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9-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Resumen'!$O$27</c:f>
              <c:numCache>
                <c:formatCode>0.00</c:formatCode>
                <c:ptCount val="1"/>
                <c:pt idx="0">
                  <c:v>37.041886327499995</c:v>
                </c:pt>
              </c:numCache>
            </c:numRef>
          </c:val>
          <c:extLst>
            <c:ext xmlns:c16="http://schemas.microsoft.com/office/drawing/2014/chart" uri="{C3380CC4-5D6E-409C-BE32-E72D297353CC}">
              <c16:uniqueId val="{0000001A-3BB0-40B2-8E5F-F2E8765A4A22}"/>
            </c:ext>
          </c:extLst>
        </c:ser>
        <c:ser>
          <c:idx val="5"/>
          <c:order val="5"/>
          <c:tx>
            <c:strRef>
              <c:f>'1. Resumen'!$N$28</c:f>
              <c:strCache>
                <c:ptCount val="1"/>
                <c:pt idx="0">
                  <c:v>Eólico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C-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Resumen'!$O$28</c:f>
              <c:numCache>
                <c:formatCode>0.00</c:formatCode>
                <c:ptCount val="1"/>
                <c:pt idx="0">
                  <c:v>172.07044422999999</c:v>
                </c:pt>
              </c:numCache>
            </c:numRef>
          </c:val>
          <c:extLst>
            <c:ext xmlns:c16="http://schemas.microsoft.com/office/drawing/2014/chart" uri="{C3380CC4-5D6E-409C-BE32-E72D297353CC}">
              <c16:uniqueId val="{0000001D-3BB0-40B2-8E5F-F2E8765A4A22}"/>
            </c:ext>
          </c:extLst>
        </c:ser>
        <c:ser>
          <c:idx val="6"/>
          <c:order val="6"/>
          <c:tx>
            <c:strRef>
              <c:f>'1. Resumen'!$N$29</c:f>
              <c:strCache>
                <c:ptCount val="1"/>
                <c:pt idx="0">
                  <c:v>Solar</c:v>
                </c:pt>
              </c:strCache>
            </c:strRef>
          </c:tx>
          <c:dPt>
            <c:idx val="0"/>
            <c:bubble3D val="0"/>
            <c:spPr>
              <a:solidFill>
                <a:srgbClr val="6DA6D9"/>
              </a:solidFill>
              <a:ln w="19050">
                <a:solidFill>
                  <a:schemeClr val="lt1"/>
                </a:solidFill>
              </a:ln>
              <a:effectLst/>
            </c:spPr>
            <c:extLst>
              <c:ext xmlns:c16="http://schemas.microsoft.com/office/drawing/2014/chart" uri="{C3380CC4-5D6E-409C-BE32-E72D297353CC}">
                <c16:uniqueId val="{0000001F-3BB0-40B2-8E5F-F2E8765A4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PE"/>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 Resumen'!$N$23:$N$29</c:f>
              <c:strCache>
                <c:ptCount val="7"/>
                <c:pt idx="0">
                  <c:v>Hidro</c:v>
                </c:pt>
                <c:pt idx="1">
                  <c:v>Gas Natural</c:v>
                </c:pt>
                <c:pt idx="2">
                  <c:v>Carbón</c:v>
                </c:pt>
                <c:pt idx="3">
                  <c:v>Diesel2/Residual500/Residual 6</c:v>
                </c:pt>
                <c:pt idx="4">
                  <c:v>Bagazo / Biogás</c:v>
                </c:pt>
                <c:pt idx="5">
                  <c:v>Eólico</c:v>
                </c:pt>
                <c:pt idx="6">
                  <c:v>Solar</c:v>
                </c:pt>
              </c:strCache>
            </c:strRef>
          </c:cat>
          <c:val>
            <c:numRef>
              <c:f>'1. Resumen'!$O$29</c:f>
              <c:numCache>
                <c:formatCode>0.00</c:formatCode>
                <c:ptCount val="1"/>
                <c:pt idx="0">
                  <c:v>76.332032090000013</c:v>
                </c:pt>
              </c:numCache>
            </c:numRef>
          </c:val>
          <c:extLst>
            <c:ext xmlns:c16="http://schemas.microsoft.com/office/drawing/2014/chart" uri="{C3380CC4-5D6E-409C-BE32-E72D297353CC}">
              <c16:uniqueId val="{00000020-3BB0-40B2-8E5F-F2E8765A4A22}"/>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PE"/>
    </a:p>
  </c:txPr>
  <c:printSettings>
    <c:headerFooter/>
    <c:pageMargins b="0.75" l="0.7" r="0.7" t="0.75" header="0.3" footer="0.3"/>
    <c:pageSetup orientation="portrait"/>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CAUDALES DE LOS RÍOS SANTA, CHANCAY Y PATIVILCA</a:t>
            </a:r>
          </a:p>
        </c:rich>
      </c:tx>
      <c:layout>
        <c:manualLayout>
          <c:xMode val="edge"/>
          <c:yMode val="edge"/>
          <c:x val="0.1875974425947341"/>
          <c:y val="2.235452032649643E-2"/>
        </c:manualLayout>
      </c:layout>
      <c:overlay val="1"/>
    </c:title>
    <c:autoTitleDeleted val="0"/>
    <c:plotArea>
      <c:layout>
        <c:manualLayout>
          <c:layoutTarget val="inner"/>
          <c:xMode val="edge"/>
          <c:yMode val="edge"/>
          <c:x val="5.2267172896197304E-2"/>
          <c:y val="0.1448309826795659"/>
          <c:w val="0.92712993763351348"/>
          <c:h val="0.61691470939484816"/>
        </c:manualLayout>
      </c:layout>
      <c:areaChart>
        <c:grouping val="standard"/>
        <c:varyColors val="0"/>
        <c:ser>
          <c:idx val="2"/>
          <c:order val="0"/>
          <c:tx>
            <c:strRef>
              <c:f>'12.Caudales'!$N$3</c:f>
              <c:strCache>
                <c:ptCount val="1"/>
                <c:pt idx="0">
                  <c:v>SANTA</c:v>
                </c:pt>
              </c:strCache>
            </c:strRef>
          </c:tx>
          <c:spPr>
            <a:solidFill>
              <a:schemeClr val="accent5"/>
            </a:solidFill>
            <a:ln>
              <a:solidFill>
                <a:schemeClr val="accent1">
                  <a:alpha val="78000"/>
                </a:schemeClr>
              </a:solidFill>
            </a:ln>
          </c:spPr>
          <c:cat>
            <c:multiLvlStrRef>
              <c:f>'12.Caudales'!$J$4:$K$204</c:f>
              <c:multiLvlStrCache>
                <c:ptCount val="201"/>
                <c:lvl>
                  <c:pt idx="0">
                    <c:v>1</c:v>
                  </c:pt>
                  <c:pt idx="7">
                    <c:v>8</c:v>
                  </c:pt>
                  <c:pt idx="15">
                    <c:v>16</c:v>
                  </c:pt>
                  <c:pt idx="23">
                    <c:v>24</c:v>
                  </c:pt>
                  <c:pt idx="31">
                    <c:v>32</c:v>
                  </c:pt>
                  <c:pt idx="39">
                    <c:v>40</c:v>
                  </c:pt>
                  <c:pt idx="47">
                    <c:v>48</c:v>
                  </c:pt>
                  <c:pt idx="51">
                    <c:v>52</c:v>
                  </c:pt>
                  <c:pt idx="52">
                    <c:v>1</c:v>
                  </c:pt>
                  <c:pt idx="59">
                    <c:v>8</c:v>
                  </c:pt>
                  <c:pt idx="67">
                    <c:v>16</c:v>
                  </c:pt>
                  <c:pt idx="75">
                    <c:v>24</c:v>
                  </c:pt>
                  <c:pt idx="83">
                    <c:v>32</c:v>
                  </c:pt>
                  <c:pt idx="91">
                    <c:v>40</c:v>
                  </c:pt>
                  <c:pt idx="103">
                    <c:v>52</c:v>
                  </c:pt>
                  <c:pt idx="104">
                    <c:v>1</c:v>
                  </c:pt>
                  <c:pt idx="111">
                    <c:v>8</c:v>
                  </c:pt>
                  <c:pt idx="119">
                    <c:v>16</c:v>
                  </c:pt>
                  <c:pt idx="129">
                    <c:v>26</c:v>
                  </c:pt>
                  <c:pt idx="137">
                    <c:v>34</c:v>
                  </c:pt>
                  <c:pt idx="147">
                    <c:v>44</c:v>
                  </c:pt>
                  <c:pt idx="155">
                    <c:v>52</c:v>
                  </c:pt>
                  <c:pt idx="164">
                    <c:v>8</c:v>
                  </c:pt>
                  <c:pt idx="172">
                    <c:v>16</c:v>
                  </c:pt>
                  <c:pt idx="180">
                    <c:v>24</c:v>
                  </c:pt>
                  <c:pt idx="188">
                    <c:v>32</c:v>
                  </c:pt>
                  <c:pt idx="196">
                    <c:v>40</c:v>
                  </c:pt>
                  <c:pt idx="200">
                    <c:v>44</c:v>
                  </c:pt>
                </c:lvl>
                <c:lvl>
                  <c:pt idx="0">
                    <c:v>2017</c:v>
                  </c:pt>
                  <c:pt idx="52">
                    <c:v>2018</c:v>
                  </c:pt>
                  <c:pt idx="104">
                    <c:v>2019</c:v>
                  </c:pt>
                  <c:pt idx="157">
                    <c:v>2020</c:v>
                  </c:pt>
                </c:lvl>
              </c:multiLvlStrCache>
            </c:multiLvlStrRef>
          </c:cat>
          <c:val>
            <c:numRef>
              <c:f>'12.Caudales'!$N$4:$N$204</c:f>
              <c:numCache>
                <c:formatCode>0.0</c:formatCode>
                <c:ptCount val="201"/>
                <c:pt idx="0">
                  <c:v>103.58</c:v>
                </c:pt>
                <c:pt idx="1">
                  <c:v>105.01</c:v>
                </c:pt>
                <c:pt idx="2">
                  <c:v>137.41</c:v>
                </c:pt>
                <c:pt idx="3">
                  <c:v>127.83</c:v>
                </c:pt>
                <c:pt idx="4">
                  <c:v>97.31</c:v>
                </c:pt>
                <c:pt idx="5">
                  <c:v>123.44</c:v>
                </c:pt>
                <c:pt idx="6">
                  <c:v>145.02000000000001</c:v>
                </c:pt>
                <c:pt idx="7">
                  <c:v>175.03</c:v>
                </c:pt>
                <c:pt idx="8">
                  <c:v>206.14</c:v>
                </c:pt>
                <c:pt idx="9">
                  <c:v>270.17</c:v>
                </c:pt>
                <c:pt idx="10">
                  <c:v>376.42</c:v>
                </c:pt>
                <c:pt idx="11">
                  <c:v>351.57</c:v>
                </c:pt>
                <c:pt idx="12">
                  <c:v>384.37</c:v>
                </c:pt>
                <c:pt idx="13">
                  <c:v>337.84</c:v>
                </c:pt>
                <c:pt idx="14">
                  <c:v>282.32</c:v>
                </c:pt>
                <c:pt idx="15">
                  <c:v>191.65</c:v>
                </c:pt>
                <c:pt idx="16">
                  <c:v>160.35</c:v>
                </c:pt>
                <c:pt idx="17">
                  <c:v>136.65</c:v>
                </c:pt>
                <c:pt idx="18">
                  <c:v>135.97</c:v>
                </c:pt>
                <c:pt idx="19">
                  <c:v>135.66</c:v>
                </c:pt>
                <c:pt idx="20">
                  <c:v>113.82</c:v>
                </c:pt>
                <c:pt idx="21">
                  <c:v>64.03</c:v>
                </c:pt>
                <c:pt idx="22">
                  <c:v>53.15</c:v>
                </c:pt>
                <c:pt idx="23">
                  <c:v>45.98</c:v>
                </c:pt>
                <c:pt idx="24">
                  <c:v>38.68</c:v>
                </c:pt>
                <c:pt idx="25">
                  <c:v>34.68</c:v>
                </c:pt>
                <c:pt idx="26">
                  <c:v>31.72</c:v>
                </c:pt>
                <c:pt idx="27">
                  <c:v>29.25</c:v>
                </c:pt>
                <c:pt idx="28">
                  <c:v>29.53</c:v>
                </c:pt>
                <c:pt idx="29">
                  <c:v>27.62</c:v>
                </c:pt>
                <c:pt idx="30">
                  <c:v>27.99</c:v>
                </c:pt>
                <c:pt idx="31">
                  <c:v>31.42</c:v>
                </c:pt>
                <c:pt idx="32">
                  <c:v>29.71</c:v>
                </c:pt>
                <c:pt idx="33">
                  <c:v>30.51</c:v>
                </c:pt>
                <c:pt idx="34">
                  <c:v>27.5</c:v>
                </c:pt>
                <c:pt idx="35">
                  <c:v>26.21</c:v>
                </c:pt>
                <c:pt idx="36">
                  <c:v>29.98</c:v>
                </c:pt>
                <c:pt idx="37">
                  <c:v>34.369999999999997</c:v>
                </c:pt>
                <c:pt idx="38">
                  <c:v>42.17</c:v>
                </c:pt>
                <c:pt idx="39">
                  <c:v>37.270000000000003</c:v>
                </c:pt>
                <c:pt idx="40">
                  <c:v>40.04</c:v>
                </c:pt>
                <c:pt idx="41">
                  <c:v>35.79</c:v>
                </c:pt>
                <c:pt idx="42">
                  <c:v>50.36</c:v>
                </c:pt>
                <c:pt idx="43">
                  <c:v>54.94</c:v>
                </c:pt>
                <c:pt idx="44">
                  <c:v>41.16</c:v>
                </c:pt>
                <c:pt idx="45">
                  <c:v>42.65</c:v>
                </c:pt>
                <c:pt idx="46">
                  <c:v>39.76</c:v>
                </c:pt>
                <c:pt idx="47">
                  <c:v>47.388000487142854</c:v>
                </c:pt>
                <c:pt idx="48">
                  <c:v>78.087428497142852</c:v>
                </c:pt>
                <c:pt idx="49">
                  <c:v>69.764142717142846</c:v>
                </c:pt>
                <c:pt idx="50">
                  <c:v>71.14499991142857</c:v>
                </c:pt>
                <c:pt idx="51">
                  <c:v>83.196000228571435</c:v>
                </c:pt>
                <c:pt idx="52">
                  <c:v>69.087142857142865</c:v>
                </c:pt>
                <c:pt idx="53">
                  <c:v>96.785858138571413</c:v>
                </c:pt>
                <c:pt idx="54">
                  <c:v>158.17728531428571</c:v>
                </c:pt>
                <c:pt idx="55">
                  <c:v>167.02357267142858</c:v>
                </c:pt>
                <c:pt idx="56">
                  <c:v>113.19585745142855</c:v>
                </c:pt>
                <c:pt idx="57">
                  <c:v>88.535714287142852</c:v>
                </c:pt>
                <c:pt idx="58">
                  <c:v>99.37822619047617</c:v>
                </c:pt>
                <c:pt idx="59">
                  <c:v>140.28</c:v>
                </c:pt>
                <c:pt idx="60">
                  <c:v>102.99642836285715</c:v>
                </c:pt>
                <c:pt idx="61">
                  <c:v>175.90485927142853</c:v>
                </c:pt>
                <c:pt idx="62">
                  <c:v>169.64671761428571</c:v>
                </c:pt>
                <c:pt idx="63">
                  <c:v>198.22</c:v>
                </c:pt>
                <c:pt idx="64">
                  <c:v>312.6314304857143</c:v>
                </c:pt>
                <c:pt idx="65">
                  <c:v>235.31328691428573</c:v>
                </c:pt>
                <c:pt idx="66">
                  <c:v>294.1721409428572</c:v>
                </c:pt>
                <c:pt idx="67">
                  <c:v>149.18</c:v>
                </c:pt>
                <c:pt idx="68">
                  <c:v>104.35</c:v>
                </c:pt>
                <c:pt idx="69">
                  <c:v>78.038143701428567</c:v>
                </c:pt>
                <c:pt idx="70">
                  <c:v>78.313856942857129</c:v>
                </c:pt>
                <c:pt idx="71">
                  <c:v>130.92628696285712</c:v>
                </c:pt>
                <c:pt idx="72">
                  <c:v>64.449287412857146</c:v>
                </c:pt>
                <c:pt idx="73">
                  <c:v>64.449287412857146</c:v>
                </c:pt>
                <c:pt idx="74">
                  <c:v>39.50100054</c:v>
                </c:pt>
                <c:pt idx="75">
                  <c:v>33.690285274285714</c:v>
                </c:pt>
                <c:pt idx="76">
                  <c:v>30.228428704285715</c:v>
                </c:pt>
                <c:pt idx="77">
                  <c:v>27.872285568571431</c:v>
                </c:pt>
                <c:pt idx="78">
                  <c:v>27.257571358571429</c:v>
                </c:pt>
                <c:pt idx="79">
                  <c:v>27.217285974285712</c:v>
                </c:pt>
                <c:pt idx="80">
                  <c:v>24.955714285714286</c:v>
                </c:pt>
                <c:pt idx="81">
                  <c:v>24.80942862142857</c:v>
                </c:pt>
                <c:pt idx="82">
                  <c:v>25.690999999999999</c:v>
                </c:pt>
                <c:pt idx="83">
                  <c:v>27.630000251428573</c:v>
                </c:pt>
                <c:pt idx="84">
                  <c:v>23.78</c:v>
                </c:pt>
                <c:pt idx="85">
                  <c:v>23.527999878571428</c:v>
                </c:pt>
                <c:pt idx="86">
                  <c:v>23.29</c:v>
                </c:pt>
                <c:pt idx="87">
                  <c:v>23.007142857142856</c:v>
                </c:pt>
                <c:pt idx="88">
                  <c:v>23.173571724285711</c:v>
                </c:pt>
                <c:pt idx="89">
                  <c:v>26.454000201428567</c:v>
                </c:pt>
                <c:pt idx="90">
                  <c:v>23.7</c:v>
                </c:pt>
                <c:pt idx="91">
                  <c:v>23.695143017142858</c:v>
                </c:pt>
                <c:pt idx="92">
                  <c:v>28.113285882132363</c:v>
                </c:pt>
                <c:pt idx="93">
                  <c:v>37.073285511561743</c:v>
                </c:pt>
                <c:pt idx="94">
                  <c:v>70.535571507045162</c:v>
                </c:pt>
                <c:pt idx="95">
                  <c:v>55.183714184285712</c:v>
                </c:pt>
                <c:pt idx="96">
                  <c:v>60.445714132857141</c:v>
                </c:pt>
                <c:pt idx="97">
                  <c:v>57.005714285714291</c:v>
                </c:pt>
                <c:pt idx="98">
                  <c:v>103.00771440714287</c:v>
                </c:pt>
                <c:pt idx="99">
                  <c:v>99.828000734285709</c:v>
                </c:pt>
                <c:pt idx="100">
                  <c:v>60.27571428571428</c:v>
                </c:pt>
                <c:pt idx="101">
                  <c:v>46.701999664285715</c:v>
                </c:pt>
                <c:pt idx="102">
                  <c:v>68.7</c:v>
                </c:pt>
                <c:pt idx="103">
                  <c:v>97.347143448571416</c:v>
                </c:pt>
                <c:pt idx="104">
                  <c:v>78.298570904285711</c:v>
                </c:pt>
                <c:pt idx="105">
                  <c:v>95.081715179999989</c:v>
                </c:pt>
                <c:pt idx="106">
                  <c:v>95.65</c:v>
                </c:pt>
                <c:pt idx="107">
                  <c:v>109.29957036285714</c:v>
                </c:pt>
                <c:pt idx="108">
                  <c:v>149.65083311999999</c:v>
                </c:pt>
                <c:pt idx="109">
                  <c:v>136.57714285714286</c:v>
                </c:pt>
                <c:pt idx="110">
                  <c:v>224.71071514285714</c:v>
                </c:pt>
                <c:pt idx="111">
                  <c:v>198.04342652857142</c:v>
                </c:pt>
                <c:pt idx="112">
                  <c:v>191.0112849857143</c:v>
                </c:pt>
                <c:pt idx="113">
                  <c:v>215.64014109999999</c:v>
                </c:pt>
                <c:pt idx="114">
                  <c:v>236.76099940708642</c:v>
                </c:pt>
                <c:pt idx="115">
                  <c:v>250.8679761904763</c:v>
                </c:pt>
                <c:pt idx="116">
                  <c:v>301.45971681428574</c:v>
                </c:pt>
                <c:pt idx="117">
                  <c:v>253.08542525714284</c:v>
                </c:pt>
                <c:pt idx="118">
                  <c:v>253.08542525714284</c:v>
                </c:pt>
                <c:pt idx="119">
                  <c:v>141.0458592</c:v>
                </c:pt>
                <c:pt idx="120">
                  <c:v>123.86656951428571</c:v>
                </c:pt>
                <c:pt idx="121">
                  <c:v>85.173857551428583</c:v>
                </c:pt>
                <c:pt idx="122">
                  <c:v>71.224285714285699</c:v>
                </c:pt>
                <c:pt idx="123">
                  <c:v>76.857142859999996</c:v>
                </c:pt>
                <c:pt idx="124">
                  <c:v>47.97114345</c:v>
                </c:pt>
                <c:pt idx="125">
                  <c:v>37.624285945285713</c:v>
                </c:pt>
                <c:pt idx="126">
                  <c:v>37.806285858571421</c:v>
                </c:pt>
                <c:pt idx="127">
                  <c:v>35.468714032857143</c:v>
                </c:pt>
                <c:pt idx="128">
                  <c:v>33.200142724285719</c:v>
                </c:pt>
                <c:pt idx="129">
                  <c:v>28.376285825714287</c:v>
                </c:pt>
                <c:pt idx="130">
                  <c:v>28.47</c:v>
                </c:pt>
                <c:pt idx="131">
                  <c:v>28.920333226666667</c:v>
                </c:pt>
                <c:pt idx="132">
                  <c:v>24.422333717346149</c:v>
                </c:pt>
                <c:pt idx="133">
                  <c:v>24.086666666666662</c:v>
                </c:pt>
                <c:pt idx="134">
                  <c:v>22.471285411428575</c:v>
                </c:pt>
                <c:pt idx="135">
                  <c:v>25.212714058571429</c:v>
                </c:pt>
                <c:pt idx="136">
                  <c:v>28.061000278571431</c:v>
                </c:pt>
                <c:pt idx="137">
                  <c:v>28.455856868571431</c:v>
                </c:pt>
                <c:pt idx="138">
                  <c:v>26.646000226666668</c:v>
                </c:pt>
                <c:pt idx="139">
                  <c:v>27.720570974285714</c:v>
                </c:pt>
                <c:pt idx="140">
                  <c:v>27.967571258571429</c:v>
                </c:pt>
                <c:pt idx="141">
                  <c:v>31.354000000000003</c:v>
                </c:pt>
                <c:pt idx="142">
                  <c:v>37.146399307250938</c:v>
                </c:pt>
                <c:pt idx="143">
                  <c:v>29.934999783333328</c:v>
                </c:pt>
                <c:pt idx="144">
                  <c:v>31.668000084285715</c:v>
                </c:pt>
                <c:pt idx="145">
                  <c:v>30.061428571428571</c:v>
                </c:pt>
                <c:pt idx="146">
                  <c:v>48.129999975714291</c:v>
                </c:pt>
                <c:pt idx="147">
                  <c:v>37.781833011666663</c:v>
                </c:pt>
                <c:pt idx="148">
                  <c:v>60.721429549999996</c:v>
                </c:pt>
                <c:pt idx="149">
                  <c:v>68.569856369999997</c:v>
                </c:pt>
                <c:pt idx="150">
                  <c:v>51.534999302857152</c:v>
                </c:pt>
                <c:pt idx="151">
                  <c:v>45.115714484285718</c:v>
                </c:pt>
                <c:pt idx="152">
                  <c:v>84.846428458571424</c:v>
                </c:pt>
                <c:pt idx="153">
                  <c:v>99.139714364285723</c:v>
                </c:pt>
                <c:pt idx="154">
                  <c:v>201.52657207142857</c:v>
                </c:pt>
                <c:pt idx="155">
                  <c:v>224.1094316857143</c:v>
                </c:pt>
                <c:pt idx="156">
                  <c:v>205.2461395</c:v>
                </c:pt>
                <c:pt idx="157">
                  <c:v>129.33128356933543</c:v>
                </c:pt>
                <c:pt idx="158">
                  <c:v>73.393001012857141</c:v>
                </c:pt>
                <c:pt idx="159">
                  <c:v>73.092571804285726</c:v>
                </c:pt>
                <c:pt idx="160">
                  <c:v>140.69343129999999</c:v>
                </c:pt>
                <c:pt idx="161">
                  <c:v>189.96014404285714</c:v>
                </c:pt>
                <c:pt idx="162">
                  <c:v>184.55100359235459</c:v>
                </c:pt>
                <c:pt idx="163">
                  <c:v>141.4891401142857</c:v>
                </c:pt>
                <c:pt idx="164">
                  <c:v>83.969571794782198</c:v>
                </c:pt>
                <c:pt idx="165">
                  <c:v>124.34114185428572</c:v>
                </c:pt>
                <c:pt idx="166">
                  <c:v>110.96499854142857</c:v>
                </c:pt>
                <c:pt idx="167">
                  <c:v>130.17914037142856</c:v>
                </c:pt>
                <c:pt idx="168">
                  <c:v>127.86657169886942</c:v>
                </c:pt>
                <c:pt idx="169">
                  <c:v>138.12900325230143</c:v>
                </c:pt>
                <c:pt idx="170">
                  <c:v>109.14457049285714</c:v>
                </c:pt>
                <c:pt idx="171">
                  <c:v>80.133571635714276</c:v>
                </c:pt>
                <c:pt idx="172">
                  <c:v>57.13714327142857</c:v>
                </c:pt>
                <c:pt idx="173">
                  <c:v>55.184285845075259</c:v>
                </c:pt>
                <c:pt idx="174">
                  <c:v>80.201000221428572</c:v>
                </c:pt>
                <c:pt idx="175">
                  <c:v>73.398713792857151</c:v>
                </c:pt>
                <c:pt idx="176">
                  <c:v>57.629714421428567</c:v>
                </c:pt>
                <c:pt idx="177">
                  <c:v>47.208427974155924</c:v>
                </c:pt>
                <c:pt idx="178">
                  <c:v>39.635571071428572</c:v>
                </c:pt>
                <c:pt idx="179">
                  <c:v>49.136857168571431</c:v>
                </c:pt>
                <c:pt idx="180">
                  <c:v>34.150428227015844</c:v>
                </c:pt>
                <c:pt idx="181">
                  <c:v>32.288857598571425</c:v>
                </c:pt>
                <c:pt idx="182">
                  <c:v>29.45585686714286</c:v>
                </c:pt>
                <c:pt idx="183">
                  <c:v>27.986428669520745</c:v>
                </c:pt>
                <c:pt idx="184">
                  <c:v>24.371857235714284</c:v>
                </c:pt>
                <c:pt idx="185">
                  <c:v>23.620857238571428</c:v>
                </c:pt>
                <c:pt idx="186">
                  <c:v>26.757428577142853</c:v>
                </c:pt>
                <c:pt idx="187">
                  <c:v>26.481285638571428</c:v>
                </c:pt>
                <c:pt idx="188">
                  <c:v>25.506571633475126</c:v>
                </c:pt>
                <c:pt idx="189">
                  <c:v>31.441428594285707</c:v>
                </c:pt>
                <c:pt idx="190">
                  <c:v>33.365713935714282</c:v>
                </c:pt>
                <c:pt idx="191">
                  <c:v>29.068999699183816</c:v>
                </c:pt>
                <c:pt idx="192">
                  <c:v>26.005428859165701</c:v>
                </c:pt>
                <c:pt idx="193">
                  <c:v>25.021857125418485</c:v>
                </c:pt>
                <c:pt idx="194">
                  <c:v>27.854714257376486</c:v>
                </c:pt>
                <c:pt idx="195">
                  <c:v>27.986571175714282</c:v>
                </c:pt>
                <c:pt idx="196">
                  <c:v>25.258999961428572</c:v>
                </c:pt>
                <c:pt idx="197">
                  <c:v>25.185571671428566</c:v>
                </c:pt>
                <c:pt idx="198">
                  <c:v>33.125999450683558</c:v>
                </c:pt>
                <c:pt idx="199">
                  <c:v>41.127143314285711</c:v>
                </c:pt>
                <c:pt idx="200">
                  <c:v>33.038428169999996</c:v>
                </c:pt>
              </c:numCache>
            </c:numRef>
          </c:val>
          <c:extLst>
            <c:ext xmlns:c16="http://schemas.microsoft.com/office/drawing/2014/chart" uri="{C3380CC4-5D6E-409C-BE32-E72D297353CC}">
              <c16:uniqueId val="{00000000-B673-4AFB-8D65-573216AF8130}"/>
            </c:ext>
          </c:extLst>
        </c:ser>
        <c:ser>
          <c:idx val="3"/>
          <c:order val="1"/>
          <c:tx>
            <c:strRef>
              <c:f>'12.Caudales'!$O$3</c:f>
              <c:strCache>
                <c:ptCount val="1"/>
                <c:pt idx="0">
                  <c:v>CHANCAY</c:v>
                </c:pt>
              </c:strCache>
            </c:strRef>
          </c:tx>
          <c:spPr>
            <a:solidFill>
              <a:schemeClr val="accent5">
                <a:lumMod val="40000"/>
                <a:lumOff val="60000"/>
              </a:schemeClr>
            </a:solidFill>
            <a:ln w="25400">
              <a:noFill/>
            </a:ln>
          </c:spPr>
          <c:cat>
            <c:multiLvlStrRef>
              <c:f>'12.Caudales'!$J$4:$K$204</c:f>
              <c:multiLvlStrCache>
                <c:ptCount val="201"/>
                <c:lvl>
                  <c:pt idx="0">
                    <c:v>1</c:v>
                  </c:pt>
                  <c:pt idx="7">
                    <c:v>8</c:v>
                  </c:pt>
                  <c:pt idx="15">
                    <c:v>16</c:v>
                  </c:pt>
                  <c:pt idx="23">
                    <c:v>24</c:v>
                  </c:pt>
                  <c:pt idx="31">
                    <c:v>32</c:v>
                  </c:pt>
                  <c:pt idx="39">
                    <c:v>40</c:v>
                  </c:pt>
                  <c:pt idx="47">
                    <c:v>48</c:v>
                  </c:pt>
                  <c:pt idx="51">
                    <c:v>52</c:v>
                  </c:pt>
                  <c:pt idx="52">
                    <c:v>1</c:v>
                  </c:pt>
                  <c:pt idx="59">
                    <c:v>8</c:v>
                  </c:pt>
                  <c:pt idx="67">
                    <c:v>16</c:v>
                  </c:pt>
                  <c:pt idx="75">
                    <c:v>24</c:v>
                  </c:pt>
                  <c:pt idx="83">
                    <c:v>32</c:v>
                  </c:pt>
                  <c:pt idx="91">
                    <c:v>40</c:v>
                  </c:pt>
                  <c:pt idx="103">
                    <c:v>52</c:v>
                  </c:pt>
                  <c:pt idx="104">
                    <c:v>1</c:v>
                  </c:pt>
                  <c:pt idx="111">
                    <c:v>8</c:v>
                  </c:pt>
                  <c:pt idx="119">
                    <c:v>16</c:v>
                  </c:pt>
                  <c:pt idx="129">
                    <c:v>26</c:v>
                  </c:pt>
                  <c:pt idx="137">
                    <c:v>34</c:v>
                  </c:pt>
                  <c:pt idx="147">
                    <c:v>44</c:v>
                  </c:pt>
                  <c:pt idx="155">
                    <c:v>52</c:v>
                  </c:pt>
                  <c:pt idx="164">
                    <c:v>8</c:v>
                  </c:pt>
                  <c:pt idx="172">
                    <c:v>16</c:v>
                  </c:pt>
                  <c:pt idx="180">
                    <c:v>24</c:v>
                  </c:pt>
                  <c:pt idx="188">
                    <c:v>32</c:v>
                  </c:pt>
                  <c:pt idx="196">
                    <c:v>40</c:v>
                  </c:pt>
                  <c:pt idx="200">
                    <c:v>44</c:v>
                  </c:pt>
                </c:lvl>
                <c:lvl>
                  <c:pt idx="0">
                    <c:v>2017</c:v>
                  </c:pt>
                  <c:pt idx="52">
                    <c:v>2018</c:v>
                  </c:pt>
                  <c:pt idx="104">
                    <c:v>2019</c:v>
                  </c:pt>
                  <c:pt idx="157">
                    <c:v>2020</c:v>
                  </c:pt>
                </c:lvl>
              </c:multiLvlStrCache>
            </c:multiLvlStrRef>
          </c:cat>
          <c:val>
            <c:numRef>
              <c:f>'12.Caudales'!$O$4:$O$204</c:f>
              <c:numCache>
                <c:formatCode>0.0</c:formatCode>
                <c:ptCount val="201"/>
                <c:pt idx="0">
                  <c:v>29.67</c:v>
                </c:pt>
                <c:pt idx="1">
                  <c:v>51.2</c:v>
                </c:pt>
                <c:pt idx="2">
                  <c:v>43.26</c:v>
                </c:pt>
                <c:pt idx="3">
                  <c:v>32.72</c:v>
                </c:pt>
                <c:pt idx="4">
                  <c:v>48.46</c:v>
                </c:pt>
                <c:pt idx="5">
                  <c:v>72.52</c:v>
                </c:pt>
                <c:pt idx="6">
                  <c:v>59.16</c:v>
                </c:pt>
                <c:pt idx="7">
                  <c:v>24.36</c:v>
                </c:pt>
                <c:pt idx="8">
                  <c:v>39.07</c:v>
                </c:pt>
                <c:pt idx="9">
                  <c:v>109.16</c:v>
                </c:pt>
                <c:pt idx="10">
                  <c:v>188.18</c:v>
                </c:pt>
                <c:pt idx="11">
                  <c:v>159.6</c:v>
                </c:pt>
                <c:pt idx="12">
                  <c:v>161.77000000000001</c:v>
                </c:pt>
                <c:pt idx="13">
                  <c:v>115.43</c:v>
                </c:pt>
                <c:pt idx="14">
                  <c:v>98.92</c:v>
                </c:pt>
                <c:pt idx="15">
                  <c:v>82.48</c:v>
                </c:pt>
                <c:pt idx="16">
                  <c:v>77.02</c:v>
                </c:pt>
                <c:pt idx="17">
                  <c:v>62.63</c:v>
                </c:pt>
                <c:pt idx="18">
                  <c:v>93.03</c:v>
                </c:pt>
                <c:pt idx="19">
                  <c:v>72.349999999999994</c:v>
                </c:pt>
                <c:pt idx="20">
                  <c:v>90.75</c:v>
                </c:pt>
                <c:pt idx="21">
                  <c:v>53.02</c:v>
                </c:pt>
                <c:pt idx="22">
                  <c:v>32.43</c:v>
                </c:pt>
                <c:pt idx="23">
                  <c:v>27.75</c:v>
                </c:pt>
                <c:pt idx="24">
                  <c:v>24.81</c:v>
                </c:pt>
                <c:pt idx="25">
                  <c:v>21.81</c:v>
                </c:pt>
                <c:pt idx="26">
                  <c:v>18.649999999999999</c:v>
                </c:pt>
                <c:pt idx="27">
                  <c:v>14.27</c:v>
                </c:pt>
                <c:pt idx="28">
                  <c:v>11.51</c:v>
                </c:pt>
                <c:pt idx="29">
                  <c:v>9.7200000000000006</c:v>
                </c:pt>
                <c:pt idx="30">
                  <c:v>8.09</c:v>
                </c:pt>
                <c:pt idx="31">
                  <c:v>7.62</c:v>
                </c:pt>
                <c:pt idx="32">
                  <c:v>9.5500000000000007</c:v>
                </c:pt>
                <c:pt idx="33">
                  <c:v>10.75</c:v>
                </c:pt>
                <c:pt idx="34">
                  <c:v>8.31</c:v>
                </c:pt>
                <c:pt idx="35">
                  <c:v>6.53</c:v>
                </c:pt>
                <c:pt idx="36">
                  <c:v>9.7799999999999994</c:v>
                </c:pt>
                <c:pt idx="37">
                  <c:v>7.47</c:v>
                </c:pt>
                <c:pt idx="38">
                  <c:v>7.49</c:v>
                </c:pt>
                <c:pt idx="39">
                  <c:v>15.47</c:v>
                </c:pt>
                <c:pt idx="40">
                  <c:v>18</c:v>
                </c:pt>
                <c:pt idx="41">
                  <c:v>12.74</c:v>
                </c:pt>
                <c:pt idx="42">
                  <c:v>30.75</c:v>
                </c:pt>
                <c:pt idx="43">
                  <c:v>23.58</c:v>
                </c:pt>
                <c:pt idx="44">
                  <c:v>11.77</c:v>
                </c:pt>
                <c:pt idx="45">
                  <c:v>9.33</c:v>
                </c:pt>
                <c:pt idx="46">
                  <c:v>8.19</c:v>
                </c:pt>
                <c:pt idx="47">
                  <c:v>19.661285946</c:v>
                </c:pt>
                <c:pt idx="48">
                  <c:v>19.181428364285715</c:v>
                </c:pt>
                <c:pt idx="49">
                  <c:v>23.7245715</c:v>
                </c:pt>
                <c:pt idx="50">
                  <c:v>26.158142907142857</c:v>
                </c:pt>
                <c:pt idx="51">
                  <c:v>21.776999882857144</c:v>
                </c:pt>
                <c:pt idx="52">
                  <c:v>15.747142857142856</c:v>
                </c:pt>
                <c:pt idx="53">
                  <c:v>37.6</c:v>
                </c:pt>
                <c:pt idx="54">
                  <c:v>101.26128550142856</c:v>
                </c:pt>
                <c:pt idx="55">
                  <c:v>77.354000085714276</c:v>
                </c:pt>
                <c:pt idx="56">
                  <c:v>30.667142595714285</c:v>
                </c:pt>
                <c:pt idx="57">
                  <c:v>32.444142750000005</c:v>
                </c:pt>
                <c:pt idx="58">
                  <c:v>30.338148809523812</c:v>
                </c:pt>
                <c:pt idx="59">
                  <c:v>62.97</c:v>
                </c:pt>
                <c:pt idx="60">
                  <c:v>31.244571685714288</c:v>
                </c:pt>
                <c:pt idx="61">
                  <c:v>36.038285662857142</c:v>
                </c:pt>
                <c:pt idx="62">
                  <c:v>25.076428275714282</c:v>
                </c:pt>
                <c:pt idx="63">
                  <c:v>24.63</c:v>
                </c:pt>
                <c:pt idx="64">
                  <c:v>38.701428550000003</c:v>
                </c:pt>
                <c:pt idx="65">
                  <c:v>94.596427907142839</c:v>
                </c:pt>
                <c:pt idx="66">
                  <c:v>92.07</c:v>
                </c:pt>
                <c:pt idx="67">
                  <c:v>45.4</c:v>
                </c:pt>
                <c:pt idx="68">
                  <c:v>41.47</c:v>
                </c:pt>
                <c:pt idx="69">
                  <c:v>65.800999782857133</c:v>
                </c:pt>
                <c:pt idx="70">
                  <c:v>75.104713441428572</c:v>
                </c:pt>
                <c:pt idx="71">
                  <c:v>97.861000055714285</c:v>
                </c:pt>
                <c:pt idx="72">
                  <c:v>107.7964292242857</c:v>
                </c:pt>
                <c:pt idx="73">
                  <c:v>107.7964292242857</c:v>
                </c:pt>
                <c:pt idx="74">
                  <c:v>35.176713670000005</c:v>
                </c:pt>
                <c:pt idx="75">
                  <c:v>23.41942841571429</c:v>
                </c:pt>
                <c:pt idx="76">
                  <c:v>15.98614284142857</c:v>
                </c:pt>
                <c:pt idx="77">
                  <c:v>14.09042848857143</c:v>
                </c:pt>
                <c:pt idx="78">
                  <c:v>11.838857105714284</c:v>
                </c:pt>
                <c:pt idx="79">
                  <c:v>9.7789998731428565</c:v>
                </c:pt>
                <c:pt idx="80">
                  <c:v>8.4957142857142856</c:v>
                </c:pt>
                <c:pt idx="81">
                  <c:v>7.807428428142857</c:v>
                </c:pt>
                <c:pt idx="82">
                  <c:v>7.53</c:v>
                </c:pt>
                <c:pt idx="83">
                  <c:v>6.4074286734285701</c:v>
                </c:pt>
                <c:pt idx="84">
                  <c:v>4.9400000000000004</c:v>
                </c:pt>
                <c:pt idx="85">
                  <c:v>4.6688571658571432</c:v>
                </c:pt>
                <c:pt idx="86">
                  <c:v>4.5999999999999996</c:v>
                </c:pt>
                <c:pt idx="87">
                  <c:v>3.9657142857142857</c:v>
                </c:pt>
                <c:pt idx="88">
                  <c:v>3.5334285327142858</c:v>
                </c:pt>
                <c:pt idx="89">
                  <c:v>6.4914285118571433</c:v>
                </c:pt>
                <c:pt idx="90">
                  <c:v>4.9000000000000004</c:v>
                </c:pt>
                <c:pt idx="91">
                  <c:v>4.898285797571428</c:v>
                </c:pt>
                <c:pt idx="92">
                  <c:v>8.3430000032697169</c:v>
                </c:pt>
                <c:pt idx="93">
                  <c:v>7.2735712868826683</c:v>
                </c:pt>
                <c:pt idx="94">
                  <c:v>7.4324284962245324</c:v>
                </c:pt>
                <c:pt idx="95">
                  <c:v>15.801856994857145</c:v>
                </c:pt>
                <c:pt idx="96">
                  <c:v>26.432857787142858</c:v>
                </c:pt>
                <c:pt idx="97">
                  <c:v>53.502857142857145</c:v>
                </c:pt>
                <c:pt idx="98">
                  <c:v>53.459142955714292</c:v>
                </c:pt>
                <c:pt idx="99">
                  <c:v>45.539571760000008</c:v>
                </c:pt>
                <c:pt idx="100">
                  <c:v>17.955714285714286</c:v>
                </c:pt>
                <c:pt idx="101">
                  <c:v>13.432571411428571</c:v>
                </c:pt>
                <c:pt idx="102">
                  <c:v>39.414285714285711</c:v>
                </c:pt>
                <c:pt idx="103">
                  <c:v>65.679429182857149</c:v>
                </c:pt>
                <c:pt idx="104">
                  <c:v>21.927143370000003</c:v>
                </c:pt>
                <c:pt idx="105">
                  <c:v>22.397999900000002</c:v>
                </c:pt>
                <c:pt idx="106">
                  <c:v>17.61</c:v>
                </c:pt>
                <c:pt idx="107">
                  <c:v>17.638000354285712</c:v>
                </c:pt>
                <c:pt idx="108">
                  <c:v>19.218833289999999</c:v>
                </c:pt>
                <c:pt idx="109">
                  <c:v>57.185714285714276</c:v>
                </c:pt>
                <c:pt idx="110">
                  <c:v>118.06042697857141</c:v>
                </c:pt>
                <c:pt idx="111">
                  <c:v>106.29885756428571</c:v>
                </c:pt>
                <c:pt idx="112">
                  <c:v>142.12385776285717</c:v>
                </c:pt>
                <c:pt idx="113">
                  <c:v>164.59685624285717</c:v>
                </c:pt>
                <c:pt idx="114">
                  <c:v>121.6507121494835</c:v>
                </c:pt>
                <c:pt idx="115">
                  <c:v>166.63136904761905</c:v>
                </c:pt>
                <c:pt idx="116">
                  <c:v>180.07000078571429</c:v>
                </c:pt>
                <c:pt idx="117">
                  <c:v>143.43971579999999</c:v>
                </c:pt>
                <c:pt idx="118">
                  <c:v>152.6561442857143</c:v>
                </c:pt>
                <c:pt idx="119">
                  <c:v>83.844285145714295</c:v>
                </c:pt>
                <c:pt idx="120">
                  <c:v>125.28814153857142</c:v>
                </c:pt>
                <c:pt idx="121">
                  <c:v>66.347143447142855</c:v>
                </c:pt>
                <c:pt idx="122">
                  <c:v>42.216071428571425</c:v>
                </c:pt>
                <c:pt idx="123">
                  <c:v>58.324429100000003</c:v>
                </c:pt>
                <c:pt idx="124">
                  <c:v>34.032571519999998</c:v>
                </c:pt>
                <c:pt idx="125">
                  <c:v>40.524285998571429</c:v>
                </c:pt>
                <c:pt idx="126">
                  <c:v>25.010571342857141</c:v>
                </c:pt>
                <c:pt idx="127">
                  <c:v>18.242713997857145</c:v>
                </c:pt>
                <c:pt idx="128">
                  <c:v>16.013142995714286</c:v>
                </c:pt>
                <c:pt idx="129">
                  <c:v>12.961571557142857</c:v>
                </c:pt>
                <c:pt idx="130">
                  <c:v>11.39</c:v>
                </c:pt>
                <c:pt idx="131">
                  <c:v>11.405166626666668</c:v>
                </c:pt>
                <c:pt idx="132">
                  <c:v>10.173999945322651</c:v>
                </c:pt>
                <c:pt idx="133">
                  <c:v>9.1716666666666669</c:v>
                </c:pt>
                <c:pt idx="134">
                  <c:v>8.5915715354285727</c:v>
                </c:pt>
                <c:pt idx="135">
                  <c:v>6.6260000637142857</c:v>
                </c:pt>
                <c:pt idx="136">
                  <c:v>5.9311428751428581</c:v>
                </c:pt>
                <c:pt idx="137">
                  <c:v>5.2604285648571434</c:v>
                </c:pt>
                <c:pt idx="138">
                  <c:v>4.7316666444999997</c:v>
                </c:pt>
                <c:pt idx="139">
                  <c:v>4.5542856622857144</c:v>
                </c:pt>
                <c:pt idx="140">
                  <c:v>4.1919999124285718</c:v>
                </c:pt>
                <c:pt idx="141">
                  <c:v>4.1759999999999993</c:v>
                </c:pt>
                <c:pt idx="142">
                  <c:v>4.8932001113891559</c:v>
                </c:pt>
                <c:pt idx="143">
                  <c:v>5.3130000431666664</c:v>
                </c:pt>
                <c:pt idx="144">
                  <c:v>8.3924286701428574</c:v>
                </c:pt>
                <c:pt idx="145">
                  <c:v>9.2871428571428574</c:v>
                </c:pt>
                <c:pt idx="146">
                  <c:v>18.153714861428572</c:v>
                </c:pt>
                <c:pt idx="147">
                  <c:v>19.903499760000003</c:v>
                </c:pt>
                <c:pt idx="148">
                  <c:v>69.077428547142844</c:v>
                </c:pt>
                <c:pt idx="149">
                  <c:v>51.190428054285711</c:v>
                </c:pt>
                <c:pt idx="150">
                  <c:v>21.676285608571426</c:v>
                </c:pt>
                <c:pt idx="151">
                  <c:v>19.428714208571428</c:v>
                </c:pt>
                <c:pt idx="152">
                  <c:v>67.787142617142862</c:v>
                </c:pt>
                <c:pt idx="153">
                  <c:v>46.000713344285714</c:v>
                </c:pt>
                <c:pt idx="154">
                  <c:v>43.586286274285712</c:v>
                </c:pt>
                <c:pt idx="155">
                  <c:v>50.483570642857153</c:v>
                </c:pt>
                <c:pt idx="156">
                  <c:v>83.637714931428576</c:v>
                </c:pt>
                <c:pt idx="157">
                  <c:v>35.412713732038192</c:v>
                </c:pt>
                <c:pt idx="158">
                  <c:v>22.044856754285714</c:v>
                </c:pt>
                <c:pt idx="159">
                  <c:v>18.210142817142859</c:v>
                </c:pt>
                <c:pt idx="160">
                  <c:v>15.934428624285713</c:v>
                </c:pt>
                <c:pt idx="161">
                  <c:v>16.347999845714288</c:v>
                </c:pt>
                <c:pt idx="162">
                  <c:v>24.545571190970243</c:v>
                </c:pt>
                <c:pt idx="163">
                  <c:v>17.933714184285712</c:v>
                </c:pt>
                <c:pt idx="164">
                  <c:v>15.5625712530953</c:v>
                </c:pt>
                <c:pt idx="165">
                  <c:v>23.340428760000002</c:v>
                </c:pt>
                <c:pt idx="166">
                  <c:v>51.143429344285714</c:v>
                </c:pt>
                <c:pt idx="167">
                  <c:v>73.820713587142862</c:v>
                </c:pt>
                <c:pt idx="168">
                  <c:v>34.1388571602957</c:v>
                </c:pt>
                <c:pt idx="169">
                  <c:v>66.457714898245612</c:v>
                </c:pt>
                <c:pt idx="170">
                  <c:v>82.626999985714278</c:v>
                </c:pt>
                <c:pt idx="171">
                  <c:v>89.91342707714287</c:v>
                </c:pt>
                <c:pt idx="172">
                  <c:v>73.487428932857142</c:v>
                </c:pt>
                <c:pt idx="173">
                  <c:v>80.585714067731558</c:v>
                </c:pt>
                <c:pt idx="174">
                  <c:v>93.131286082857144</c:v>
                </c:pt>
                <c:pt idx="175">
                  <c:v>43.960427964285714</c:v>
                </c:pt>
                <c:pt idx="176">
                  <c:v>29.038571492857141</c:v>
                </c:pt>
                <c:pt idx="177">
                  <c:v>20.747856957571798</c:v>
                </c:pt>
                <c:pt idx="178">
                  <c:v>28.597570964285715</c:v>
                </c:pt>
                <c:pt idx="179">
                  <c:v>19.104714530000003</c:v>
                </c:pt>
                <c:pt idx="180">
                  <c:v>14.211285591125442</c:v>
                </c:pt>
                <c:pt idx="181">
                  <c:v>11.628714288571429</c:v>
                </c:pt>
                <c:pt idx="182">
                  <c:v>11.67571422</c:v>
                </c:pt>
                <c:pt idx="183">
                  <c:v>27.48885754176543</c:v>
                </c:pt>
                <c:pt idx="184">
                  <c:v>32.395143782857147</c:v>
                </c:pt>
                <c:pt idx="185">
                  <c:v>14.974999971428572</c:v>
                </c:pt>
                <c:pt idx="186">
                  <c:v>14.12842846</c:v>
                </c:pt>
                <c:pt idx="187">
                  <c:v>10.121857098285714</c:v>
                </c:pt>
                <c:pt idx="188">
                  <c:v>7.7241428239004906</c:v>
                </c:pt>
                <c:pt idx="189">
                  <c:v>8.5772858349999996</c:v>
                </c:pt>
                <c:pt idx="190">
                  <c:v>6.7090001108571427</c:v>
                </c:pt>
                <c:pt idx="191">
                  <c:v>5.7295714105878517</c:v>
                </c:pt>
                <c:pt idx="192">
                  <c:v>5.6865714618137853</c:v>
                </c:pt>
                <c:pt idx="193">
                  <c:v>5.3568570954459016</c:v>
                </c:pt>
                <c:pt idx="194">
                  <c:v>6.9268571308680906</c:v>
                </c:pt>
                <c:pt idx="195" formatCode="General">
                  <c:v>9.9768571861428565</c:v>
                </c:pt>
                <c:pt idx="196">
                  <c:v>7.1328571184285705</c:v>
                </c:pt>
                <c:pt idx="197">
                  <c:v>4.9102856772857146</c:v>
                </c:pt>
                <c:pt idx="198">
                  <c:v>6.3367142677306969</c:v>
                </c:pt>
                <c:pt idx="199" formatCode="General">
                  <c:v>11.867142950714285</c:v>
                </c:pt>
                <c:pt idx="200">
                  <c:v>5.2337141718571427</c:v>
                </c:pt>
              </c:numCache>
            </c:numRef>
          </c:val>
          <c:extLst>
            <c:ext xmlns:c16="http://schemas.microsoft.com/office/drawing/2014/chart" uri="{C3380CC4-5D6E-409C-BE32-E72D297353CC}">
              <c16:uniqueId val="{00000001-B673-4AFB-8D65-573216AF8130}"/>
            </c:ext>
          </c:extLst>
        </c:ser>
        <c:ser>
          <c:idx val="1"/>
          <c:order val="2"/>
          <c:tx>
            <c:strRef>
              <c:f>'12.Caudales'!$M$3</c:f>
              <c:strCache>
                <c:ptCount val="1"/>
                <c:pt idx="0">
                  <c:v>PATIVILCA</c:v>
                </c:pt>
              </c:strCache>
            </c:strRef>
          </c:tx>
          <c:spPr>
            <a:solidFill>
              <a:schemeClr val="accent1">
                <a:alpha val="26000"/>
              </a:schemeClr>
            </a:solidFill>
            <a:ln w="31750">
              <a:solidFill>
                <a:schemeClr val="accent1">
                  <a:lumMod val="75000"/>
                </a:schemeClr>
              </a:solidFill>
            </a:ln>
          </c:spPr>
          <c:cat>
            <c:multiLvlStrRef>
              <c:f>'12.Caudales'!$J$4:$K$204</c:f>
              <c:multiLvlStrCache>
                <c:ptCount val="201"/>
                <c:lvl>
                  <c:pt idx="0">
                    <c:v>1</c:v>
                  </c:pt>
                  <c:pt idx="7">
                    <c:v>8</c:v>
                  </c:pt>
                  <c:pt idx="15">
                    <c:v>16</c:v>
                  </c:pt>
                  <c:pt idx="23">
                    <c:v>24</c:v>
                  </c:pt>
                  <c:pt idx="31">
                    <c:v>32</c:v>
                  </c:pt>
                  <c:pt idx="39">
                    <c:v>40</c:v>
                  </c:pt>
                  <c:pt idx="47">
                    <c:v>48</c:v>
                  </c:pt>
                  <c:pt idx="51">
                    <c:v>52</c:v>
                  </c:pt>
                  <c:pt idx="52">
                    <c:v>1</c:v>
                  </c:pt>
                  <c:pt idx="59">
                    <c:v>8</c:v>
                  </c:pt>
                  <c:pt idx="67">
                    <c:v>16</c:v>
                  </c:pt>
                  <c:pt idx="75">
                    <c:v>24</c:v>
                  </c:pt>
                  <c:pt idx="83">
                    <c:v>32</c:v>
                  </c:pt>
                  <c:pt idx="91">
                    <c:v>40</c:v>
                  </c:pt>
                  <c:pt idx="103">
                    <c:v>52</c:v>
                  </c:pt>
                  <c:pt idx="104">
                    <c:v>1</c:v>
                  </c:pt>
                  <c:pt idx="111">
                    <c:v>8</c:v>
                  </c:pt>
                  <c:pt idx="119">
                    <c:v>16</c:v>
                  </c:pt>
                  <c:pt idx="129">
                    <c:v>26</c:v>
                  </c:pt>
                  <c:pt idx="137">
                    <c:v>34</c:v>
                  </c:pt>
                  <c:pt idx="147">
                    <c:v>44</c:v>
                  </c:pt>
                  <c:pt idx="155">
                    <c:v>52</c:v>
                  </c:pt>
                  <c:pt idx="164">
                    <c:v>8</c:v>
                  </c:pt>
                  <c:pt idx="172">
                    <c:v>16</c:v>
                  </c:pt>
                  <c:pt idx="180">
                    <c:v>24</c:v>
                  </c:pt>
                  <c:pt idx="188">
                    <c:v>32</c:v>
                  </c:pt>
                  <c:pt idx="196">
                    <c:v>40</c:v>
                  </c:pt>
                  <c:pt idx="200">
                    <c:v>44</c:v>
                  </c:pt>
                </c:lvl>
                <c:lvl>
                  <c:pt idx="0">
                    <c:v>2017</c:v>
                  </c:pt>
                  <c:pt idx="52">
                    <c:v>2018</c:v>
                  </c:pt>
                  <c:pt idx="104">
                    <c:v>2019</c:v>
                  </c:pt>
                  <c:pt idx="157">
                    <c:v>2020</c:v>
                  </c:pt>
                </c:lvl>
              </c:multiLvlStrCache>
            </c:multiLvlStrRef>
          </c:cat>
          <c:val>
            <c:numRef>
              <c:f>'12.Caudales'!$M$4:$M$204</c:f>
              <c:numCache>
                <c:formatCode>0.0</c:formatCode>
                <c:ptCount val="201"/>
                <c:pt idx="0">
                  <c:v>41.55</c:v>
                </c:pt>
                <c:pt idx="1">
                  <c:v>39.6</c:v>
                </c:pt>
                <c:pt idx="2">
                  <c:v>73.650000000000006</c:v>
                </c:pt>
                <c:pt idx="3">
                  <c:v>65.03</c:v>
                </c:pt>
                <c:pt idx="4">
                  <c:v>56.95</c:v>
                </c:pt>
                <c:pt idx="5">
                  <c:v>61.87</c:v>
                </c:pt>
                <c:pt idx="6">
                  <c:v>77.569999999999993</c:v>
                </c:pt>
                <c:pt idx="7">
                  <c:v>86.94</c:v>
                </c:pt>
                <c:pt idx="8">
                  <c:v>85.13</c:v>
                </c:pt>
                <c:pt idx="9">
                  <c:v>84.78</c:v>
                </c:pt>
                <c:pt idx="10">
                  <c:v>84.78</c:v>
                </c:pt>
                <c:pt idx="11">
                  <c:v>106.16</c:v>
                </c:pt>
                <c:pt idx="12">
                  <c:v>101.71</c:v>
                </c:pt>
                <c:pt idx="13">
                  <c:v>83.1</c:v>
                </c:pt>
                <c:pt idx="14">
                  <c:v>61.23</c:v>
                </c:pt>
                <c:pt idx="15">
                  <c:v>49.8</c:v>
                </c:pt>
                <c:pt idx="16">
                  <c:v>40.21</c:v>
                </c:pt>
                <c:pt idx="17">
                  <c:v>43.46</c:v>
                </c:pt>
                <c:pt idx="18">
                  <c:v>35.65</c:v>
                </c:pt>
                <c:pt idx="19">
                  <c:v>26.22</c:v>
                </c:pt>
                <c:pt idx="20">
                  <c:v>27.95</c:v>
                </c:pt>
                <c:pt idx="21">
                  <c:v>32.409999999999997</c:v>
                </c:pt>
                <c:pt idx="22">
                  <c:v>28.93</c:v>
                </c:pt>
                <c:pt idx="23">
                  <c:v>26.59</c:v>
                </c:pt>
                <c:pt idx="24">
                  <c:v>23.61</c:v>
                </c:pt>
                <c:pt idx="25">
                  <c:v>24.94</c:v>
                </c:pt>
                <c:pt idx="26">
                  <c:v>25.54</c:v>
                </c:pt>
                <c:pt idx="27">
                  <c:v>23.56</c:v>
                </c:pt>
                <c:pt idx="28">
                  <c:v>22.4</c:v>
                </c:pt>
                <c:pt idx="29">
                  <c:v>21.29</c:v>
                </c:pt>
                <c:pt idx="30">
                  <c:v>19.34</c:v>
                </c:pt>
                <c:pt idx="31">
                  <c:v>19.649999999999999</c:v>
                </c:pt>
                <c:pt idx="32">
                  <c:v>18.420000000000002</c:v>
                </c:pt>
                <c:pt idx="33">
                  <c:v>17.170000000000002</c:v>
                </c:pt>
                <c:pt idx="34">
                  <c:v>17.47</c:v>
                </c:pt>
                <c:pt idx="35">
                  <c:v>13.42</c:v>
                </c:pt>
                <c:pt idx="36">
                  <c:v>11.2</c:v>
                </c:pt>
                <c:pt idx="37">
                  <c:v>11</c:v>
                </c:pt>
                <c:pt idx="38">
                  <c:v>11.14</c:v>
                </c:pt>
                <c:pt idx="39">
                  <c:v>12.8</c:v>
                </c:pt>
                <c:pt idx="40">
                  <c:v>14.41</c:v>
                </c:pt>
                <c:pt idx="41">
                  <c:v>15.87</c:v>
                </c:pt>
                <c:pt idx="42">
                  <c:v>19.61</c:v>
                </c:pt>
                <c:pt idx="43">
                  <c:v>21.85</c:v>
                </c:pt>
                <c:pt idx="44">
                  <c:v>16.79</c:v>
                </c:pt>
                <c:pt idx="45">
                  <c:v>16.010000000000002</c:v>
                </c:pt>
                <c:pt idx="46">
                  <c:v>14.72</c:v>
                </c:pt>
                <c:pt idx="47">
                  <c:v>18.932000297142856</c:v>
                </c:pt>
                <c:pt idx="48">
                  <c:v>28.48371397</c:v>
                </c:pt>
                <c:pt idx="49">
                  <c:v>32.583286012857144</c:v>
                </c:pt>
                <c:pt idx="50">
                  <c:v>34.501856668571428</c:v>
                </c:pt>
                <c:pt idx="51">
                  <c:v>27.781857355714287</c:v>
                </c:pt>
                <c:pt idx="52">
                  <c:v>29.44</c:v>
                </c:pt>
                <c:pt idx="53">
                  <c:v>42.880857194285717</c:v>
                </c:pt>
                <c:pt idx="54">
                  <c:v>74.002572194285705</c:v>
                </c:pt>
                <c:pt idx="55">
                  <c:v>77.812570845714291</c:v>
                </c:pt>
                <c:pt idx="56">
                  <c:v>61.531714848571433</c:v>
                </c:pt>
                <c:pt idx="57">
                  <c:v>54.024142672857138</c:v>
                </c:pt>
                <c:pt idx="58">
                  <c:v>59.271427155714285</c:v>
                </c:pt>
                <c:pt idx="59">
                  <c:v>78.025571005714284</c:v>
                </c:pt>
                <c:pt idx="60">
                  <c:v>61.11871501571428</c:v>
                </c:pt>
                <c:pt idx="61">
                  <c:v>84.500714981428573</c:v>
                </c:pt>
                <c:pt idx="62">
                  <c:v>83.643855504285725</c:v>
                </c:pt>
                <c:pt idx="63">
                  <c:v>98.99</c:v>
                </c:pt>
                <c:pt idx="64">
                  <c:v>106.64928652857144</c:v>
                </c:pt>
                <c:pt idx="65">
                  <c:v>86.488428389999996</c:v>
                </c:pt>
                <c:pt idx="66">
                  <c:v>88.217001778571429</c:v>
                </c:pt>
                <c:pt idx="67">
                  <c:v>65.84</c:v>
                </c:pt>
                <c:pt idx="68">
                  <c:v>51.88</c:v>
                </c:pt>
                <c:pt idx="69">
                  <c:v>49.672285897142856</c:v>
                </c:pt>
                <c:pt idx="70">
                  <c:v>45.203000204285708</c:v>
                </c:pt>
                <c:pt idx="71">
                  <c:v>37.385857718571437</c:v>
                </c:pt>
                <c:pt idx="72">
                  <c:v>31.609713962857143</c:v>
                </c:pt>
                <c:pt idx="73">
                  <c:v>23.360142844285715</c:v>
                </c:pt>
                <c:pt idx="74">
                  <c:v>22.118571418571431</c:v>
                </c:pt>
                <c:pt idx="75">
                  <c:v>18.655142918571432</c:v>
                </c:pt>
                <c:pt idx="76">
                  <c:v>15.664428437142856</c:v>
                </c:pt>
                <c:pt idx="77">
                  <c:v>13.848143032857147</c:v>
                </c:pt>
                <c:pt idx="78">
                  <c:v>12.865857259999999</c:v>
                </c:pt>
                <c:pt idx="79">
                  <c:v>12.915285789999999</c:v>
                </c:pt>
                <c:pt idx="80">
                  <c:v>15.908571428571426</c:v>
                </c:pt>
                <c:pt idx="81">
                  <c:v>16.584000042857145</c:v>
                </c:pt>
                <c:pt idx="82">
                  <c:v>18.553000000000001</c:v>
                </c:pt>
                <c:pt idx="83">
                  <c:v>17.769714355714285</c:v>
                </c:pt>
                <c:pt idx="84">
                  <c:v>14.782857348571428</c:v>
                </c:pt>
                <c:pt idx="85">
                  <c:v>15.984000069999999</c:v>
                </c:pt>
                <c:pt idx="86">
                  <c:v>15.55</c:v>
                </c:pt>
                <c:pt idx="87">
                  <c:v>15.042857142857143</c:v>
                </c:pt>
                <c:pt idx="88">
                  <c:v>13.386857033</c:v>
                </c:pt>
                <c:pt idx="89">
                  <c:v>12.963714189999999</c:v>
                </c:pt>
                <c:pt idx="90">
                  <c:v>9.4700000000000006</c:v>
                </c:pt>
                <c:pt idx="91">
                  <c:v>9.6714286802857146</c:v>
                </c:pt>
                <c:pt idx="92">
                  <c:v>13.23900018419533</c:v>
                </c:pt>
                <c:pt idx="93">
                  <c:v>13.085142816816015</c:v>
                </c:pt>
                <c:pt idx="94">
                  <c:v>24.981571742466489</c:v>
                </c:pt>
                <c:pt idx="95">
                  <c:v>20.55814279714286</c:v>
                </c:pt>
                <c:pt idx="96">
                  <c:v>26.170000077142856</c:v>
                </c:pt>
                <c:pt idx="97">
                  <c:v>19.728571428571428</c:v>
                </c:pt>
                <c:pt idx="98">
                  <c:v>39.656714302857139</c:v>
                </c:pt>
                <c:pt idx="99">
                  <c:v>39.656714302857139</c:v>
                </c:pt>
                <c:pt idx="100">
                  <c:v>22.62857142857143</c:v>
                </c:pt>
                <c:pt idx="101">
                  <c:v>17.776714461428572</c:v>
                </c:pt>
                <c:pt idx="102">
                  <c:v>34.085714285714282</c:v>
                </c:pt>
                <c:pt idx="103">
                  <c:v>52.094142914285719</c:v>
                </c:pt>
                <c:pt idx="104">
                  <c:v>27.79999951142857</c:v>
                </c:pt>
                <c:pt idx="105">
                  <c:v>28.678571428571427</c:v>
                </c:pt>
                <c:pt idx="106">
                  <c:v>44.51</c:v>
                </c:pt>
                <c:pt idx="107">
                  <c:v>73.323141914285699</c:v>
                </c:pt>
                <c:pt idx="108">
                  <c:v>103.17716724333333</c:v>
                </c:pt>
                <c:pt idx="109">
                  <c:v>79.165714285714287</c:v>
                </c:pt>
                <c:pt idx="110">
                  <c:v>120.02256992142858</c:v>
                </c:pt>
                <c:pt idx="111">
                  <c:v>97.560142514285715</c:v>
                </c:pt>
                <c:pt idx="112">
                  <c:v>97.560142514285715</c:v>
                </c:pt>
                <c:pt idx="113">
                  <c:v>97.497286117142863</c:v>
                </c:pt>
                <c:pt idx="114">
                  <c:v>98.21585736955906</c:v>
                </c:pt>
                <c:pt idx="115">
                  <c:v>91.857713972857141</c:v>
                </c:pt>
                <c:pt idx="116">
                  <c:v>100.0137132957143</c:v>
                </c:pt>
                <c:pt idx="117">
                  <c:v>84.272714885714294</c:v>
                </c:pt>
                <c:pt idx="118">
                  <c:v>61.074856892857142</c:v>
                </c:pt>
                <c:pt idx="119">
                  <c:v>47.843714031428576</c:v>
                </c:pt>
                <c:pt idx="120">
                  <c:v>50.907143728571427</c:v>
                </c:pt>
                <c:pt idx="121">
                  <c:v>39.120999471428568</c:v>
                </c:pt>
                <c:pt idx="122">
                  <c:v>35.410856791428571</c:v>
                </c:pt>
                <c:pt idx="123">
                  <c:v>32.405142920000003</c:v>
                </c:pt>
                <c:pt idx="124">
                  <c:v>26.58385740142857</c:v>
                </c:pt>
                <c:pt idx="125">
                  <c:v>19.653714315714286</c:v>
                </c:pt>
                <c:pt idx="126">
                  <c:v>16.50400011857143</c:v>
                </c:pt>
                <c:pt idx="127">
                  <c:v>14.890428544285713</c:v>
                </c:pt>
                <c:pt idx="128">
                  <c:v>15.340000017142858</c:v>
                </c:pt>
                <c:pt idx="129">
                  <c:v>15.521142687142857</c:v>
                </c:pt>
                <c:pt idx="130">
                  <c:v>15.32</c:v>
                </c:pt>
                <c:pt idx="131">
                  <c:v>14.809428488571427</c:v>
                </c:pt>
                <c:pt idx="132">
                  <c:v>13.666428565978956</c:v>
                </c:pt>
                <c:pt idx="133">
                  <c:v>13.392857142857142</c:v>
                </c:pt>
                <c:pt idx="134">
                  <c:v>13.098428589999999</c:v>
                </c:pt>
                <c:pt idx="135">
                  <c:v>12.228285654285713</c:v>
                </c:pt>
                <c:pt idx="136">
                  <c:v>12.838714327142856</c:v>
                </c:pt>
                <c:pt idx="137">
                  <c:v>12.37928554</c:v>
                </c:pt>
                <c:pt idx="138">
                  <c:v>11.92371409142857</c:v>
                </c:pt>
                <c:pt idx="139">
                  <c:v>10.731857162857143</c:v>
                </c:pt>
                <c:pt idx="140">
                  <c:v>11.481428825714286</c:v>
                </c:pt>
                <c:pt idx="141">
                  <c:v>12.217142857142859</c:v>
                </c:pt>
                <c:pt idx="142">
                  <c:v>15.0261430740356</c:v>
                </c:pt>
                <c:pt idx="143">
                  <c:v>13.292000225714288</c:v>
                </c:pt>
                <c:pt idx="144">
                  <c:v>15.472143037142859</c:v>
                </c:pt>
                <c:pt idx="145">
                  <c:v>14.602857142857143</c:v>
                </c:pt>
                <c:pt idx="146">
                  <c:v>18.763999527142854</c:v>
                </c:pt>
                <c:pt idx="147">
                  <c:v>12.722428322857143</c:v>
                </c:pt>
                <c:pt idx="148">
                  <c:v>22.372000012857146</c:v>
                </c:pt>
                <c:pt idx="149">
                  <c:v>28.101571491428576</c:v>
                </c:pt>
                <c:pt idx="150">
                  <c:v>22.222285951428574</c:v>
                </c:pt>
                <c:pt idx="151">
                  <c:v>18.796428408571426</c:v>
                </c:pt>
                <c:pt idx="152">
                  <c:v>40.459857124285712</c:v>
                </c:pt>
                <c:pt idx="153">
                  <c:v>55.208571570000004</c:v>
                </c:pt>
                <c:pt idx="154">
                  <c:v>84.778857641428559</c:v>
                </c:pt>
                <c:pt idx="155">
                  <c:v>90.21400125571428</c:v>
                </c:pt>
                <c:pt idx="156">
                  <c:v>80.061285835714287</c:v>
                </c:pt>
                <c:pt idx="157">
                  <c:v>42.7519994463239</c:v>
                </c:pt>
                <c:pt idx="158">
                  <c:v>30.679571151428568</c:v>
                </c:pt>
                <c:pt idx="159">
                  <c:v>46.443999700000006</c:v>
                </c:pt>
                <c:pt idx="160">
                  <c:v>56.559571404285713</c:v>
                </c:pt>
                <c:pt idx="161">
                  <c:v>85.997285015714283</c:v>
                </c:pt>
                <c:pt idx="162">
                  <c:v>79.643857683454215</c:v>
                </c:pt>
                <c:pt idx="163">
                  <c:v>62.11542837857143</c:v>
                </c:pt>
                <c:pt idx="164">
                  <c:v>41.134571620396166</c:v>
                </c:pt>
                <c:pt idx="165">
                  <c:v>70.027142117142859</c:v>
                </c:pt>
                <c:pt idx="166">
                  <c:v>51.713285718571434</c:v>
                </c:pt>
                <c:pt idx="167">
                  <c:v>64.999999455714274</c:v>
                </c:pt>
                <c:pt idx="168">
                  <c:v>70.530143192836164</c:v>
                </c:pt>
                <c:pt idx="169">
                  <c:v>73.710714612688278</c:v>
                </c:pt>
                <c:pt idx="170">
                  <c:v>57.796857017142862</c:v>
                </c:pt>
                <c:pt idx="171">
                  <c:v>44.430285317142861</c:v>
                </c:pt>
                <c:pt idx="172">
                  <c:v>30.701856885714285</c:v>
                </c:pt>
                <c:pt idx="173">
                  <c:v>24.932857240949314</c:v>
                </c:pt>
                <c:pt idx="174">
                  <c:v>46.867285591428576</c:v>
                </c:pt>
                <c:pt idx="175">
                  <c:v>39.880857740000003</c:v>
                </c:pt>
                <c:pt idx="176">
                  <c:v>34.332998821428575</c:v>
                </c:pt>
                <c:pt idx="177">
                  <c:v>28.39914212908057</c:v>
                </c:pt>
                <c:pt idx="178">
                  <c:v>19.016142710000004</c:v>
                </c:pt>
                <c:pt idx="179">
                  <c:v>16.323713982857143</c:v>
                </c:pt>
                <c:pt idx="180">
                  <c:v>14.458999906267413</c:v>
                </c:pt>
                <c:pt idx="181">
                  <c:v>13.476999827142858</c:v>
                </c:pt>
                <c:pt idx="182">
                  <c:v>14.175142699999999</c:v>
                </c:pt>
                <c:pt idx="183">
                  <c:v>12.859571456909155</c:v>
                </c:pt>
                <c:pt idx="184">
                  <c:v>11.472142902857144</c:v>
                </c:pt>
                <c:pt idx="185">
                  <c:v>11.32885715142857</c:v>
                </c:pt>
                <c:pt idx="186">
                  <c:v>11.152000155714285</c:v>
                </c:pt>
                <c:pt idx="187">
                  <c:v>10.852571488571428</c:v>
                </c:pt>
                <c:pt idx="188">
                  <c:v>10.338285718645329</c:v>
                </c:pt>
                <c:pt idx="189">
                  <c:v>11.413999967142857</c:v>
                </c:pt>
                <c:pt idx="190">
                  <c:v>11.662143027142859</c:v>
                </c:pt>
                <c:pt idx="191">
                  <c:v>11.541428702218141</c:v>
                </c:pt>
                <c:pt idx="192">
                  <c:v>13.286857196262856</c:v>
                </c:pt>
                <c:pt idx="193">
                  <c:v>15.49071434565947</c:v>
                </c:pt>
                <c:pt idx="194">
                  <c:v>16.166143281119158</c:v>
                </c:pt>
                <c:pt idx="195" formatCode="General">
                  <c:v>16.810999734285712</c:v>
                </c:pt>
                <c:pt idx="196">
                  <c:v>14.579285758571428</c:v>
                </c:pt>
                <c:pt idx="197">
                  <c:v>13.048857279999998</c:v>
                </c:pt>
                <c:pt idx="198">
                  <c:v>14.871000289916955</c:v>
                </c:pt>
                <c:pt idx="199" formatCode="General">
                  <c:v>21.991714477142857</c:v>
                </c:pt>
                <c:pt idx="200">
                  <c:v>13.904857091428573</c:v>
                </c:pt>
              </c:numCache>
            </c:numRef>
          </c:val>
          <c:extLst>
            <c:ext xmlns:c16="http://schemas.microsoft.com/office/drawing/2014/chart" uri="{C3380CC4-5D6E-409C-BE32-E72D297353CC}">
              <c16:uniqueId val="{00000002-B673-4AFB-8D65-573216AF8130}"/>
            </c:ext>
          </c:extLst>
        </c:ser>
        <c:dLbls>
          <c:showLegendKey val="0"/>
          <c:showVal val="0"/>
          <c:showCatName val="0"/>
          <c:showSerName val="0"/>
          <c:showPercent val="0"/>
          <c:showBubbleSize val="0"/>
        </c:dLbls>
        <c:axId val="351129984"/>
        <c:axId val="351131904"/>
      </c:areaChart>
      <c:catAx>
        <c:axId val="351129984"/>
        <c:scaling>
          <c:orientation val="minMax"/>
        </c:scaling>
        <c:delete val="0"/>
        <c:axPos val="b"/>
        <c:title>
          <c:tx>
            <c:rich>
              <a:bodyPr/>
              <a:lstStyle/>
              <a:p>
                <a:pPr>
                  <a:defRPr/>
                </a:pPr>
                <a:r>
                  <a:rPr lang="en-US"/>
                  <a:t>Semanas</a:t>
                </a:r>
              </a:p>
            </c:rich>
          </c:tx>
          <c:layout>
            <c:manualLayout>
              <c:xMode val="edge"/>
              <c:yMode val="edge"/>
              <c:x val="0.91121828796248527"/>
              <c:y val="0.95220374743382508"/>
            </c:manualLayout>
          </c:layout>
          <c:overlay val="0"/>
        </c:title>
        <c:numFmt formatCode="General" sourceLinked="0"/>
        <c:majorTickMark val="out"/>
        <c:minorTickMark val="none"/>
        <c:tickLblPos val="nextTo"/>
        <c:spPr>
          <a:ln/>
        </c:spPr>
        <c:txPr>
          <a:bodyPr/>
          <a:lstStyle/>
          <a:p>
            <a:pPr>
              <a:defRPr kern="2000" spc="-100" baseline="0"/>
            </a:pPr>
            <a:endParaRPr lang="es-PE"/>
          </a:p>
        </c:txPr>
        <c:crossAx val="351131904"/>
        <c:crosses val="autoZero"/>
        <c:auto val="1"/>
        <c:lblAlgn val="ctr"/>
        <c:lblOffset val="300"/>
        <c:noMultiLvlLbl val="0"/>
      </c:catAx>
      <c:valAx>
        <c:axId val="351131904"/>
        <c:scaling>
          <c:orientation val="minMax"/>
        </c:scaling>
        <c:delete val="0"/>
        <c:axPos val="l"/>
        <c:majorGridlines/>
        <c:title>
          <c:tx>
            <c:rich>
              <a:bodyPr rot="0" vert="horz"/>
              <a:lstStyle/>
              <a:p>
                <a:pPr>
                  <a:defRPr/>
                </a:pPr>
                <a:r>
                  <a:rPr lang="en-US"/>
                  <a:t>m3/s</a:t>
                </a:r>
              </a:p>
            </c:rich>
          </c:tx>
          <c:layout>
            <c:manualLayout>
              <c:xMode val="edge"/>
              <c:yMode val="edge"/>
              <c:x val="7.8268743445245054E-3"/>
              <c:y val="5.3536025961567237E-2"/>
            </c:manualLayout>
          </c:layout>
          <c:overlay val="0"/>
        </c:title>
        <c:numFmt formatCode="0.0" sourceLinked="1"/>
        <c:majorTickMark val="out"/>
        <c:minorTickMark val="none"/>
        <c:tickLblPos val="nextTo"/>
        <c:crossAx val="351129984"/>
        <c:crosses val="autoZero"/>
        <c:crossBetween val="midCat"/>
      </c:valAx>
    </c:plotArea>
    <c:legend>
      <c:legendPos val="t"/>
      <c:layout>
        <c:manualLayout>
          <c:xMode val="edge"/>
          <c:yMode val="edge"/>
          <c:x val="0.20820113575646959"/>
          <c:y val="0.15812672638644781"/>
          <c:w val="0.50511082786398986"/>
          <c:h val="5.3330742306545623E-2"/>
        </c:manualLayout>
      </c:layout>
      <c:overlay val="0"/>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Mensual-Noviembre 2019
INFSGI-MES-11-2019
16/12/2019
Versión: 01</c:oddHeader>
    </c:headerFooter>
    <c:pageMargins b="0.75" l="0.7" r="0.7" t="0.75" header="0.3" footer="0.3"/>
    <c:pageSetup paperSize="9"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CAUDALES DE LOS RÍOS RÍMAC Y SANTA EULALIA</a:t>
            </a:r>
          </a:p>
        </c:rich>
      </c:tx>
      <c:overlay val="1"/>
    </c:title>
    <c:autoTitleDeleted val="0"/>
    <c:plotArea>
      <c:layout>
        <c:manualLayout>
          <c:layoutTarget val="inner"/>
          <c:xMode val="edge"/>
          <c:yMode val="edge"/>
          <c:x val="5.569664839908544E-2"/>
          <c:y val="0.15679340939907641"/>
          <c:w val="0.92583790996713644"/>
          <c:h val="0.53782158106056432"/>
        </c:manualLayout>
      </c:layout>
      <c:areaChart>
        <c:grouping val="standard"/>
        <c:varyColors val="0"/>
        <c:ser>
          <c:idx val="2"/>
          <c:order val="0"/>
          <c:tx>
            <c:strRef>
              <c:f>'13.Caudales'!$Q$3</c:f>
              <c:strCache>
                <c:ptCount val="1"/>
                <c:pt idx="0">
                  <c:v>RÍMAC</c:v>
                </c:pt>
              </c:strCache>
            </c:strRef>
          </c:tx>
          <c:spPr>
            <a:solidFill>
              <a:schemeClr val="accent5">
                <a:lumMod val="60000"/>
                <a:lumOff val="40000"/>
              </a:schemeClr>
            </a:solidFill>
          </c:spPr>
          <c:cat>
            <c:multiLvlStrRef>
              <c:f>'13.Caudales'!$N$4:$O$204</c:f>
              <c:multiLvlStrCache>
                <c:ptCount val="201"/>
                <c:lvl>
                  <c:pt idx="0">
                    <c:v>1</c:v>
                  </c:pt>
                  <c:pt idx="7">
                    <c:v>8</c:v>
                  </c:pt>
                  <c:pt idx="15">
                    <c:v>16</c:v>
                  </c:pt>
                  <c:pt idx="23">
                    <c:v>24</c:v>
                  </c:pt>
                  <c:pt idx="31">
                    <c:v>32</c:v>
                  </c:pt>
                  <c:pt idx="38">
                    <c:v>39</c:v>
                  </c:pt>
                  <c:pt idx="47">
                    <c:v>48</c:v>
                  </c:pt>
                  <c:pt idx="51">
                    <c:v>52</c:v>
                  </c:pt>
                  <c:pt idx="52">
                    <c:v>1</c:v>
                  </c:pt>
                  <c:pt idx="59">
                    <c:v>8</c:v>
                  </c:pt>
                  <c:pt idx="67">
                    <c:v>16</c:v>
                  </c:pt>
                  <c:pt idx="75">
                    <c:v>24</c:v>
                  </c:pt>
                  <c:pt idx="83">
                    <c:v>32</c:v>
                  </c:pt>
                  <c:pt idx="91">
                    <c:v>40</c:v>
                  </c:pt>
                  <c:pt idx="99">
                    <c:v>48</c:v>
                  </c:pt>
                  <c:pt idx="103">
                    <c:v>52</c:v>
                  </c:pt>
                  <c:pt idx="104">
                    <c:v>1</c:v>
                  </c:pt>
                  <c:pt idx="111">
                    <c:v>8</c:v>
                  </c:pt>
                  <c:pt idx="119">
                    <c:v>16</c:v>
                  </c:pt>
                  <c:pt idx="129">
                    <c:v>26</c:v>
                  </c:pt>
                  <c:pt idx="139">
                    <c:v>36</c:v>
                  </c:pt>
                  <c:pt idx="147">
                    <c:v>44</c:v>
                  </c:pt>
                  <c:pt idx="156">
                    <c:v>53</c:v>
                  </c:pt>
                  <c:pt idx="164">
                    <c:v>8</c:v>
                  </c:pt>
                  <c:pt idx="172">
                    <c:v>16</c:v>
                  </c:pt>
                  <c:pt idx="180">
                    <c:v>24</c:v>
                  </c:pt>
                  <c:pt idx="188">
                    <c:v>32</c:v>
                  </c:pt>
                  <c:pt idx="196">
                    <c:v>40</c:v>
                  </c:pt>
                  <c:pt idx="200">
                    <c:v>44</c:v>
                  </c:pt>
                </c:lvl>
                <c:lvl>
                  <c:pt idx="0">
                    <c:v>2017</c:v>
                  </c:pt>
                  <c:pt idx="52">
                    <c:v>2018</c:v>
                  </c:pt>
                  <c:pt idx="104">
                    <c:v>2019</c:v>
                  </c:pt>
                  <c:pt idx="157">
                    <c:v>2020</c:v>
                  </c:pt>
                </c:lvl>
              </c:multiLvlStrCache>
            </c:multiLvlStrRef>
          </c:cat>
          <c:val>
            <c:numRef>
              <c:f>'13.Caudales'!$Q$4:$Q$204</c:f>
              <c:numCache>
                <c:formatCode>0.0</c:formatCode>
                <c:ptCount val="201"/>
                <c:pt idx="0">
                  <c:v>13.85</c:v>
                </c:pt>
                <c:pt idx="1">
                  <c:v>14.96</c:v>
                </c:pt>
                <c:pt idx="2">
                  <c:v>28.98</c:v>
                </c:pt>
                <c:pt idx="3">
                  <c:v>30.46</c:v>
                </c:pt>
                <c:pt idx="4">
                  <c:v>21.36</c:v>
                </c:pt>
                <c:pt idx="5">
                  <c:v>25.42</c:v>
                </c:pt>
                <c:pt idx="6">
                  <c:v>35.43</c:v>
                </c:pt>
                <c:pt idx="7">
                  <c:v>30.45</c:v>
                </c:pt>
                <c:pt idx="8">
                  <c:v>37.72</c:v>
                </c:pt>
                <c:pt idx="9">
                  <c:v>36.46</c:v>
                </c:pt>
                <c:pt idx="10">
                  <c:v>35.590000000000003</c:v>
                </c:pt>
                <c:pt idx="11">
                  <c:v>37.82</c:v>
                </c:pt>
                <c:pt idx="12">
                  <c:v>35.93</c:v>
                </c:pt>
                <c:pt idx="13">
                  <c:v>42.9</c:v>
                </c:pt>
                <c:pt idx="14">
                  <c:v>31.19</c:v>
                </c:pt>
                <c:pt idx="15">
                  <c:v>22.8</c:v>
                </c:pt>
                <c:pt idx="16">
                  <c:v>20.18</c:v>
                </c:pt>
                <c:pt idx="17">
                  <c:v>19.84</c:v>
                </c:pt>
                <c:pt idx="18">
                  <c:v>21.4</c:v>
                </c:pt>
                <c:pt idx="19">
                  <c:v>17.23</c:v>
                </c:pt>
                <c:pt idx="20">
                  <c:v>16.09</c:v>
                </c:pt>
                <c:pt idx="21">
                  <c:v>15.1</c:v>
                </c:pt>
                <c:pt idx="22">
                  <c:v>14.28</c:v>
                </c:pt>
                <c:pt idx="23">
                  <c:v>13.3</c:v>
                </c:pt>
                <c:pt idx="24">
                  <c:v>12.63</c:v>
                </c:pt>
                <c:pt idx="25">
                  <c:v>11.92</c:v>
                </c:pt>
                <c:pt idx="26">
                  <c:v>11.92</c:v>
                </c:pt>
                <c:pt idx="27">
                  <c:v>11.04</c:v>
                </c:pt>
                <c:pt idx="28">
                  <c:v>10.27</c:v>
                </c:pt>
                <c:pt idx="29">
                  <c:v>9.4700000000000006</c:v>
                </c:pt>
                <c:pt idx="30">
                  <c:v>9.0500000000000007</c:v>
                </c:pt>
                <c:pt idx="31">
                  <c:v>9.9</c:v>
                </c:pt>
                <c:pt idx="32">
                  <c:v>9.17</c:v>
                </c:pt>
                <c:pt idx="33">
                  <c:v>7.78</c:v>
                </c:pt>
                <c:pt idx="34">
                  <c:v>7.73</c:v>
                </c:pt>
                <c:pt idx="35">
                  <c:v>7.1</c:v>
                </c:pt>
                <c:pt idx="36">
                  <c:v>7.53</c:v>
                </c:pt>
                <c:pt idx="37">
                  <c:v>9.73</c:v>
                </c:pt>
                <c:pt idx="38">
                  <c:v>7.21</c:v>
                </c:pt>
                <c:pt idx="39">
                  <c:v>6.89</c:v>
                </c:pt>
                <c:pt idx="40">
                  <c:v>7.51</c:v>
                </c:pt>
                <c:pt idx="41">
                  <c:v>7.92</c:v>
                </c:pt>
                <c:pt idx="42">
                  <c:v>9.16</c:v>
                </c:pt>
                <c:pt idx="43">
                  <c:v>8.81</c:v>
                </c:pt>
                <c:pt idx="44">
                  <c:v>8.3800000000000008</c:v>
                </c:pt>
                <c:pt idx="45">
                  <c:v>7.55</c:v>
                </c:pt>
                <c:pt idx="46">
                  <c:v>7.39</c:v>
                </c:pt>
                <c:pt idx="47">
                  <c:v>7.9678571564285718</c:v>
                </c:pt>
                <c:pt idx="48">
                  <c:v>8.4875713758571436</c:v>
                </c:pt>
                <c:pt idx="49">
                  <c:v>8.7257142747142868</c:v>
                </c:pt>
                <c:pt idx="50">
                  <c:v>9.7215715127142861</c:v>
                </c:pt>
                <c:pt idx="51">
                  <c:v>10.323285784571427</c:v>
                </c:pt>
                <c:pt idx="52">
                  <c:v>10.34</c:v>
                </c:pt>
                <c:pt idx="53">
                  <c:v>13.730999947142859</c:v>
                </c:pt>
                <c:pt idx="54">
                  <c:v>15.983285902857142</c:v>
                </c:pt>
                <c:pt idx="55">
                  <c:v>21.988571574285714</c:v>
                </c:pt>
                <c:pt idx="56">
                  <c:v>17.729000225714284</c:v>
                </c:pt>
                <c:pt idx="57">
                  <c:v>13.582571572857143</c:v>
                </c:pt>
                <c:pt idx="58">
                  <c:v>14.722571237142859</c:v>
                </c:pt>
                <c:pt idx="59">
                  <c:v>18.48</c:v>
                </c:pt>
                <c:pt idx="60">
                  <c:v>21.652428627142854</c:v>
                </c:pt>
                <c:pt idx="61">
                  <c:v>30.272714344285713</c:v>
                </c:pt>
                <c:pt idx="62">
                  <c:v>28.071857179999999</c:v>
                </c:pt>
                <c:pt idx="63">
                  <c:v>29.90999984714286</c:v>
                </c:pt>
                <c:pt idx="64">
                  <c:v>28.360142844285718</c:v>
                </c:pt>
                <c:pt idx="65">
                  <c:v>23.830285752857144</c:v>
                </c:pt>
                <c:pt idx="66">
                  <c:v>27</c:v>
                </c:pt>
                <c:pt idx="67">
                  <c:v>19.899999999999999</c:v>
                </c:pt>
                <c:pt idx="68">
                  <c:v>19.14</c:v>
                </c:pt>
                <c:pt idx="69">
                  <c:v>19.703571455714286</c:v>
                </c:pt>
                <c:pt idx="70">
                  <c:v>15.48828561</c:v>
                </c:pt>
                <c:pt idx="71">
                  <c:v>14.601142882857145</c:v>
                </c:pt>
                <c:pt idx="72">
                  <c:v>13.411285537142858</c:v>
                </c:pt>
                <c:pt idx="73">
                  <c:v>12.490285737142855</c:v>
                </c:pt>
                <c:pt idx="74">
                  <c:v>12.278000014285713</c:v>
                </c:pt>
                <c:pt idx="75">
                  <c:v>10.882714271142857</c:v>
                </c:pt>
                <c:pt idx="76">
                  <c:v>10.290999957142857</c:v>
                </c:pt>
                <c:pt idx="77">
                  <c:v>9.5591429302857147</c:v>
                </c:pt>
                <c:pt idx="78">
                  <c:v>9.3137141635714293</c:v>
                </c:pt>
                <c:pt idx="79">
                  <c:v>8.7544284548571447</c:v>
                </c:pt>
                <c:pt idx="80">
                  <c:v>8.6149000000000004</c:v>
                </c:pt>
                <c:pt idx="81">
                  <c:v>8.1221428598571439</c:v>
                </c:pt>
                <c:pt idx="82">
                  <c:v>7.5620000000000003</c:v>
                </c:pt>
                <c:pt idx="83">
                  <c:v>8.4994284765714276</c:v>
                </c:pt>
                <c:pt idx="84">
                  <c:v>7.8117142411428571</c:v>
                </c:pt>
                <c:pt idx="85">
                  <c:v>6.44</c:v>
                </c:pt>
                <c:pt idx="86">
                  <c:v>7.5428571428571427</c:v>
                </c:pt>
                <c:pt idx="87">
                  <c:v>7.1671427998571433</c:v>
                </c:pt>
                <c:pt idx="88">
                  <c:v>7.1637143408571422</c:v>
                </c:pt>
                <c:pt idx="89">
                  <c:v>8.31</c:v>
                </c:pt>
                <c:pt idx="90">
                  <c:v>7.621428489714285</c:v>
                </c:pt>
                <c:pt idx="91">
                  <c:v>7.621428489714285</c:v>
                </c:pt>
                <c:pt idx="92">
                  <c:v>7.2698572022574259</c:v>
                </c:pt>
                <c:pt idx="93">
                  <c:v>6.2732856614249064</c:v>
                </c:pt>
                <c:pt idx="94">
                  <c:v>8.3208571161542526</c:v>
                </c:pt>
                <c:pt idx="95">
                  <c:v>9.2941429947142868</c:v>
                </c:pt>
                <c:pt idx="96">
                  <c:v>8.6642857274285721</c:v>
                </c:pt>
                <c:pt idx="97">
                  <c:v>8.5371428571428574</c:v>
                </c:pt>
                <c:pt idx="98">
                  <c:v>9.0094285692857135</c:v>
                </c:pt>
                <c:pt idx="99">
                  <c:v>8.5042856081428582</c:v>
                </c:pt>
                <c:pt idx="100">
                  <c:v>8.27</c:v>
                </c:pt>
                <c:pt idx="101">
                  <c:v>8.1765714374285707</c:v>
                </c:pt>
                <c:pt idx="102">
                  <c:v>10.342857142857142</c:v>
                </c:pt>
                <c:pt idx="103">
                  <c:v>10.661999840142856</c:v>
                </c:pt>
                <c:pt idx="104">
                  <c:v>8.992857251428573</c:v>
                </c:pt>
                <c:pt idx="105">
                  <c:v>7.4904285157142843</c:v>
                </c:pt>
                <c:pt idx="106">
                  <c:v>14.36</c:v>
                </c:pt>
                <c:pt idx="107">
                  <c:v>17.131428719999999</c:v>
                </c:pt>
                <c:pt idx="108">
                  <c:v>30.592286245714288</c:v>
                </c:pt>
                <c:pt idx="109">
                  <c:v>20.372857142857146</c:v>
                </c:pt>
                <c:pt idx="110">
                  <c:v>28.837571554285717</c:v>
                </c:pt>
                <c:pt idx="111">
                  <c:v>20.077857700000003</c:v>
                </c:pt>
                <c:pt idx="112">
                  <c:v>26.317999977142858</c:v>
                </c:pt>
                <c:pt idx="113">
                  <c:v>27.959571565714288</c:v>
                </c:pt>
                <c:pt idx="114">
                  <c:v>27.959571565714288</c:v>
                </c:pt>
                <c:pt idx="115">
                  <c:v>28.476714270455457</c:v>
                </c:pt>
                <c:pt idx="116">
                  <c:v>24.844714028571435</c:v>
                </c:pt>
                <c:pt idx="117">
                  <c:v>29.483285902857141</c:v>
                </c:pt>
                <c:pt idx="118">
                  <c:v>20.040428705714284</c:v>
                </c:pt>
                <c:pt idx="119">
                  <c:v>16.072142737142858</c:v>
                </c:pt>
                <c:pt idx="120">
                  <c:v>15.383999960000001</c:v>
                </c:pt>
                <c:pt idx="121">
                  <c:v>16.026142665714286</c:v>
                </c:pt>
                <c:pt idx="122">
                  <c:v>14.769714355714287</c:v>
                </c:pt>
                <c:pt idx="123">
                  <c:v>13.81242861</c:v>
                </c:pt>
                <c:pt idx="124">
                  <c:v>12.849714414285714</c:v>
                </c:pt>
                <c:pt idx="125">
                  <c:v>12.105428559999998</c:v>
                </c:pt>
                <c:pt idx="126">
                  <c:v>11.272714207142856</c:v>
                </c:pt>
                <c:pt idx="127">
                  <c:v>10.867999894285715</c:v>
                </c:pt>
                <c:pt idx="128">
                  <c:v>10.167285918857143</c:v>
                </c:pt>
                <c:pt idx="129">
                  <c:v>9.3535717554285718</c:v>
                </c:pt>
                <c:pt idx="130">
                  <c:v>8.86</c:v>
                </c:pt>
                <c:pt idx="131">
                  <c:v>8.9135712215714289</c:v>
                </c:pt>
                <c:pt idx="132">
                  <c:v>9.1244284766060932</c:v>
                </c:pt>
                <c:pt idx="133">
                  <c:v>8.5528571428571407</c:v>
                </c:pt>
                <c:pt idx="134">
                  <c:v>8.6655714172857152</c:v>
                </c:pt>
                <c:pt idx="135">
                  <c:v>8.8231430052857132</c:v>
                </c:pt>
                <c:pt idx="136">
                  <c:v>7.5077142715714285</c:v>
                </c:pt>
                <c:pt idx="137">
                  <c:v>7.6147142817142859</c:v>
                </c:pt>
                <c:pt idx="138">
                  <c:v>8.7815715245714294</c:v>
                </c:pt>
                <c:pt idx="139">
                  <c:v>8.2851428302857144</c:v>
                </c:pt>
                <c:pt idx="140">
                  <c:v>7.6475714954285712</c:v>
                </c:pt>
                <c:pt idx="141">
                  <c:v>7.6971428571428575</c:v>
                </c:pt>
                <c:pt idx="142">
                  <c:v>7.6702859061104887</c:v>
                </c:pt>
                <c:pt idx="143">
                  <c:v>6.5494285314285721</c:v>
                </c:pt>
                <c:pt idx="144">
                  <c:v>8.096428529999999</c:v>
                </c:pt>
                <c:pt idx="145">
                  <c:v>7.4685714285714289</c:v>
                </c:pt>
                <c:pt idx="146">
                  <c:v>8.9041427881428579</c:v>
                </c:pt>
                <c:pt idx="147">
                  <c:v>7.8245713370000001</c:v>
                </c:pt>
                <c:pt idx="148">
                  <c:v>9.4607142031428566</c:v>
                </c:pt>
                <c:pt idx="149">
                  <c:v>9.3077141910000005</c:v>
                </c:pt>
                <c:pt idx="150">
                  <c:v>9.4625713492857138</c:v>
                </c:pt>
                <c:pt idx="151">
                  <c:v>10.788142817999999</c:v>
                </c:pt>
                <c:pt idx="152">
                  <c:v>12.195857184142856</c:v>
                </c:pt>
                <c:pt idx="153">
                  <c:v>12.195857184142856</c:v>
                </c:pt>
                <c:pt idx="154">
                  <c:v>18.622142792857144</c:v>
                </c:pt>
                <c:pt idx="155">
                  <c:v>29.98</c:v>
                </c:pt>
                <c:pt idx="156">
                  <c:v>16.182714325714286</c:v>
                </c:pt>
                <c:pt idx="157">
                  <c:v>12.763571330479184</c:v>
                </c:pt>
                <c:pt idx="158">
                  <c:v>13.386285781428571</c:v>
                </c:pt>
                <c:pt idx="159">
                  <c:v>15.196428435714285</c:v>
                </c:pt>
                <c:pt idx="160">
                  <c:v>16.57199968714286</c:v>
                </c:pt>
                <c:pt idx="161">
                  <c:v>25.675428661428576</c:v>
                </c:pt>
                <c:pt idx="162">
                  <c:v>22.638571330479174</c:v>
                </c:pt>
                <c:pt idx="163">
                  <c:v>24.818285805714286</c:v>
                </c:pt>
                <c:pt idx="164">
                  <c:v>16.877285957336387</c:v>
                </c:pt>
                <c:pt idx="165">
                  <c:v>20.463000162857146</c:v>
                </c:pt>
                <c:pt idx="166">
                  <c:v>20.001714159999999</c:v>
                </c:pt>
                <c:pt idx="167">
                  <c:v>20.464285714285715</c:v>
                </c:pt>
                <c:pt idx="168">
                  <c:v>23.032714026314846</c:v>
                </c:pt>
                <c:pt idx="169">
                  <c:v>27.558857236589642</c:v>
                </c:pt>
                <c:pt idx="170">
                  <c:v>18.795857294285714</c:v>
                </c:pt>
                <c:pt idx="171" formatCode="0.00">
                  <c:v>16.380999974285714</c:v>
                </c:pt>
                <c:pt idx="172">
                  <c:v>15.142857142857142</c:v>
                </c:pt>
                <c:pt idx="173">
                  <c:v>14.535142626081141</c:v>
                </c:pt>
                <c:pt idx="174">
                  <c:v>15.919285638571427</c:v>
                </c:pt>
                <c:pt idx="175">
                  <c:v>16.148714472857144</c:v>
                </c:pt>
                <c:pt idx="176">
                  <c:v>13.91285719</c:v>
                </c:pt>
                <c:pt idx="177">
                  <c:v>12.832571710859</c:v>
                </c:pt>
                <c:pt idx="178">
                  <c:v>11.589857237142857</c:v>
                </c:pt>
                <c:pt idx="179">
                  <c:v>10.866000038571428</c:v>
                </c:pt>
                <c:pt idx="180">
                  <c:v>10.893428530011814</c:v>
                </c:pt>
                <c:pt idx="181">
                  <c:v>9.7685713087142858</c:v>
                </c:pt>
                <c:pt idx="182">
                  <c:v>9.3011428291428579</c:v>
                </c:pt>
                <c:pt idx="183">
                  <c:v>9.0898572376796078</c:v>
                </c:pt>
                <c:pt idx="184">
                  <c:v>8.3315715788571421</c:v>
                </c:pt>
                <c:pt idx="185">
                  <c:v>8.7399999755714273</c:v>
                </c:pt>
                <c:pt idx="186">
                  <c:v>8.2612857819999999</c:v>
                </c:pt>
                <c:pt idx="187">
                  <c:v>7.5295715331428577</c:v>
                </c:pt>
                <c:pt idx="188">
                  <c:v>7.1332857268197154</c:v>
                </c:pt>
                <c:pt idx="189">
                  <c:v>7.307000092</c:v>
                </c:pt>
                <c:pt idx="190">
                  <c:v>6.8864285605714288</c:v>
                </c:pt>
                <c:pt idx="191">
                  <c:v>6.9537143707275364</c:v>
                </c:pt>
                <c:pt idx="192">
                  <c:v>6.8990000316074882</c:v>
                </c:pt>
                <c:pt idx="193">
                  <c:v>6.6838571003505107</c:v>
                </c:pt>
                <c:pt idx="194">
                  <c:v>7.5399999618530247</c:v>
                </c:pt>
                <c:pt idx="195">
                  <c:v>6.875</c:v>
                </c:pt>
                <c:pt idx="196">
                  <c:v>6.0911429268571426</c:v>
                </c:pt>
                <c:pt idx="197">
                  <c:v>5.8652857372857152</c:v>
                </c:pt>
                <c:pt idx="198">
                  <c:v>6.6280000550406255</c:v>
                </c:pt>
                <c:pt idx="199">
                  <c:v>7.1351429394285715</c:v>
                </c:pt>
                <c:pt idx="200">
                  <c:v>6.1070000102857147</c:v>
                </c:pt>
              </c:numCache>
            </c:numRef>
          </c:val>
          <c:extLst>
            <c:ext xmlns:c16="http://schemas.microsoft.com/office/drawing/2014/chart" uri="{C3380CC4-5D6E-409C-BE32-E72D297353CC}">
              <c16:uniqueId val="{00000000-54B8-46D7-AFD1-7C97BC15F9A3}"/>
            </c:ext>
          </c:extLst>
        </c:ser>
        <c:ser>
          <c:idx val="3"/>
          <c:order val="1"/>
          <c:tx>
            <c:strRef>
              <c:f>'13.Caudales'!$R$3</c:f>
              <c:strCache>
                <c:ptCount val="1"/>
                <c:pt idx="0">
                  <c:v>SANTA EULALIA</c:v>
                </c:pt>
              </c:strCache>
            </c:strRef>
          </c:tx>
          <c:spPr>
            <a:solidFill>
              <a:srgbClr val="0077A5"/>
            </a:solidFill>
            <a:ln w="25400">
              <a:noFill/>
            </a:ln>
          </c:spPr>
          <c:cat>
            <c:multiLvlStrRef>
              <c:f>'13.Caudales'!$N$4:$O$204</c:f>
              <c:multiLvlStrCache>
                <c:ptCount val="201"/>
                <c:lvl>
                  <c:pt idx="0">
                    <c:v>1</c:v>
                  </c:pt>
                  <c:pt idx="7">
                    <c:v>8</c:v>
                  </c:pt>
                  <c:pt idx="15">
                    <c:v>16</c:v>
                  </c:pt>
                  <c:pt idx="23">
                    <c:v>24</c:v>
                  </c:pt>
                  <c:pt idx="31">
                    <c:v>32</c:v>
                  </c:pt>
                  <c:pt idx="38">
                    <c:v>39</c:v>
                  </c:pt>
                  <c:pt idx="47">
                    <c:v>48</c:v>
                  </c:pt>
                  <c:pt idx="51">
                    <c:v>52</c:v>
                  </c:pt>
                  <c:pt idx="52">
                    <c:v>1</c:v>
                  </c:pt>
                  <c:pt idx="59">
                    <c:v>8</c:v>
                  </c:pt>
                  <c:pt idx="67">
                    <c:v>16</c:v>
                  </c:pt>
                  <c:pt idx="75">
                    <c:v>24</c:v>
                  </c:pt>
                  <c:pt idx="83">
                    <c:v>32</c:v>
                  </c:pt>
                  <c:pt idx="91">
                    <c:v>40</c:v>
                  </c:pt>
                  <c:pt idx="99">
                    <c:v>48</c:v>
                  </c:pt>
                  <c:pt idx="103">
                    <c:v>52</c:v>
                  </c:pt>
                  <c:pt idx="104">
                    <c:v>1</c:v>
                  </c:pt>
                  <c:pt idx="111">
                    <c:v>8</c:v>
                  </c:pt>
                  <c:pt idx="119">
                    <c:v>16</c:v>
                  </c:pt>
                  <c:pt idx="129">
                    <c:v>26</c:v>
                  </c:pt>
                  <c:pt idx="139">
                    <c:v>36</c:v>
                  </c:pt>
                  <c:pt idx="147">
                    <c:v>44</c:v>
                  </c:pt>
                  <c:pt idx="156">
                    <c:v>53</c:v>
                  </c:pt>
                  <c:pt idx="164">
                    <c:v>8</c:v>
                  </c:pt>
                  <c:pt idx="172">
                    <c:v>16</c:v>
                  </c:pt>
                  <c:pt idx="180">
                    <c:v>24</c:v>
                  </c:pt>
                  <c:pt idx="188">
                    <c:v>32</c:v>
                  </c:pt>
                  <c:pt idx="196">
                    <c:v>40</c:v>
                  </c:pt>
                  <c:pt idx="200">
                    <c:v>44</c:v>
                  </c:pt>
                </c:lvl>
                <c:lvl>
                  <c:pt idx="0">
                    <c:v>2017</c:v>
                  </c:pt>
                  <c:pt idx="52">
                    <c:v>2018</c:v>
                  </c:pt>
                  <c:pt idx="104">
                    <c:v>2019</c:v>
                  </c:pt>
                  <c:pt idx="157">
                    <c:v>2020</c:v>
                  </c:pt>
                </c:lvl>
              </c:multiLvlStrCache>
            </c:multiLvlStrRef>
          </c:cat>
          <c:val>
            <c:numRef>
              <c:f>'13.Caudales'!$R$4:$R$204</c:f>
              <c:numCache>
                <c:formatCode>0.0</c:formatCode>
                <c:ptCount val="201"/>
                <c:pt idx="0">
                  <c:v>11.3</c:v>
                </c:pt>
                <c:pt idx="1">
                  <c:v>15.4</c:v>
                </c:pt>
                <c:pt idx="2">
                  <c:v>21.94</c:v>
                </c:pt>
                <c:pt idx="3">
                  <c:v>23.91</c:v>
                </c:pt>
                <c:pt idx="4">
                  <c:v>18.07</c:v>
                </c:pt>
                <c:pt idx="5">
                  <c:v>21.42</c:v>
                </c:pt>
                <c:pt idx="6">
                  <c:v>25.12</c:v>
                </c:pt>
                <c:pt idx="7">
                  <c:v>23.33</c:v>
                </c:pt>
                <c:pt idx="8">
                  <c:v>24.83</c:v>
                </c:pt>
                <c:pt idx="9">
                  <c:v>24.95</c:v>
                </c:pt>
                <c:pt idx="10">
                  <c:v>26.89</c:v>
                </c:pt>
                <c:pt idx="11">
                  <c:v>20.6</c:v>
                </c:pt>
                <c:pt idx="12">
                  <c:v>24.02</c:v>
                </c:pt>
                <c:pt idx="13">
                  <c:v>17.87</c:v>
                </c:pt>
                <c:pt idx="14">
                  <c:v>17.87</c:v>
                </c:pt>
                <c:pt idx="15">
                  <c:v>11.46</c:v>
                </c:pt>
                <c:pt idx="16">
                  <c:v>11.46</c:v>
                </c:pt>
                <c:pt idx="17">
                  <c:v>10.36</c:v>
                </c:pt>
                <c:pt idx="18">
                  <c:v>9.25</c:v>
                </c:pt>
                <c:pt idx="19">
                  <c:v>6.32</c:v>
                </c:pt>
                <c:pt idx="20">
                  <c:v>6.32</c:v>
                </c:pt>
                <c:pt idx="21">
                  <c:v>5.59</c:v>
                </c:pt>
                <c:pt idx="22">
                  <c:v>4.8499999999999996</c:v>
                </c:pt>
                <c:pt idx="23">
                  <c:v>4.8499999999999996</c:v>
                </c:pt>
                <c:pt idx="24">
                  <c:v>3.77</c:v>
                </c:pt>
                <c:pt idx="25">
                  <c:v>3.77</c:v>
                </c:pt>
                <c:pt idx="26">
                  <c:v>3.91</c:v>
                </c:pt>
                <c:pt idx="27">
                  <c:v>3.91</c:v>
                </c:pt>
                <c:pt idx="28">
                  <c:v>3.42</c:v>
                </c:pt>
                <c:pt idx="29">
                  <c:v>3.42</c:v>
                </c:pt>
                <c:pt idx="30">
                  <c:v>3.3</c:v>
                </c:pt>
                <c:pt idx="31">
                  <c:v>2.68</c:v>
                </c:pt>
                <c:pt idx="32">
                  <c:v>2.4300000000000002</c:v>
                </c:pt>
                <c:pt idx="33">
                  <c:v>2.61</c:v>
                </c:pt>
                <c:pt idx="34">
                  <c:v>3.07</c:v>
                </c:pt>
                <c:pt idx="35">
                  <c:v>3.57</c:v>
                </c:pt>
                <c:pt idx="36">
                  <c:v>5.04</c:v>
                </c:pt>
                <c:pt idx="37">
                  <c:v>3.75</c:v>
                </c:pt>
                <c:pt idx="38">
                  <c:v>3.83</c:v>
                </c:pt>
                <c:pt idx="39">
                  <c:v>3.2</c:v>
                </c:pt>
                <c:pt idx="40">
                  <c:v>3.26</c:v>
                </c:pt>
                <c:pt idx="41">
                  <c:v>3.59</c:v>
                </c:pt>
                <c:pt idx="42">
                  <c:v>3.99</c:v>
                </c:pt>
                <c:pt idx="43">
                  <c:v>5.0199999999999996</c:v>
                </c:pt>
                <c:pt idx="44">
                  <c:v>4.2</c:v>
                </c:pt>
                <c:pt idx="45">
                  <c:v>3.7</c:v>
                </c:pt>
                <c:pt idx="46">
                  <c:v>3.85</c:v>
                </c:pt>
                <c:pt idx="47">
                  <c:v>3.558142900428571</c:v>
                </c:pt>
                <c:pt idx="48">
                  <c:v>3.2600000074285718</c:v>
                </c:pt>
                <c:pt idx="49">
                  <c:v>3.4628571441428577</c:v>
                </c:pt>
                <c:pt idx="50">
                  <c:v>4.2539999484285715</c:v>
                </c:pt>
                <c:pt idx="51">
                  <c:v>4.6457142829999993</c:v>
                </c:pt>
                <c:pt idx="52">
                  <c:v>4.4628571428571426</c:v>
                </c:pt>
                <c:pt idx="53">
                  <c:v>3.5944285392857145</c:v>
                </c:pt>
                <c:pt idx="54">
                  <c:v>8.3045714242857152</c:v>
                </c:pt>
                <c:pt idx="55">
                  <c:v>15.598142828000002</c:v>
                </c:pt>
                <c:pt idx="56">
                  <c:v>13.724571365714285</c:v>
                </c:pt>
                <c:pt idx="57">
                  <c:v>8.6634286477142854</c:v>
                </c:pt>
                <c:pt idx="58">
                  <c:v>11.071428435428571</c:v>
                </c:pt>
                <c:pt idx="59">
                  <c:v>14.97</c:v>
                </c:pt>
                <c:pt idx="60">
                  <c:v>14.185285431142857</c:v>
                </c:pt>
                <c:pt idx="61">
                  <c:v>17.434571538571429</c:v>
                </c:pt>
                <c:pt idx="62">
                  <c:v>17.048571724285715</c:v>
                </c:pt>
                <c:pt idx="63">
                  <c:v>21.62</c:v>
                </c:pt>
                <c:pt idx="64">
                  <c:v>17.439428465714283</c:v>
                </c:pt>
                <c:pt idx="65">
                  <c:v>12.833285604571429</c:v>
                </c:pt>
                <c:pt idx="66">
                  <c:v>15.571285655714286</c:v>
                </c:pt>
                <c:pt idx="67">
                  <c:v>12.83</c:v>
                </c:pt>
                <c:pt idx="68">
                  <c:v>13.52</c:v>
                </c:pt>
                <c:pt idx="69">
                  <c:v>14.166857039571427</c:v>
                </c:pt>
                <c:pt idx="70">
                  <c:v>12.650857108142857</c:v>
                </c:pt>
                <c:pt idx="71">
                  <c:v>10.013285772</c:v>
                </c:pt>
                <c:pt idx="72">
                  <c:v>7.8631429672857154</c:v>
                </c:pt>
                <c:pt idx="73">
                  <c:v>6.4215714250000007</c:v>
                </c:pt>
                <c:pt idx="74">
                  <c:v>5.5577142921428564</c:v>
                </c:pt>
                <c:pt idx="75">
                  <c:v>5.3317142215714286</c:v>
                </c:pt>
                <c:pt idx="76">
                  <c:v>3.7498572211428569</c:v>
                </c:pt>
                <c:pt idx="77">
                  <c:v>3.5651427677142853</c:v>
                </c:pt>
                <c:pt idx="78">
                  <c:v>4.7600000245714282</c:v>
                </c:pt>
                <c:pt idx="79">
                  <c:v>2.5707143034285713</c:v>
                </c:pt>
                <c:pt idx="80">
                  <c:v>3.7006000000000001</c:v>
                </c:pt>
                <c:pt idx="81">
                  <c:v>4.9111429789999992</c:v>
                </c:pt>
                <c:pt idx="82">
                  <c:v>3.28</c:v>
                </c:pt>
                <c:pt idx="83">
                  <c:v>4.8781427315714287</c:v>
                </c:pt>
                <c:pt idx="84">
                  <c:v>4.5999999999999996</c:v>
                </c:pt>
                <c:pt idx="85">
                  <c:v>5.1568571165714285</c:v>
                </c:pt>
                <c:pt idx="86">
                  <c:v>2.15</c:v>
                </c:pt>
                <c:pt idx="87">
                  <c:v>4.8342857142857136</c:v>
                </c:pt>
                <c:pt idx="88">
                  <c:v>3.1535714688571423</c:v>
                </c:pt>
                <c:pt idx="89">
                  <c:v>3.3441428289999995</c:v>
                </c:pt>
                <c:pt idx="90">
                  <c:v>4.6500000000000004</c:v>
                </c:pt>
                <c:pt idx="91">
                  <c:v>5.128571373571428</c:v>
                </c:pt>
                <c:pt idx="92">
                  <c:v>4.8594285079410948</c:v>
                </c:pt>
                <c:pt idx="93">
                  <c:v>4.00314286776951</c:v>
                </c:pt>
                <c:pt idx="94">
                  <c:v>6.0481427737644662</c:v>
                </c:pt>
                <c:pt idx="95">
                  <c:v>7.6531428608571428</c:v>
                </c:pt>
                <c:pt idx="96">
                  <c:v>4.2061428341428568</c:v>
                </c:pt>
                <c:pt idx="97">
                  <c:v>5.9</c:v>
                </c:pt>
                <c:pt idx="98">
                  <c:v>7.1015714912857133</c:v>
                </c:pt>
                <c:pt idx="99">
                  <c:v>4.3617142950000005</c:v>
                </c:pt>
                <c:pt idx="100">
                  <c:v>6.9099999999999993</c:v>
                </c:pt>
                <c:pt idx="101">
                  <c:v>6.5639999597142857</c:v>
                </c:pt>
                <c:pt idx="102">
                  <c:v>7.3285714285714283</c:v>
                </c:pt>
                <c:pt idx="103">
                  <c:v>7.4820000789999996</c:v>
                </c:pt>
                <c:pt idx="104">
                  <c:v>4.4642857141428571</c:v>
                </c:pt>
                <c:pt idx="105">
                  <c:v>3.3685714177142856</c:v>
                </c:pt>
                <c:pt idx="106">
                  <c:v>10.74</c:v>
                </c:pt>
                <c:pt idx="107">
                  <c:v>11.155714580142858</c:v>
                </c:pt>
                <c:pt idx="108">
                  <c:v>16.463000024285716</c:v>
                </c:pt>
                <c:pt idx="109">
                  <c:v>17.05857142857143</c:v>
                </c:pt>
                <c:pt idx="110">
                  <c:v>18.065285818571429</c:v>
                </c:pt>
                <c:pt idx="111">
                  <c:v>14.531571660571432</c:v>
                </c:pt>
                <c:pt idx="112">
                  <c:v>19.520428521428574</c:v>
                </c:pt>
                <c:pt idx="113">
                  <c:v>20.831714628571426</c:v>
                </c:pt>
                <c:pt idx="114">
                  <c:v>22.247142927987216</c:v>
                </c:pt>
                <c:pt idx="115">
                  <c:v>21.707857131428572</c:v>
                </c:pt>
                <c:pt idx="116">
                  <c:v>20.569142751428576</c:v>
                </c:pt>
                <c:pt idx="117">
                  <c:v>18.767857142857142</c:v>
                </c:pt>
                <c:pt idx="118">
                  <c:v>14.275999887714287</c:v>
                </c:pt>
                <c:pt idx="119">
                  <c:v>10.180143014285713</c:v>
                </c:pt>
                <c:pt idx="120">
                  <c:v>12.121571608857142</c:v>
                </c:pt>
                <c:pt idx="121">
                  <c:v>11.996285711571428</c:v>
                </c:pt>
                <c:pt idx="122">
                  <c:v>10.123285769857144</c:v>
                </c:pt>
                <c:pt idx="123">
                  <c:v>9.3731427190000005</c:v>
                </c:pt>
                <c:pt idx="124">
                  <c:v>7.085428442285715</c:v>
                </c:pt>
                <c:pt idx="125">
                  <c:v>7.3308571058571435</c:v>
                </c:pt>
                <c:pt idx="126">
                  <c:v>7.7242857718571427</c:v>
                </c:pt>
                <c:pt idx="127">
                  <c:v>8.8337143495714301</c:v>
                </c:pt>
                <c:pt idx="128">
                  <c:v>7.6592858184285708</c:v>
                </c:pt>
                <c:pt idx="129">
                  <c:v>6.2751428064285708</c:v>
                </c:pt>
                <c:pt idx="130">
                  <c:v>7.15</c:v>
                </c:pt>
                <c:pt idx="131">
                  <c:v>5.7058570728571425</c:v>
                </c:pt>
                <c:pt idx="132">
                  <c:v>6.4564285959516052</c:v>
                </c:pt>
                <c:pt idx="133">
                  <c:v>4.6828571428571433</c:v>
                </c:pt>
                <c:pt idx="134">
                  <c:v>6.0697142064285714</c:v>
                </c:pt>
                <c:pt idx="135">
                  <c:v>7.5088570807142858</c:v>
                </c:pt>
                <c:pt idx="136">
                  <c:v>3.2121428764285715</c:v>
                </c:pt>
                <c:pt idx="137">
                  <c:v>3.3949999810000002</c:v>
                </c:pt>
                <c:pt idx="138">
                  <c:v>7.1025714534285722</c:v>
                </c:pt>
                <c:pt idx="139">
                  <c:v>6.7619999824285708</c:v>
                </c:pt>
                <c:pt idx="140">
                  <c:v>6.5272856442857137</c:v>
                </c:pt>
                <c:pt idx="141">
                  <c:v>5.444285714285714</c:v>
                </c:pt>
                <c:pt idx="142">
                  <c:v>5.896142857415323</c:v>
                </c:pt>
                <c:pt idx="143">
                  <c:v>3.8238571030000004</c:v>
                </c:pt>
                <c:pt idx="144">
                  <c:v>4.0404286040000006</c:v>
                </c:pt>
                <c:pt idx="145">
                  <c:v>4.8257142857142856</c:v>
                </c:pt>
                <c:pt idx="146">
                  <c:v>7.354714223857143</c:v>
                </c:pt>
                <c:pt idx="147">
                  <c:v>6.0929999348571409</c:v>
                </c:pt>
                <c:pt idx="148">
                  <c:v>6.8107141777142859</c:v>
                </c:pt>
                <c:pt idx="149">
                  <c:v>7.0327142307142854</c:v>
                </c:pt>
                <c:pt idx="150">
                  <c:v>5.5844285494285719</c:v>
                </c:pt>
                <c:pt idx="151">
                  <c:v>7.5644286014285722</c:v>
                </c:pt>
                <c:pt idx="152">
                  <c:v>8.7971429828571424</c:v>
                </c:pt>
                <c:pt idx="153">
                  <c:v>8.7971429828571424</c:v>
                </c:pt>
                <c:pt idx="154">
                  <c:v>18.057571141428571</c:v>
                </c:pt>
                <c:pt idx="155">
                  <c:v>19.592142921428572</c:v>
                </c:pt>
                <c:pt idx="156">
                  <c:v>8.7855713015714283</c:v>
                </c:pt>
                <c:pt idx="157">
                  <c:v>7.4842857292720009</c:v>
                </c:pt>
                <c:pt idx="158">
                  <c:v>6.9174285272857139</c:v>
                </c:pt>
                <c:pt idx="159">
                  <c:v>11.330428599714283</c:v>
                </c:pt>
                <c:pt idx="160">
                  <c:v>12.821999958571428</c:v>
                </c:pt>
                <c:pt idx="161">
                  <c:v>18.254856927142857</c:v>
                </c:pt>
                <c:pt idx="162">
                  <c:v>17.332571574619813</c:v>
                </c:pt>
                <c:pt idx="163">
                  <c:v>19.436000279999998</c:v>
                </c:pt>
                <c:pt idx="164">
                  <c:v>13.084142684936484</c:v>
                </c:pt>
                <c:pt idx="165">
                  <c:v>16.131428717142857</c:v>
                </c:pt>
                <c:pt idx="166">
                  <c:v>16.133428572857145</c:v>
                </c:pt>
                <c:pt idx="167">
                  <c:v>16.275285719999999</c:v>
                </c:pt>
                <c:pt idx="168">
                  <c:v>20.180714198521169</c:v>
                </c:pt>
                <c:pt idx="169">
                  <c:v>21.319143022809669</c:v>
                </c:pt>
                <c:pt idx="170">
                  <c:v>18.168000220000003</c:v>
                </c:pt>
                <c:pt idx="171" formatCode="0.00">
                  <c:v>14.786285537142858</c:v>
                </c:pt>
                <c:pt idx="172">
                  <c:v>11.113285608857142</c:v>
                </c:pt>
                <c:pt idx="173">
                  <c:v>7.95871441704886</c:v>
                </c:pt>
                <c:pt idx="174">
                  <c:v>12.133857388142859</c:v>
                </c:pt>
                <c:pt idx="175">
                  <c:v>14.776714189999998</c:v>
                </c:pt>
                <c:pt idx="176">
                  <c:v>10.484285559</c:v>
                </c:pt>
                <c:pt idx="177">
                  <c:v>8.7072857448032899</c:v>
                </c:pt>
                <c:pt idx="178">
                  <c:v>7.6087141037142851</c:v>
                </c:pt>
                <c:pt idx="179">
                  <c:v>6.6898570742857144</c:v>
                </c:pt>
                <c:pt idx="180">
                  <c:v>6.3937142235892095</c:v>
                </c:pt>
                <c:pt idx="181">
                  <c:v>5.4858571460000007</c:v>
                </c:pt>
                <c:pt idx="182">
                  <c:v>5.6422856875714285</c:v>
                </c:pt>
                <c:pt idx="183">
                  <c:v>4.8411428587777223</c:v>
                </c:pt>
                <c:pt idx="184">
                  <c:v>4.0902857780000001</c:v>
                </c:pt>
                <c:pt idx="185">
                  <c:v>3.3690000857142857</c:v>
                </c:pt>
                <c:pt idx="186">
                  <c:v>3.9334286622857135</c:v>
                </c:pt>
                <c:pt idx="187">
                  <c:v>3.8718570981428577</c:v>
                </c:pt>
                <c:pt idx="188">
                  <c:v>3.9694285733359158</c:v>
                </c:pt>
                <c:pt idx="189">
                  <c:v>4.0542857307142848</c:v>
                </c:pt>
                <c:pt idx="190">
                  <c:v>3.8852857181428568</c:v>
                </c:pt>
                <c:pt idx="191">
                  <c:v>3.3560000147138283</c:v>
                </c:pt>
                <c:pt idx="192">
                  <c:v>3.1212857110159686</c:v>
                </c:pt>
                <c:pt idx="193">
                  <c:v>3.6978571414947474</c:v>
                </c:pt>
                <c:pt idx="194">
                  <c:v>4.336428608285714</c:v>
                </c:pt>
                <c:pt idx="195">
                  <c:v>3.7</c:v>
                </c:pt>
                <c:pt idx="196">
                  <c:v>3.501428569857143</c:v>
                </c:pt>
                <c:pt idx="197">
                  <c:v>4.2169999735714283</c:v>
                </c:pt>
                <c:pt idx="198">
                  <c:v>4.7599999564034556</c:v>
                </c:pt>
                <c:pt idx="199">
                  <c:v>5.693714175857143</c:v>
                </c:pt>
                <c:pt idx="200">
                  <c:v>4.3958570957142857</c:v>
                </c:pt>
              </c:numCache>
            </c:numRef>
          </c:val>
          <c:extLst>
            <c:ext xmlns:c16="http://schemas.microsoft.com/office/drawing/2014/chart" uri="{C3380CC4-5D6E-409C-BE32-E72D297353CC}">
              <c16:uniqueId val="{00000001-54B8-46D7-AFD1-7C97BC15F9A3}"/>
            </c:ext>
          </c:extLst>
        </c:ser>
        <c:dLbls>
          <c:showLegendKey val="0"/>
          <c:showVal val="0"/>
          <c:showCatName val="0"/>
          <c:showSerName val="0"/>
          <c:showPercent val="0"/>
          <c:showBubbleSize val="0"/>
        </c:dLbls>
        <c:axId val="351274880"/>
        <c:axId val="351281152"/>
      </c:areaChart>
      <c:catAx>
        <c:axId val="351274880"/>
        <c:scaling>
          <c:orientation val="minMax"/>
        </c:scaling>
        <c:delete val="0"/>
        <c:axPos val="b"/>
        <c:title>
          <c:tx>
            <c:rich>
              <a:bodyPr/>
              <a:lstStyle/>
              <a:p>
                <a:pPr>
                  <a:defRPr/>
                </a:pPr>
                <a:r>
                  <a:rPr lang="en-US"/>
                  <a:t>Semanas</a:t>
                </a:r>
              </a:p>
            </c:rich>
          </c:tx>
          <c:layout>
            <c:manualLayout>
              <c:xMode val="edge"/>
              <c:yMode val="edge"/>
              <c:x val="0.91073685998257348"/>
              <c:y val="0.93754924873264456"/>
            </c:manualLayout>
          </c:layout>
          <c:overlay val="0"/>
        </c:title>
        <c:numFmt formatCode="General" sourceLinked="1"/>
        <c:majorTickMark val="out"/>
        <c:minorTickMark val="none"/>
        <c:tickLblPos val="nextTo"/>
        <c:spPr>
          <a:ln/>
        </c:spPr>
        <c:txPr>
          <a:bodyPr/>
          <a:lstStyle/>
          <a:p>
            <a:pPr>
              <a:defRPr sz="800" b="0" kern="2000" spc="-100" baseline="0"/>
            </a:pPr>
            <a:endParaRPr lang="es-PE"/>
          </a:p>
        </c:txPr>
        <c:crossAx val="351281152"/>
        <c:crosses val="autoZero"/>
        <c:auto val="1"/>
        <c:lblAlgn val="ctr"/>
        <c:lblOffset val="100"/>
        <c:noMultiLvlLbl val="0"/>
      </c:catAx>
      <c:valAx>
        <c:axId val="351281152"/>
        <c:scaling>
          <c:orientation val="minMax"/>
        </c:scaling>
        <c:delete val="0"/>
        <c:axPos val="l"/>
        <c:majorGridlines/>
        <c:title>
          <c:tx>
            <c:rich>
              <a:bodyPr rot="0" vert="horz"/>
              <a:lstStyle/>
              <a:p>
                <a:pPr>
                  <a:defRPr/>
                </a:pPr>
                <a:r>
                  <a:rPr lang="en-US"/>
                  <a:t>m3/s</a:t>
                </a:r>
              </a:p>
            </c:rich>
          </c:tx>
          <c:layout>
            <c:manualLayout>
              <c:xMode val="edge"/>
              <c:yMode val="edge"/>
              <c:x val="5.7133994293922892E-3"/>
              <c:y val="3.3573341769482234E-2"/>
            </c:manualLayout>
          </c:layout>
          <c:overlay val="0"/>
        </c:title>
        <c:numFmt formatCode="0" sourceLinked="0"/>
        <c:majorTickMark val="out"/>
        <c:minorTickMark val="none"/>
        <c:tickLblPos val="nextTo"/>
        <c:crossAx val="351274880"/>
        <c:crosses val="autoZero"/>
        <c:crossBetween val="midCat"/>
      </c:valAx>
    </c:plotArea>
    <c:legend>
      <c:legendPos val="t"/>
      <c:layout>
        <c:manualLayout>
          <c:xMode val="edge"/>
          <c:yMode val="edge"/>
          <c:x val="0.34111515197232239"/>
          <c:y val="0.1710458958743877"/>
          <c:w val="0.27556210517433377"/>
          <c:h val="9.4459089445193267E-2"/>
        </c:manualLayout>
      </c:layout>
      <c:overlay val="0"/>
    </c:legend>
    <c:plotVisOnly val="1"/>
    <c:dispBlanksAs val="gap"/>
    <c:showDLblsOverMax val="0"/>
  </c:chart>
  <c:spPr>
    <a:noFill/>
    <a:ln>
      <a:noFill/>
    </a:ln>
  </c:spPr>
  <c:printSettings>
    <c:headerFooter>
      <c:oddHeader>&amp;R&amp;7Informe de la Operación Mensual - Enero 2018
INFSGI-MES-01-2018
15/02/2018
Versión: 01</c:oddHeader>
    </c:headerFooter>
    <c:pageMargins b="0.75" l="0.7" r="0.7" t="0.75" header="0.3" footer="0.3"/>
    <c:pageSetup paperSize="9"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a:t>
            </a:r>
            <a:r>
              <a:rPr lang="en-US" sz="800" baseline="0"/>
              <a:t> </a:t>
            </a:r>
            <a:r>
              <a:rPr lang="en-US" sz="800"/>
              <a:t>DE LOS RÍOS MANTARO, TULUMAYO Y TARMA</a:t>
            </a:r>
          </a:p>
        </c:rich>
      </c:tx>
      <c:overlay val="1"/>
    </c:title>
    <c:autoTitleDeleted val="0"/>
    <c:plotArea>
      <c:layout>
        <c:manualLayout>
          <c:layoutTarget val="inner"/>
          <c:xMode val="edge"/>
          <c:yMode val="edge"/>
          <c:x val="6.0670796785473401E-2"/>
          <c:y val="0.17694994803333938"/>
          <c:w val="0.92446702092359789"/>
          <c:h val="0.56577318852080671"/>
        </c:manualLayout>
      </c:layout>
      <c:areaChart>
        <c:grouping val="standard"/>
        <c:varyColors val="0"/>
        <c:ser>
          <c:idx val="2"/>
          <c:order val="0"/>
          <c:tx>
            <c:strRef>
              <c:f>'13.Caudales'!$S$3</c:f>
              <c:strCache>
                <c:ptCount val="1"/>
                <c:pt idx="0">
                  <c:v>MANTARO</c:v>
                </c:pt>
              </c:strCache>
            </c:strRef>
          </c:tx>
          <c:spPr>
            <a:solidFill>
              <a:srgbClr val="0077A5"/>
            </a:solidFill>
          </c:spPr>
          <c:cat>
            <c:multiLvlStrRef>
              <c:f>'13.Caudales'!$N$4:$O$1764</c:f>
              <c:multiLvlStrCache>
                <c:ptCount val="201"/>
                <c:lvl>
                  <c:pt idx="0">
                    <c:v>1</c:v>
                  </c:pt>
                  <c:pt idx="7">
                    <c:v>8</c:v>
                  </c:pt>
                  <c:pt idx="15">
                    <c:v>16</c:v>
                  </c:pt>
                  <c:pt idx="23">
                    <c:v>24</c:v>
                  </c:pt>
                  <c:pt idx="31">
                    <c:v>32</c:v>
                  </c:pt>
                  <c:pt idx="38">
                    <c:v>39</c:v>
                  </c:pt>
                  <c:pt idx="47">
                    <c:v>48</c:v>
                  </c:pt>
                  <c:pt idx="51">
                    <c:v>52</c:v>
                  </c:pt>
                  <c:pt idx="52">
                    <c:v>1</c:v>
                  </c:pt>
                  <c:pt idx="59">
                    <c:v>8</c:v>
                  </c:pt>
                  <c:pt idx="67">
                    <c:v>16</c:v>
                  </c:pt>
                  <c:pt idx="75">
                    <c:v>24</c:v>
                  </c:pt>
                  <c:pt idx="83">
                    <c:v>32</c:v>
                  </c:pt>
                  <c:pt idx="91">
                    <c:v>40</c:v>
                  </c:pt>
                  <c:pt idx="99">
                    <c:v>48</c:v>
                  </c:pt>
                  <c:pt idx="103">
                    <c:v>52</c:v>
                  </c:pt>
                  <c:pt idx="104">
                    <c:v>1</c:v>
                  </c:pt>
                  <c:pt idx="111">
                    <c:v>8</c:v>
                  </c:pt>
                  <c:pt idx="119">
                    <c:v>16</c:v>
                  </c:pt>
                  <c:pt idx="129">
                    <c:v>26</c:v>
                  </c:pt>
                  <c:pt idx="139">
                    <c:v>36</c:v>
                  </c:pt>
                  <c:pt idx="147">
                    <c:v>44</c:v>
                  </c:pt>
                  <c:pt idx="156">
                    <c:v>53</c:v>
                  </c:pt>
                  <c:pt idx="164">
                    <c:v>8</c:v>
                  </c:pt>
                  <c:pt idx="172">
                    <c:v>16</c:v>
                  </c:pt>
                  <c:pt idx="180">
                    <c:v>24</c:v>
                  </c:pt>
                  <c:pt idx="188">
                    <c:v>32</c:v>
                  </c:pt>
                  <c:pt idx="196">
                    <c:v>40</c:v>
                  </c:pt>
                  <c:pt idx="200">
                    <c:v>44</c:v>
                  </c:pt>
                </c:lvl>
                <c:lvl>
                  <c:pt idx="0">
                    <c:v>2017</c:v>
                  </c:pt>
                  <c:pt idx="52">
                    <c:v>2018</c:v>
                  </c:pt>
                  <c:pt idx="104">
                    <c:v>2019</c:v>
                  </c:pt>
                  <c:pt idx="157">
                    <c:v>2020</c:v>
                  </c:pt>
                </c:lvl>
              </c:multiLvlStrCache>
            </c:multiLvlStrRef>
          </c:cat>
          <c:val>
            <c:numRef>
              <c:f>'13.Caudales'!$S$4:$S$204</c:f>
              <c:numCache>
                <c:formatCode>0.0</c:formatCode>
                <c:ptCount val="201"/>
                <c:pt idx="0">
                  <c:v>104.02</c:v>
                </c:pt>
                <c:pt idx="1">
                  <c:v>143.97</c:v>
                </c:pt>
                <c:pt idx="2">
                  <c:v>355.12</c:v>
                </c:pt>
                <c:pt idx="3">
                  <c:v>519.4</c:v>
                </c:pt>
                <c:pt idx="4">
                  <c:v>330.78</c:v>
                </c:pt>
                <c:pt idx="5">
                  <c:v>200.58</c:v>
                </c:pt>
                <c:pt idx="6">
                  <c:v>393.69</c:v>
                </c:pt>
                <c:pt idx="7">
                  <c:v>345.37</c:v>
                </c:pt>
                <c:pt idx="8">
                  <c:v>567.22</c:v>
                </c:pt>
                <c:pt idx="9">
                  <c:v>467.04</c:v>
                </c:pt>
                <c:pt idx="10">
                  <c:v>448.3</c:v>
                </c:pt>
                <c:pt idx="11">
                  <c:v>350.87</c:v>
                </c:pt>
                <c:pt idx="12">
                  <c:v>380.48</c:v>
                </c:pt>
                <c:pt idx="13">
                  <c:v>427.28</c:v>
                </c:pt>
                <c:pt idx="14">
                  <c:v>334.14</c:v>
                </c:pt>
                <c:pt idx="15">
                  <c:v>218.96</c:v>
                </c:pt>
                <c:pt idx="16">
                  <c:v>180.47</c:v>
                </c:pt>
                <c:pt idx="17">
                  <c:v>212.89</c:v>
                </c:pt>
                <c:pt idx="18">
                  <c:v>199.54</c:v>
                </c:pt>
                <c:pt idx="19">
                  <c:v>136.84</c:v>
                </c:pt>
                <c:pt idx="20">
                  <c:v>116.86</c:v>
                </c:pt>
                <c:pt idx="21">
                  <c:v>118.58</c:v>
                </c:pt>
                <c:pt idx="22">
                  <c:v>112.05</c:v>
                </c:pt>
                <c:pt idx="23">
                  <c:v>91.62</c:v>
                </c:pt>
                <c:pt idx="24">
                  <c:v>81.33</c:v>
                </c:pt>
                <c:pt idx="25">
                  <c:v>80.900000000000006</c:v>
                </c:pt>
                <c:pt idx="26">
                  <c:v>82.99</c:v>
                </c:pt>
                <c:pt idx="27">
                  <c:v>71.739999999999995</c:v>
                </c:pt>
                <c:pt idx="28">
                  <c:v>67.8</c:v>
                </c:pt>
                <c:pt idx="29">
                  <c:v>69.62</c:v>
                </c:pt>
                <c:pt idx="30">
                  <c:v>61.71</c:v>
                </c:pt>
                <c:pt idx="31">
                  <c:v>65.38</c:v>
                </c:pt>
                <c:pt idx="32">
                  <c:v>59.63</c:v>
                </c:pt>
                <c:pt idx="33">
                  <c:v>60.62</c:v>
                </c:pt>
                <c:pt idx="34">
                  <c:v>58.47</c:v>
                </c:pt>
                <c:pt idx="35">
                  <c:v>61.13</c:v>
                </c:pt>
                <c:pt idx="36">
                  <c:v>59.93</c:v>
                </c:pt>
                <c:pt idx="37">
                  <c:v>64.319999999999993</c:v>
                </c:pt>
                <c:pt idx="38">
                  <c:v>66.83</c:v>
                </c:pt>
                <c:pt idx="39">
                  <c:v>56.32</c:v>
                </c:pt>
                <c:pt idx="40">
                  <c:v>57.18</c:v>
                </c:pt>
                <c:pt idx="41">
                  <c:v>71.87</c:v>
                </c:pt>
                <c:pt idx="42">
                  <c:v>73.22</c:v>
                </c:pt>
                <c:pt idx="43">
                  <c:v>75.150000000000006</c:v>
                </c:pt>
                <c:pt idx="44">
                  <c:v>67.39</c:v>
                </c:pt>
                <c:pt idx="45">
                  <c:v>66.959999999999994</c:v>
                </c:pt>
                <c:pt idx="46">
                  <c:v>67.72</c:v>
                </c:pt>
                <c:pt idx="47">
                  <c:v>77.366571698571434</c:v>
                </c:pt>
                <c:pt idx="48">
                  <c:v>84.55585806714285</c:v>
                </c:pt>
                <c:pt idx="49">
                  <c:v>77.460142951428566</c:v>
                </c:pt>
                <c:pt idx="50">
                  <c:v>78.166143688571424</c:v>
                </c:pt>
                <c:pt idx="51">
                  <c:v>86.972714017142849</c:v>
                </c:pt>
                <c:pt idx="52">
                  <c:v>140.04142857142858</c:v>
                </c:pt>
                <c:pt idx="53">
                  <c:v>209.91800362857143</c:v>
                </c:pt>
                <c:pt idx="54">
                  <c:v>223.6645725857143</c:v>
                </c:pt>
                <c:pt idx="55">
                  <c:v>346.88342720000003</c:v>
                </c:pt>
                <c:pt idx="56">
                  <c:v>214.95928737142859</c:v>
                </c:pt>
                <c:pt idx="57">
                  <c:v>166.34242902857142</c:v>
                </c:pt>
                <c:pt idx="58">
                  <c:v>239.50057330000001</c:v>
                </c:pt>
                <c:pt idx="59">
                  <c:v>357.61814662857148</c:v>
                </c:pt>
                <c:pt idx="60">
                  <c:v>333.90885488571433</c:v>
                </c:pt>
                <c:pt idx="61">
                  <c:v>431.64157101428572</c:v>
                </c:pt>
                <c:pt idx="62">
                  <c:v>485.98543439999997</c:v>
                </c:pt>
                <c:pt idx="63">
                  <c:v>465.24414497142863</c:v>
                </c:pt>
                <c:pt idx="64">
                  <c:v>396.37686155714289</c:v>
                </c:pt>
                <c:pt idx="65">
                  <c:v>226.32643345714288</c:v>
                </c:pt>
                <c:pt idx="66">
                  <c:v>207.40800040000002</c:v>
                </c:pt>
                <c:pt idx="67">
                  <c:v>166.38871437142856</c:v>
                </c:pt>
                <c:pt idx="68">
                  <c:v>168.19342804285716</c:v>
                </c:pt>
                <c:pt idx="69">
                  <c:v>171.5428597714286</c:v>
                </c:pt>
                <c:pt idx="70">
                  <c:v>146.54485865714287</c:v>
                </c:pt>
                <c:pt idx="71">
                  <c:v>112.76242937142857</c:v>
                </c:pt>
                <c:pt idx="72">
                  <c:v>94.636570517142857</c:v>
                </c:pt>
                <c:pt idx="73">
                  <c:v>81.718714031428576</c:v>
                </c:pt>
                <c:pt idx="74">
                  <c:v>83.760285512857152</c:v>
                </c:pt>
                <c:pt idx="75">
                  <c:v>82.799001421428557</c:v>
                </c:pt>
                <c:pt idx="76">
                  <c:v>74.093855721428568</c:v>
                </c:pt>
                <c:pt idx="77">
                  <c:v>66.795142037142867</c:v>
                </c:pt>
                <c:pt idx="78">
                  <c:v>67.368571689999996</c:v>
                </c:pt>
                <c:pt idx="79">
                  <c:v>65.073571887142847</c:v>
                </c:pt>
                <c:pt idx="80">
                  <c:v>62.515714285714289</c:v>
                </c:pt>
                <c:pt idx="81">
                  <c:v>57.148857115714286</c:v>
                </c:pt>
                <c:pt idx="82">
                  <c:v>58.768000000000001</c:v>
                </c:pt>
                <c:pt idx="83">
                  <c:v>54.703428540000004</c:v>
                </c:pt>
                <c:pt idx="84">
                  <c:v>59.066285269999995</c:v>
                </c:pt>
                <c:pt idx="85">
                  <c:v>82.033571515714272</c:v>
                </c:pt>
                <c:pt idx="86">
                  <c:v>71.48</c:v>
                </c:pt>
                <c:pt idx="87">
                  <c:v>63.092857142857149</c:v>
                </c:pt>
                <c:pt idx="88">
                  <c:v>61.141713821428574</c:v>
                </c:pt>
                <c:pt idx="89">
                  <c:v>49.664428712857145</c:v>
                </c:pt>
                <c:pt idx="90">
                  <c:v>42.24</c:v>
                </c:pt>
                <c:pt idx="91">
                  <c:v>38.906285422857138</c:v>
                </c:pt>
                <c:pt idx="92">
                  <c:v>42.923713956560341</c:v>
                </c:pt>
                <c:pt idx="93">
                  <c:v>73.976001194545148</c:v>
                </c:pt>
                <c:pt idx="94">
                  <c:v>97.234427315848038</c:v>
                </c:pt>
                <c:pt idx="95">
                  <c:v>120.62971387142855</c:v>
                </c:pt>
                <c:pt idx="96">
                  <c:v>125.43157086857143</c:v>
                </c:pt>
                <c:pt idx="97">
                  <c:v>78.757142857142853</c:v>
                </c:pt>
                <c:pt idx="98">
                  <c:v>88.111712864285735</c:v>
                </c:pt>
                <c:pt idx="99">
                  <c:v>80.151286534285717</c:v>
                </c:pt>
                <c:pt idx="100">
                  <c:v>66.555714285714288</c:v>
                </c:pt>
                <c:pt idx="101">
                  <c:v>61.602715082857152</c:v>
                </c:pt>
                <c:pt idx="102">
                  <c:v>53.9</c:v>
                </c:pt>
                <c:pt idx="103">
                  <c:v>57.504999978571433</c:v>
                </c:pt>
                <c:pt idx="104">
                  <c:v>57.514999934285704</c:v>
                </c:pt>
                <c:pt idx="105">
                  <c:v>63.363856724285711</c:v>
                </c:pt>
                <c:pt idx="106">
                  <c:v>80.75</c:v>
                </c:pt>
                <c:pt idx="107">
                  <c:v>85.689570837142853</c:v>
                </c:pt>
                <c:pt idx="108">
                  <c:v>416.48700821428571</c:v>
                </c:pt>
                <c:pt idx="109">
                  <c:v>426.67142857142863</c:v>
                </c:pt>
                <c:pt idx="110">
                  <c:v>581.62514822857145</c:v>
                </c:pt>
                <c:pt idx="111">
                  <c:v>439.74099729999995</c:v>
                </c:pt>
                <c:pt idx="112">
                  <c:v>316.26999772857147</c:v>
                </c:pt>
                <c:pt idx="113">
                  <c:v>326.63642664285715</c:v>
                </c:pt>
                <c:pt idx="114">
                  <c:v>416.08099801199745</c:v>
                </c:pt>
                <c:pt idx="115">
                  <c:v>394.13957431428571</c:v>
                </c:pt>
                <c:pt idx="116">
                  <c:v>522.42285592857138</c:v>
                </c:pt>
                <c:pt idx="117">
                  <c:v>316.33943394285717</c:v>
                </c:pt>
                <c:pt idx="118">
                  <c:v>168.45457024285716</c:v>
                </c:pt>
                <c:pt idx="119">
                  <c:v>131.80142647142856</c:v>
                </c:pt>
                <c:pt idx="120">
                  <c:v>143.84128789999997</c:v>
                </c:pt>
                <c:pt idx="121">
                  <c:v>111.12314277285714</c:v>
                </c:pt>
                <c:pt idx="122">
                  <c:v>89.41828482428572</c:v>
                </c:pt>
                <c:pt idx="123">
                  <c:v>79.212427410000004</c:v>
                </c:pt>
                <c:pt idx="124">
                  <c:v>62.717000688571432</c:v>
                </c:pt>
                <c:pt idx="125">
                  <c:v>41.633143151428598</c:v>
                </c:pt>
                <c:pt idx="126">
                  <c:v>41.633143151428598</c:v>
                </c:pt>
                <c:pt idx="127">
                  <c:v>78.434000150000003</c:v>
                </c:pt>
                <c:pt idx="128">
                  <c:v>77.872000559999989</c:v>
                </c:pt>
                <c:pt idx="129">
                  <c:v>76.447856358571428</c:v>
                </c:pt>
                <c:pt idx="130">
                  <c:v>77.430000000000007</c:v>
                </c:pt>
                <c:pt idx="131">
                  <c:v>76.24514443428572</c:v>
                </c:pt>
                <c:pt idx="132">
                  <c:v>66.31271307809007</c:v>
                </c:pt>
                <c:pt idx="133">
                  <c:v>72.048571428571435</c:v>
                </c:pt>
                <c:pt idx="134">
                  <c:v>71.543143134285714</c:v>
                </c:pt>
                <c:pt idx="135">
                  <c:v>73.754999434285722</c:v>
                </c:pt>
                <c:pt idx="136">
                  <c:v>68.878572191428574</c:v>
                </c:pt>
                <c:pt idx="137">
                  <c:v>65.663999831428569</c:v>
                </c:pt>
                <c:pt idx="138">
                  <c:v>65.224427905714279</c:v>
                </c:pt>
                <c:pt idx="139">
                  <c:v>60.719142914285719</c:v>
                </c:pt>
                <c:pt idx="140">
                  <c:v>62.679428645714289</c:v>
                </c:pt>
                <c:pt idx="141">
                  <c:v>65.47</c:v>
                </c:pt>
                <c:pt idx="142">
                  <c:v>72.930715288434641</c:v>
                </c:pt>
                <c:pt idx="143">
                  <c:v>70.661287578571418</c:v>
                </c:pt>
                <c:pt idx="144">
                  <c:v>65.047571455714291</c:v>
                </c:pt>
                <c:pt idx="145">
                  <c:v>67.597142857142856</c:v>
                </c:pt>
                <c:pt idx="146">
                  <c:v>80.445570807142857</c:v>
                </c:pt>
                <c:pt idx="147">
                  <c:v>68.079284669999993</c:v>
                </c:pt>
                <c:pt idx="148">
                  <c:v>71.555715832857132</c:v>
                </c:pt>
                <c:pt idx="149">
                  <c:v>91.077428547142858</c:v>
                </c:pt>
                <c:pt idx="150">
                  <c:v>81.972856794285704</c:v>
                </c:pt>
                <c:pt idx="151">
                  <c:v>84.626999989999987</c:v>
                </c:pt>
                <c:pt idx="152">
                  <c:v>127.52371543</c:v>
                </c:pt>
                <c:pt idx="153">
                  <c:v>183.5428575857143</c:v>
                </c:pt>
                <c:pt idx="154">
                  <c:v>292.95071844285718</c:v>
                </c:pt>
                <c:pt idx="155">
                  <c:v>381.11599999999993</c:v>
                </c:pt>
                <c:pt idx="156">
                  <c:v>271.83385794285715</c:v>
                </c:pt>
                <c:pt idx="157">
                  <c:v>176.20814078194715</c:v>
                </c:pt>
                <c:pt idx="158">
                  <c:v>159.75199889999999</c:v>
                </c:pt>
                <c:pt idx="159">
                  <c:v>243.87700107142857</c:v>
                </c:pt>
                <c:pt idx="160">
                  <c:v>236.61043005714285</c:v>
                </c:pt>
                <c:pt idx="161">
                  <c:v>392.82542635714287</c:v>
                </c:pt>
                <c:pt idx="162">
                  <c:v>448.59157017299066</c:v>
                </c:pt>
                <c:pt idx="163">
                  <c:v>374.25799560000002</c:v>
                </c:pt>
                <c:pt idx="164">
                  <c:v>289.19357081821948</c:v>
                </c:pt>
                <c:pt idx="165">
                  <c:v>302.38613892857137</c:v>
                </c:pt>
                <c:pt idx="166">
                  <c:v>219.49971445714283</c:v>
                </c:pt>
                <c:pt idx="167">
                  <c:v>210.39014761428572</c:v>
                </c:pt>
                <c:pt idx="168">
                  <c:v>335.19785417829189</c:v>
                </c:pt>
                <c:pt idx="169">
                  <c:v>569.31741768973188</c:v>
                </c:pt>
                <c:pt idx="170">
                  <c:v>298.48543221428571</c:v>
                </c:pt>
                <c:pt idx="171" formatCode="0.00">
                  <c:v>196.30642698571427</c:v>
                </c:pt>
                <c:pt idx="172">
                  <c:v>144.25785718571427</c:v>
                </c:pt>
                <c:pt idx="173">
                  <c:v>118.61742946079741</c:v>
                </c:pt>
                <c:pt idx="174">
                  <c:v>119.46943012857146</c:v>
                </c:pt>
                <c:pt idx="175">
                  <c:v>179.62085941428572</c:v>
                </c:pt>
                <c:pt idx="176">
                  <c:v>132.41042655714287</c:v>
                </c:pt>
                <c:pt idx="177">
                  <c:v>118.96285901750787</c:v>
                </c:pt>
                <c:pt idx="178">
                  <c:v>92.527713229999989</c:v>
                </c:pt>
                <c:pt idx="179">
                  <c:v>86.262142725714284</c:v>
                </c:pt>
                <c:pt idx="180">
                  <c:v>80.154999869210343</c:v>
                </c:pt>
                <c:pt idx="181">
                  <c:v>71.438000270000003</c:v>
                </c:pt>
                <c:pt idx="182">
                  <c:v>70.798141479999998</c:v>
                </c:pt>
                <c:pt idx="183">
                  <c:v>72.323284694126613</c:v>
                </c:pt>
                <c:pt idx="184">
                  <c:v>70.352427891428562</c:v>
                </c:pt>
                <c:pt idx="185">
                  <c:v>69.363000051428585</c:v>
                </c:pt>
                <c:pt idx="186">
                  <c:v>68.101856775714282</c:v>
                </c:pt>
                <c:pt idx="187">
                  <c:v>66.163572037142856</c:v>
                </c:pt>
                <c:pt idx="188">
                  <c:v>69.589143480573355</c:v>
                </c:pt>
                <c:pt idx="189">
                  <c:v>67.52914374142857</c:v>
                </c:pt>
                <c:pt idx="190">
                  <c:v>67.307859692857136</c:v>
                </c:pt>
                <c:pt idx="191">
                  <c:v>62.870428357805473</c:v>
                </c:pt>
                <c:pt idx="192">
                  <c:v>65.621286119733483</c:v>
                </c:pt>
                <c:pt idx="193">
                  <c:v>65.927430289132204</c:v>
                </c:pt>
                <c:pt idx="194">
                  <c:v>68.259427751813561</c:v>
                </c:pt>
                <c:pt idx="195">
                  <c:v>75.159429278571437</c:v>
                </c:pt>
                <c:pt idx="196">
                  <c:v>73.523286004285723</c:v>
                </c:pt>
                <c:pt idx="197">
                  <c:v>67.761285509999993</c:v>
                </c:pt>
                <c:pt idx="198">
                  <c:v>71.132857186453606</c:v>
                </c:pt>
                <c:pt idx="199">
                  <c:v>76.869857788571409</c:v>
                </c:pt>
                <c:pt idx="200">
                  <c:v>68.664999825714276</c:v>
                </c:pt>
              </c:numCache>
            </c:numRef>
          </c:val>
          <c:extLst>
            <c:ext xmlns:c16="http://schemas.microsoft.com/office/drawing/2014/chart" uri="{C3380CC4-5D6E-409C-BE32-E72D297353CC}">
              <c16:uniqueId val="{00000000-B34C-4256-AD7D-0647565F6528}"/>
            </c:ext>
          </c:extLst>
        </c:ser>
        <c:ser>
          <c:idx val="3"/>
          <c:order val="1"/>
          <c:tx>
            <c:strRef>
              <c:f>'13.Caudales'!$T$3</c:f>
              <c:strCache>
                <c:ptCount val="1"/>
                <c:pt idx="0">
                  <c:v>TULUMAYO</c:v>
                </c:pt>
              </c:strCache>
            </c:strRef>
          </c:tx>
          <c:spPr>
            <a:solidFill>
              <a:schemeClr val="accent5">
                <a:lumMod val="60000"/>
                <a:lumOff val="40000"/>
                <a:alpha val="78000"/>
              </a:schemeClr>
            </a:solidFill>
            <a:ln w="25400">
              <a:noFill/>
            </a:ln>
          </c:spPr>
          <c:cat>
            <c:multiLvlStrRef>
              <c:f>'13.Caudales'!$N$4:$O$1764</c:f>
              <c:multiLvlStrCache>
                <c:ptCount val="201"/>
                <c:lvl>
                  <c:pt idx="0">
                    <c:v>1</c:v>
                  </c:pt>
                  <c:pt idx="7">
                    <c:v>8</c:v>
                  </c:pt>
                  <c:pt idx="15">
                    <c:v>16</c:v>
                  </c:pt>
                  <c:pt idx="23">
                    <c:v>24</c:v>
                  </c:pt>
                  <c:pt idx="31">
                    <c:v>32</c:v>
                  </c:pt>
                  <c:pt idx="38">
                    <c:v>39</c:v>
                  </c:pt>
                  <c:pt idx="47">
                    <c:v>48</c:v>
                  </c:pt>
                  <c:pt idx="51">
                    <c:v>52</c:v>
                  </c:pt>
                  <c:pt idx="52">
                    <c:v>1</c:v>
                  </c:pt>
                  <c:pt idx="59">
                    <c:v>8</c:v>
                  </c:pt>
                  <c:pt idx="67">
                    <c:v>16</c:v>
                  </c:pt>
                  <c:pt idx="75">
                    <c:v>24</c:v>
                  </c:pt>
                  <c:pt idx="83">
                    <c:v>32</c:v>
                  </c:pt>
                  <c:pt idx="91">
                    <c:v>40</c:v>
                  </c:pt>
                  <c:pt idx="99">
                    <c:v>48</c:v>
                  </c:pt>
                  <c:pt idx="103">
                    <c:v>52</c:v>
                  </c:pt>
                  <c:pt idx="104">
                    <c:v>1</c:v>
                  </c:pt>
                  <c:pt idx="111">
                    <c:v>8</c:v>
                  </c:pt>
                  <c:pt idx="119">
                    <c:v>16</c:v>
                  </c:pt>
                  <c:pt idx="129">
                    <c:v>26</c:v>
                  </c:pt>
                  <c:pt idx="139">
                    <c:v>36</c:v>
                  </c:pt>
                  <c:pt idx="147">
                    <c:v>44</c:v>
                  </c:pt>
                  <c:pt idx="156">
                    <c:v>53</c:v>
                  </c:pt>
                  <c:pt idx="164">
                    <c:v>8</c:v>
                  </c:pt>
                  <c:pt idx="172">
                    <c:v>16</c:v>
                  </c:pt>
                  <c:pt idx="180">
                    <c:v>24</c:v>
                  </c:pt>
                  <c:pt idx="188">
                    <c:v>32</c:v>
                  </c:pt>
                  <c:pt idx="196">
                    <c:v>40</c:v>
                  </c:pt>
                  <c:pt idx="200">
                    <c:v>44</c:v>
                  </c:pt>
                </c:lvl>
                <c:lvl>
                  <c:pt idx="0">
                    <c:v>2017</c:v>
                  </c:pt>
                  <c:pt idx="52">
                    <c:v>2018</c:v>
                  </c:pt>
                  <c:pt idx="104">
                    <c:v>2019</c:v>
                  </c:pt>
                  <c:pt idx="157">
                    <c:v>2020</c:v>
                  </c:pt>
                </c:lvl>
              </c:multiLvlStrCache>
            </c:multiLvlStrRef>
          </c:cat>
          <c:val>
            <c:numRef>
              <c:f>'13.Caudales'!$T$4:$T$204</c:f>
              <c:numCache>
                <c:formatCode>0.0</c:formatCode>
                <c:ptCount val="201"/>
                <c:pt idx="0">
                  <c:v>148.43</c:v>
                </c:pt>
                <c:pt idx="1">
                  <c:v>175.88</c:v>
                </c:pt>
                <c:pt idx="2">
                  <c:v>177.57</c:v>
                </c:pt>
                <c:pt idx="3">
                  <c:v>205.76</c:v>
                </c:pt>
                <c:pt idx="4">
                  <c:v>123.41</c:v>
                </c:pt>
                <c:pt idx="5">
                  <c:v>108.48</c:v>
                </c:pt>
                <c:pt idx="6">
                  <c:v>144.62</c:v>
                </c:pt>
                <c:pt idx="7">
                  <c:v>140.63</c:v>
                </c:pt>
                <c:pt idx="8">
                  <c:v>245.85</c:v>
                </c:pt>
                <c:pt idx="9">
                  <c:v>188.01</c:v>
                </c:pt>
                <c:pt idx="10">
                  <c:v>169.95</c:v>
                </c:pt>
                <c:pt idx="11">
                  <c:v>146.01</c:v>
                </c:pt>
                <c:pt idx="12">
                  <c:v>173.02</c:v>
                </c:pt>
                <c:pt idx="13">
                  <c:v>137.65</c:v>
                </c:pt>
                <c:pt idx="14">
                  <c:v>129.9</c:v>
                </c:pt>
                <c:pt idx="15">
                  <c:v>100.66</c:v>
                </c:pt>
                <c:pt idx="16">
                  <c:v>91.24</c:v>
                </c:pt>
                <c:pt idx="17">
                  <c:v>98.95</c:v>
                </c:pt>
                <c:pt idx="18">
                  <c:v>89.02</c:v>
                </c:pt>
                <c:pt idx="19">
                  <c:v>72.95</c:v>
                </c:pt>
                <c:pt idx="20">
                  <c:v>99.42</c:v>
                </c:pt>
                <c:pt idx="21">
                  <c:v>79.099999999999994</c:v>
                </c:pt>
                <c:pt idx="22">
                  <c:v>63.27</c:v>
                </c:pt>
                <c:pt idx="23">
                  <c:v>49.79</c:v>
                </c:pt>
                <c:pt idx="24">
                  <c:v>46.74</c:v>
                </c:pt>
                <c:pt idx="25">
                  <c:v>41.45</c:v>
                </c:pt>
                <c:pt idx="26">
                  <c:v>60.31</c:v>
                </c:pt>
                <c:pt idx="27">
                  <c:v>39.090000000000003</c:v>
                </c:pt>
                <c:pt idx="28">
                  <c:v>32.590000000000003</c:v>
                </c:pt>
                <c:pt idx="29">
                  <c:v>28.39</c:v>
                </c:pt>
                <c:pt idx="30">
                  <c:v>26.51</c:v>
                </c:pt>
                <c:pt idx="31">
                  <c:v>24.1</c:v>
                </c:pt>
                <c:pt idx="32">
                  <c:v>24.29</c:v>
                </c:pt>
                <c:pt idx="33">
                  <c:v>25.9</c:v>
                </c:pt>
                <c:pt idx="34">
                  <c:v>26.33</c:v>
                </c:pt>
                <c:pt idx="35">
                  <c:v>27.35</c:v>
                </c:pt>
                <c:pt idx="36">
                  <c:v>34.56</c:v>
                </c:pt>
                <c:pt idx="37">
                  <c:v>41.74</c:v>
                </c:pt>
                <c:pt idx="38">
                  <c:v>46.48</c:v>
                </c:pt>
                <c:pt idx="39">
                  <c:v>28.11</c:v>
                </c:pt>
                <c:pt idx="40">
                  <c:v>32.11</c:v>
                </c:pt>
                <c:pt idx="41">
                  <c:v>64.69</c:v>
                </c:pt>
                <c:pt idx="42">
                  <c:v>71.16</c:v>
                </c:pt>
                <c:pt idx="43">
                  <c:v>62.33</c:v>
                </c:pt>
                <c:pt idx="44">
                  <c:v>61.76</c:v>
                </c:pt>
                <c:pt idx="45">
                  <c:v>66.040000000000006</c:v>
                </c:pt>
                <c:pt idx="46">
                  <c:v>52.82</c:v>
                </c:pt>
                <c:pt idx="47">
                  <c:v>66.577285762857144</c:v>
                </c:pt>
                <c:pt idx="48">
                  <c:v>72.732000077142857</c:v>
                </c:pt>
                <c:pt idx="49">
                  <c:v>64.097142899999994</c:v>
                </c:pt>
                <c:pt idx="50">
                  <c:v>94.237856191428577</c:v>
                </c:pt>
                <c:pt idx="51">
                  <c:v>94.357285634285716</c:v>
                </c:pt>
                <c:pt idx="52">
                  <c:v>143.09</c:v>
                </c:pt>
                <c:pt idx="53">
                  <c:v>160.98214394285716</c:v>
                </c:pt>
                <c:pt idx="54">
                  <c:v>190.44042751428574</c:v>
                </c:pt>
                <c:pt idx="55">
                  <c:v>205.5832868285714</c:v>
                </c:pt>
                <c:pt idx="56">
                  <c:v>93.607142857142861</c:v>
                </c:pt>
                <c:pt idx="57">
                  <c:v>108.25571334000001</c:v>
                </c:pt>
                <c:pt idx="58">
                  <c:v>202.98199900000003</c:v>
                </c:pt>
                <c:pt idx="59">
                  <c:v>251.1</c:v>
                </c:pt>
                <c:pt idx="60">
                  <c:v>204.95843285714287</c:v>
                </c:pt>
                <c:pt idx="61">
                  <c:v>177.15485925714287</c:v>
                </c:pt>
                <c:pt idx="62">
                  <c:v>169.375</c:v>
                </c:pt>
                <c:pt idx="63">
                  <c:v>201.58328465714288</c:v>
                </c:pt>
                <c:pt idx="64">
                  <c:v>163.75585502857143</c:v>
                </c:pt>
                <c:pt idx="65">
                  <c:v>133.53585814285714</c:v>
                </c:pt>
                <c:pt idx="66">
                  <c:v>107.59514291428572</c:v>
                </c:pt>
                <c:pt idx="67">
                  <c:v>95.78</c:v>
                </c:pt>
                <c:pt idx="68">
                  <c:v>95.39</c:v>
                </c:pt>
                <c:pt idx="69">
                  <c:v>85.958285739999994</c:v>
                </c:pt>
                <c:pt idx="70">
                  <c:v>88.244000028571435</c:v>
                </c:pt>
                <c:pt idx="71">
                  <c:v>64.809571402857145</c:v>
                </c:pt>
                <c:pt idx="72">
                  <c:v>49.303714208571428</c:v>
                </c:pt>
                <c:pt idx="73">
                  <c:v>42.928571428571431</c:v>
                </c:pt>
                <c:pt idx="74">
                  <c:v>67.797571451428567</c:v>
                </c:pt>
                <c:pt idx="75">
                  <c:v>63.982142857142854</c:v>
                </c:pt>
                <c:pt idx="76">
                  <c:v>53.035571505714287</c:v>
                </c:pt>
                <c:pt idx="77">
                  <c:v>40.369000025714286</c:v>
                </c:pt>
                <c:pt idx="78">
                  <c:v>33.409999999999997</c:v>
                </c:pt>
                <c:pt idx="79">
                  <c:v>33.160714285714285</c:v>
                </c:pt>
                <c:pt idx="80">
                  <c:v>35.738</c:v>
                </c:pt>
                <c:pt idx="81">
                  <c:v>85.065429679999994</c:v>
                </c:pt>
                <c:pt idx="82">
                  <c:v>40.375</c:v>
                </c:pt>
                <c:pt idx="83">
                  <c:v>52.946428571428569</c:v>
                </c:pt>
                <c:pt idx="84">
                  <c:v>47.13</c:v>
                </c:pt>
                <c:pt idx="85">
                  <c:v>63.892999920000001</c:v>
                </c:pt>
                <c:pt idx="86">
                  <c:v>45.64</c:v>
                </c:pt>
                <c:pt idx="87">
                  <c:v>34.571428571428569</c:v>
                </c:pt>
                <c:pt idx="88">
                  <c:v>28.744000025714286</c:v>
                </c:pt>
                <c:pt idx="89">
                  <c:v>35.571571351428574</c:v>
                </c:pt>
                <c:pt idx="90">
                  <c:v>39.39</c:v>
                </c:pt>
                <c:pt idx="91">
                  <c:v>41.34000069857143</c:v>
                </c:pt>
                <c:pt idx="92">
                  <c:v>56.607142857142847</c:v>
                </c:pt>
                <c:pt idx="93">
                  <c:v>89.232285635811792</c:v>
                </c:pt>
                <c:pt idx="94">
                  <c:v>125.70828465052978</c:v>
                </c:pt>
                <c:pt idx="95">
                  <c:v>157.60714285714286</c:v>
                </c:pt>
                <c:pt idx="96">
                  <c:v>105.63685608857143</c:v>
                </c:pt>
                <c:pt idx="97">
                  <c:v>79.304285714285712</c:v>
                </c:pt>
                <c:pt idx="98">
                  <c:v>74.684428622857141</c:v>
                </c:pt>
                <c:pt idx="99">
                  <c:v>95.303570342857142</c:v>
                </c:pt>
                <c:pt idx="100">
                  <c:v>54.31</c:v>
                </c:pt>
                <c:pt idx="101">
                  <c:v>52.47614288285714</c:v>
                </c:pt>
                <c:pt idx="102">
                  <c:v>126.14285714285714</c:v>
                </c:pt>
                <c:pt idx="103">
                  <c:v>100.38085719714286</c:v>
                </c:pt>
                <c:pt idx="104">
                  <c:v>79.871427261428579</c:v>
                </c:pt>
                <c:pt idx="105">
                  <c:v>84.184571402857145</c:v>
                </c:pt>
                <c:pt idx="106">
                  <c:v>149.30000000000001</c:v>
                </c:pt>
                <c:pt idx="107">
                  <c:v>168.80999974285714</c:v>
                </c:pt>
                <c:pt idx="108">
                  <c:v>195.24999782857142</c:v>
                </c:pt>
                <c:pt idx="109">
                  <c:v>265.28000000000003</c:v>
                </c:pt>
                <c:pt idx="110">
                  <c:v>230.7322888857143</c:v>
                </c:pt>
                <c:pt idx="111">
                  <c:v>219.37485614285717</c:v>
                </c:pt>
                <c:pt idx="112">
                  <c:v>191.17842539999998</c:v>
                </c:pt>
                <c:pt idx="113">
                  <c:v>184.08928571428572</c:v>
                </c:pt>
                <c:pt idx="114">
                  <c:v>226.88085501534573</c:v>
                </c:pt>
                <c:pt idx="115">
                  <c:v>203.44642857142858</c:v>
                </c:pt>
                <c:pt idx="116">
                  <c:v>225.26185825714285</c:v>
                </c:pt>
                <c:pt idx="117">
                  <c:v>152.47643277142856</c:v>
                </c:pt>
                <c:pt idx="118">
                  <c:v>98.160714291428576</c:v>
                </c:pt>
                <c:pt idx="119">
                  <c:v>98.279714314285712</c:v>
                </c:pt>
                <c:pt idx="120">
                  <c:v>83.547571454285716</c:v>
                </c:pt>
                <c:pt idx="121">
                  <c:v>74.392857142857139</c:v>
                </c:pt>
                <c:pt idx="122">
                  <c:v>60.613000051428571</c:v>
                </c:pt>
                <c:pt idx="123">
                  <c:v>72.321428569999995</c:v>
                </c:pt>
                <c:pt idx="124">
                  <c:v>52.565571377142859</c:v>
                </c:pt>
                <c:pt idx="125">
                  <c:v>49.261999948571429</c:v>
                </c:pt>
                <c:pt idx="126">
                  <c:v>40.500142779999997</c:v>
                </c:pt>
                <c:pt idx="127">
                  <c:v>35.785857065714289</c:v>
                </c:pt>
                <c:pt idx="128">
                  <c:v>33.357000077142857</c:v>
                </c:pt>
                <c:pt idx="129">
                  <c:v>29.154571531428569</c:v>
                </c:pt>
                <c:pt idx="130">
                  <c:v>30.35</c:v>
                </c:pt>
                <c:pt idx="131">
                  <c:v>27.702285765714286</c:v>
                </c:pt>
                <c:pt idx="132">
                  <c:v>29.940428597586454</c:v>
                </c:pt>
                <c:pt idx="133">
                  <c:v>36.729999999999997</c:v>
                </c:pt>
                <c:pt idx="134">
                  <c:v>31.720428468571431</c:v>
                </c:pt>
                <c:pt idx="135">
                  <c:v>23.255857194285714</c:v>
                </c:pt>
                <c:pt idx="136">
                  <c:v>21.297428674285715</c:v>
                </c:pt>
                <c:pt idx="137">
                  <c:v>20.922428674285715</c:v>
                </c:pt>
                <c:pt idx="138">
                  <c:v>19.458285740000001</c:v>
                </c:pt>
                <c:pt idx="139">
                  <c:v>25.369000025714286</c:v>
                </c:pt>
                <c:pt idx="140">
                  <c:v>28.136857168571428</c:v>
                </c:pt>
                <c:pt idx="141">
                  <c:v>29.351428571428567</c:v>
                </c:pt>
                <c:pt idx="142">
                  <c:v>26.470285688127774</c:v>
                </c:pt>
                <c:pt idx="143">
                  <c:v>28.190571377142856</c:v>
                </c:pt>
                <c:pt idx="144">
                  <c:v>47.010571615714284</c:v>
                </c:pt>
                <c:pt idx="145">
                  <c:v>47.291428571428575</c:v>
                </c:pt>
                <c:pt idx="146">
                  <c:v>71.934570317142857</c:v>
                </c:pt>
                <c:pt idx="147">
                  <c:v>33.011999948571429</c:v>
                </c:pt>
                <c:pt idx="148">
                  <c:v>77.119000028571435</c:v>
                </c:pt>
                <c:pt idx="149">
                  <c:v>102.37485722571429</c:v>
                </c:pt>
                <c:pt idx="150">
                  <c:v>82.511857174285723</c:v>
                </c:pt>
                <c:pt idx="151">
                  <c:v>67.75</c:v>
                </c:pt>
                <c:pt idx="152">
                  <c:v>92.821572431428564</c:v>
                </c:pt>
                <c:pt idx="153">
                  <c:v>117.73200008285714</c:v>
                </c:pt>
                <c:pt idx="154">
                  <c:v>180.44057028571427</c:v>
                </c:pt>
                <c:pt idx="155">
                  <c:v>222.82728794285717</c:v>
                </c:pt>
                <c:pt idx="156">
                  <c:v>172.15485925714285</c:v>
                </c:pt>
                <c:pt idx="157">
                  <c:v>130.2321406773155</c:v>
                </c:pt>
                <c:pt idx="158">
                  <c:v>106.97614288285715</c:v>
                </c:pt>
                <c:pt idx="159">
                  <c:v>137.04186028571428</c:v>
                </c:pt>
                <c:pt idx="160">
                  <c:v>121.29742760000001</c:v>
                </c:pt>
                <c:pt idx="161">
                  <c:v>216.11300005714287</c:v>
                </c:pt>
                <c:pt idx="162">
                  <c:v>221.35714285714261</c:v>
                </c:pt>
                <c:pt idx="163">
                  <c:v>142.54771639999998</c:v>
                </c:pt>
                <c:pt idx="164">
                  <c:v>162.01200212751087</c:v>
                </c:pt>
                <c:pt idx="165">
                  <c:v>174.72028894285717</c:v>
                </c:pt>
                <c:pt idx="166">
                  <c:v>118.91071428571429</c:v>
                </c:pt>
                <c:pt idx="167">
                  <c:v>145.36899785714286</c:v>
                </c:pt>
                <c:pt idx="168">
                  <c:v>171.26185716901472</c:v>
                </c:pt>
                <c:pt idx="169">
                  <c:v>241.59529113769531</c:v>
                </c:pt>
                <c:pt idx="170">
                  <c:v>156.28586031428571</c:v>
                </c:pt>
                <c:pt idx="171" formatCode="0.00">
                  <c:v>126.20242854857143</c:v>
                </c:pt>
                <c:pt idx="172">
                  <c:v>112.32742854857143</c:v>
                </c:pt>
                <c:pt idx="173">
                  <c:v>86.636999947684131</c:v>
                </c:pt>
                <c:pt idx="174">
                  <c:v>95.79771531714286</c:v>
                </c:pt>
                <c:pt idx="175">
                  <c:v>63.654857091428575</c:v>
                </c:pt>
                <c:pt idx="176">
                  <c:v>63.017857142857146</c:v>
                </c:pt>
                <c:pt idx="177">
                  <c:v>55.553428649902308</c:v>
                </c:pt>
                <c:pt idx="178">
                  <c:v>48.85114288285714</c:v>
                </c:pt>
                <c:pt idx="179">
                  <c:v>49.02971431142857</c:v>
                </c:pt>
                <c:pt idx="180">
                  <c:v>39.363000052315797</c:v>
                </c:pt>
                <c:pt idx="181">
                  <c:v>31.88514287142857</c:v>
                </c:pt>
                <c:pt idx="182">
                  <c:v>29.80342864857143</c:v>
                </c:pt>
                <c:pt idx="183">
                  <c:v>28.875142778669062</c:v>
                </c:pt>
                <c:pt idx="184">
                  <c:v>27.071428571428573</c:v>
                </c:pt>
                <c:pt idx="185">
                  <c:v>26.369142805714286</c:v>
                </c:pt>
                <c:pt idx="186">
                  <c:v>23.077571325714285</c:v>
                </c:pt>
                <c:pt idx="187">
                  <c:v>20.36314283098493</c:v>
                </c:pt>
                <c:pt idx="188">
                  <c:v>20.36</c:v>
                </c:pt>
                <c:pt idx="189">
                  <c:v>23.369000025714286</c:v>
                </c:pt>
                <c:pt idx="190">
                  <c:v>24.434428622857144</c:v>
                </c:pt>
                <c:pt idx="191">
                  <c:v>21.077428545270632</c:v>
                </c:pt>
                <c:pt idx="192">
                  <c:v>23.857142857142815</c:v>
                </c:pt>
                <c:pt idx="193">
                  <c:v>21.696428571428545</c:v>
                </c:pt>
                <c:pt idx="194">
                  <c:v>32.958285740443614</c:v>
                </c:pt>
                <c:pt idx="195">
                  <c:v>41.827428545714284</c:v>
                </c:pt>
                <c:pt idx="196">
                  <c:v>30.178571428571427</c:v>
                </c:pt>
                <c:pt idx="197">
                  <c:v>24.547571454285713</c:v>
                </c:pt>
                <c:pt idx="198">
                  <c:v>41.773857116699205</c:v>
                </c:pt>
                <c:pt idx="199">
                  <c:v>39.60114288285714</c:v>
                </c:pt>
                <c:pt idx="200">
                  <c:v>36.702285765714286</c:v>
                </c:pt>
              </c:numCache>
            </c:numRef>
          </c:val>
          <c:extLst>
            <c:ext xmlns:c16="http://schemas.microsoft.com/office/drawing/2014/chart" uri="{C3380CC4-5D6E-409C-BE32-E72D297353CC}">
              <c16:uniqueId val="{00000001-B34C-4256-AD7D-0647565F6528}"/>
            </c:ext>
          </c:extLst>
        </c:ser>
        <c:ser>
          <c:idx val="1"/>
          <c:order val="2"/>
          <c:tx>
            <c:strRef>
              <c:f>'13.Caudales'!$U$3</c:f>
              <c:strCache>
                <c:ptCount val="1"/>
                <c:pt idx="0">
                  <c:v>TARMA</c:v>
                </c:pt>
              </c:strCache>
            </c:strRef>
          </c:tx>
          <c:spPr>
            <a:solidFill>
              <a:schemeClr val="accent1">
                <a:lumMod val="75000"/>
              </a:schemeClr>
            </a:solidFill>
            <a:ln>
              <a:solidFill>
                <a:schemeClr val="accent1">
                  <a:lumMod val="75000"/>
                </a:schemeClr>
              </a:solidFill>
            </a:ln>
          </c:spPr>
          <c:cat>
            <c:multiLvlStrRef>
              <c:f>'13.Caudales'!$N$4:$O$204</c:f>
              <c:multiLvlStrCache>
                <c:ptCount val="201"/>
                <c:lvl>
                  <c:pt idx="0">
                    <c:v>1</c:v>
                  </c:pt>
                  <c:pt idx="7">
                    <c:v>8</c:v>
                  </c:pt>
                  <c:pt idx="15">
                    <c:v>16</c:v>
                  </c:pt>
                  <c:pt idx="23">
                    <c:v>24</c:v>
                  </c:pt>
                  <c:pt idx="31">
                    <c:v>32</c:v>
                  </c:pt>
                  <c:pt idx="38">
                    <c:v>39</c:v>
                  </c:pt>
                  <c:pt idx="47">
                    <c:v>48</c:v>
                  </c:pt>
                  <c:pt idx="51">
                    <c:v>52</c:v>
                  </c:pt>
                  <c:pt idx="52">
                    <c:v>1</c:v>
                  </c:pt>
                  <c:pt idx="59">
                    <c:v>8</c:v>
                  </c:pt>
                  <c:pt idx="67">
                    <c:v>16</c:v>
                  </c:pt>
                  <c:pt idx="75">
                    <c:v>24</c:v>
                  </c:pt>
                  <c:pt idx="83">
                    <c:v>32</c:v>
                  </c:pt>
                  <c:pt idx="91">
                    <c:v>40</c:v>
                  </c:pt>
                  <c:pt idx="99">
                    <c:v>48</c:v>
                  </c:pt>
                  <c:pt idx="103">
                    <c:v>52</c:v>
                  </c:pt>
                  <c:pt idx="104">
                    <c:v>1</c:v>
                  </c:pt>
                  <c:pt idx="111">
                    <c:v>8</c:v>
                  </c:pt>
                  <c:pt idx="119">
                    <c:v>16</c:v>
                  </c:pt>
                  <c:pt idx="129">
                    <c:v>26</c:v>
                  </c:pt>
                  <c:pt idx="139">
                    <c:v>36</c:v>
                  </c:pt>
                  <c:pt idx="147">
                    <c:v>44</c:v>
                  </c:pt>
                  <c:pt idx="156">
                    <c:v>53</c:v>
                  </c:pt>
                  <c:pt idx="164">
                    <c:v>8</c:v>
                  </c:pt>
                  <c:pt idx="172">
                    <c:v>16</c:v>
                  </c:pt>
                  <c:pt idx="180">
                    <c:v>24</c:v>
                  </c:pt>
                  <c:pt idx="188">
                    <c:v>32</c:v>
                  </c:pt>
                  <c:pt idx="196">
                    <c:v>40</c:v>
                  </c:pt>
                  <c:pt idx="200">
                    <c:v>44</c:v>
                  </c:pt>
                </c:lvl>
                <c:lvl>
                  <c:pt idx="0">
                    <c:v>2017</c:v>
                  </c:pt>
                  <c:pt idx="52">
                    <c:v>2018</c:v>
                  </c:pt>
                  <c:pt idx="104">
                    <c:v>2019</c:v>
                  </c:pt>
                  <c:pt idx="157">
                    <c:v>2020</c:v>
                  </c:pt>
                </c:lvl>
              </c:multiLvlStrCache>
            </c:multiLvlStrRef>
          </c:cat>
          <c:val>
            <c:numRef>
              <c:f>'13.Caudales'!$U$4:$U$204</c:f>
              <c:numCache>
                <c:formatCode>0.0</c:formatCode>
                <c:ptCount val="201"/>
                <c:pt idx="0">
                  <c:v>24.1</c:v>
                </c:pt>
                <c:pt idx="1">
                  <c:v>33.74</c:v>
                </c:pt>
                <c:pt idx="2">
                  <c:v>35.49</c:v>
                </c:pt>
                <c:pt idx="3">
                  <c:v>48.48</c:v>
                </c:pt>
                <c:pt idx="4">
                  <c:v>25.33</c:v>
                </c:pt>
                <c:pt idx="5">
                  <c:v>22.99</c:v>
                </c:pt>
                <c:pt idx="6">
                  <c:v>39.44</c:v>
                </c:pt>
                <c:pt idx="7">
                  <c:v>30.47</c:v>
                </c:pt>
                <c:pt idx="8">
                  <c:v>67.56</c:v>
                </c:pt>
                <c:pt idx="9">
                  <c:v>50.5</c:v>
                </c:pt>
                <c:pt idx="10">
                  <c:v>51.21</c:v>
                </c:pt>
                <c:pt idx="11">
                  <c:v>38.08</c:v>
                </c:pt>
                <c:pt idx="12">
                  <c:v>38.869999999999997</c:v>
                </c:pt>
                <c:pt idx="13">
                  <c:v>35.950000000000003</c:v>
                </c:pt>
                <c:pt idx="14">
                  <c:v>29.93</c:v>
                </c:pt>
                <c:pt idx="15">
                  <c:v>21.85</c:v>
                </c:pt>
                <c:pt idx="16">
                  <c:v>18.89</c:v>
                </c:pt>
                <c:pt idx="17">
                  <c:v>19.899999999999999</c:v>
                </c:pt>
                <c:pt idx="18">
                  <c:v>15.9</c:v>
                </c:pt>
                <c:pt idx="19">
                  <c:v>15.03</c:v>
                </c:pt>
                <c:pt idx="20">
                  <c:v>20.059999999999999</c:v>
                </c:pt>
                <c:pt idx="21">
                  <c:v>16</c:v>
                </c:pt>
                <c:pt idx="22">
                  <c:v>13.78</c:v>
                </c:pt>
                <c:pt idx="23">
                  <c:v>11.29</c:v>
                </c:pt>
                <c:pt idx="24">
                  <c:v>10.02</c:v>
                </c:pt>
                <c:pt idx="25">
                  <c:v>9.24</c:v>
                </c:pt>
                <c:pt idx="26">
                  <c:v>9.73</c:v>
                </c:pt>
                <c:pt idx="27">
                  <c:v>8.42</c:v>
                </c:pt>
                <c:pt idx="28">
                  <c:v>7.7</c:v>
                </c:pt>
                <c:pt idx="29">
                  <c:v>7.39</c:v>
                </c:pt>
                <c:pt idx="30">
                  <c:v>7.02</c:v>
                </c:pt>
                <c:pt idx="31">
                  <c:v>6.7</c:v>
                </c:pt>
                <c:pt idx="32">
                  <c:v>6.44</c:v>
                </c:pt>
                <c:pt idx="33">
                  <c:v>6.62</c:v>
                </c:pt>
                <c:pt idx="34">
                  <c:v>6.66</c:v>
                </c:pt>
                <c:pt idx="35">
                  <c:v>6.84</c:v>
                </c:pt>
                <c:pt idx="36">
                  <c:v>7.96</c:v>
                </c:pt>
                <c:pt idx="37">
                  <c:v>9.43</c:v>
                </c:pt>
                <c:pt idx="38">
                  <c:v>7.93</c:v>
                </c:pt>
                <c:pt idx="39">
                  <c:v>6.02</c:v>
                </c:pt>
                <c:pt idx="40">
                  <c:v>6.5</c:v>
                </c:pt>
                <c:pt idx="41">
                  <c:v>9.44</c:v>
                </c:pt>
                <c:pt idx="42">
                  <c:v>8.8800000000000008</c:v>
                </c:pt>
                <c:pt idx="43">
                  <c:v>10.59</c:v>
                </c:pt>
                <c:pt idx="44">
                  <c:v>10.039999999999999</c:v>
                </c:pt>
                <c:pt idx="45">
                  <c:v>8.7799999999999994</c:v>
                </c:pt>
                <c:pt idx="46">
                  <c:v>7.81</c:v>
                </c:pt>
                <c:pt idx="47">
                  <c:v>9.1851428580000007</c:v>
                </c:pt>
                <c:pt idx="48">
                  <c:v>14.04828548342857</c:v>
                </c:pt>
                <c:pt idx="49">
                  <c:v>11.032857077571427</c:v>
                </c:pt>
                <c:pt idx="50">
                  <c:v>14.381428445285712</c:v>
                </c:pt>
                <c:pt idx="51">
                  <c:v>13.293999945714287</c:v>
                </c:pt>
                <c:pt idx="52">
                  <c:v>20.63</c:v>
                </c:pt>
                <c:pt idx="53">
                  <c:v>36.213856559999996</c:v>
                </c:pt>
                <c:pt idx="54">
                  <c:v>30.819142750000001</c:v>
                </c:pt>
                <c:pt idx="55">
                  <c:v>40.893000467142862</c:v>
                </c:pt>
                <c:pt idx="56">
                  <c:v>17.748285841428572</c:v>
                </c:pt>
                <c:pt idx="57">
                  <c:v>18.79157175142857</c:v>
                </c:pt>
                <c:pt idx="58">
                  <c:v>42.088571821428573</c:v>
                </c:pt>
                <c:pt idx="59">
                  <c:v>43.74</c:v>
                </c:pt>
                <c:pt idx="60">
                  <c:v>31.755000522857138</c:v>
                </c:pt>
                <c:pt idx="61">
                  <c:v>31.196571622857142</c:v>
                </c:pt>
                <c:pt idx="62">
                  <c:v>52.626284462857136</c:v>
                </c:pt>
                <c:pt idx="63">
                  <c:v>57.669144221428567</c:v>
                </c:pt>
                <c:pt idx="64">
                  <c:v>35.725570951428573</c:v>
                </c:pt>
                <c:pt idx="65">
                  <c:v>28.622000282857147</c:v>
                </c:pt>
                <c:pt idx="66">
                  <c:v>30.753999982857145</c:v>
                </c:pt>
                <c:pt idx="67">
                  <c:v>29.88</c:v>
                </c:pt>
                <c:pt idx="68">
                  <c:v>22.257285525714284</c:v>
                </c:pt>
                <c:pt idx="69">
                  <c:v>21.651714052857141</c:v>
                </c:pt>
                <c:pt idx="70">
                  <c:v>19.037142890000002</c:v>
                </c:pt>
                <c:pt idx="71">
                  <c:v>16.531571660000001</c:v>
                </c:pt>
                <c:pt idx="72">
                  <c:v>13.450571468571427</c:v>
                </c:pt>
                <c:pt idx="73">
                  <c:v>11.897571562857141</c:v>
                </c:pt>
                <c:pt idx="74">
                  <c:v>15.801714215714284</c:v>
                </c:pt>
                <c:pt idx="75">
                  <c:v>15.595999989999999</c:v>
                </c:pt>
                <c:pt idx="76">
                  <c:v>14.135857038571428</c:v>
                </c:pt>
                <c:pt idx="77">
                  <c:v>10.912428581428573</c:v>
                </c:pt>
                <c:pt idx="78">
                  <c:v>9.4035714009999989</c:v>
                </c:pt>
                <c:pt idx="79">
                  <c:v>9.4155716217142871</c:v>
                </c:pt>
                <c:pt idx="80">
                  <c:v>9.5503999999999998</c:v>
                </c:pt>
                <c:pt idx="81">
                  <c:v>15.534142631428571</c:v>
                </c:pt>
                <c:pt idx="82">
                  <c:v>8.5579999999999998</c:v>
                </c:pt>
                <c:pt idx="83">
                  <c:v>10.739857128857144</c:v>
                </c:pt>
                <c:pt idx="84">
                  <c:v>9.23</c:v>
                </c:pt>
                <c:pt idx="85">
                  <c:v>10.917285918714287</c:v>
                </c:pt>
                <c:pt idx="86">
                  <c:v>9.4700000000000006</c:v>
                </c:pt>
                <c:pt idx="87">
                  <c:v>7.5942857142857134</c:v>
                </c:pt>
                <c:pt idx="88">
                  <c:v>6.5637142318571433</c:v>
                </c:pt>
                <c:pt idx="89">
                  <c:v>7.2939999444285712</c:v>
                </c:pt>
                <c:pt idx="90">
                  <c:v>7.68</c:v>
                </c:pt>
                <c:pt idx="91">
                  <c:v>9.112857137571428</c:v>
                </c:pt>
                <c:pt idx="92">
                  <c:v>11.170142854962995</c:v>
                </c:pt>
                <c:pt idx="93">
                  <c:v>19.282285690307582</c:v>
                </c:pt>
                <c:pt idx="94">
                  <c:v>26.382142475673081</c:v>
                </c:pt>
                <c:pt idx="95">
                  <c:v>33.364427840000005</c:v>
                </c:pt>
                <c:pt idx="96">
                  <c:v>18.735571588571428</c:v>
                </c:pt>
                <c:pt idx="97">
                  <c:v>13.16</c:v>
                </c:pt>
                <c:pt idx="98">
                  <c:v>13.483142988571428</c:v>
                </c:pt>
                <c:pt idx="99">
                  <c:v>12.543571337142859</c:v>
                </c:pt>
                <c:pt idx="100">
                  <c:v>8.99</c:v>
                </c:pt>
                <c:pt idx="101">
                  <c:v>10.909571511285714</c:v>
                </c:pt>
                <c:pt idx="102">
                  <c:v>16.8</c:v>
                </c:pt>
                <c:pt idx="103">
                  <c:v>16.435142652857145</c:v>
                </c:pt>
                <c:pt idx="104">
                  <c:v>13.115714484285716</c:v>
                </c:pt>
                <c:pt idx="105">
                  <c:v>16.11014284285714</c:v>
                </c:pt>
                <c:pt idx="106">
                  <c:v>29.23</c:v>
                </c:pt>
                <c:pt idx="107">
                  <c:v>36.200000218571425</c:v>
                </c:pt>
                <c:pt idx="108">
                  <c:v>36.703999928571427</c:v>
                </c:pt>
                <c:pt idx="109">
                  <c:v>51.29</c:v>
                </c:pt>
                <c:pt idx="110">
                  <c:v>46.224000658571427</c:v>
                </c:pt>
                <c:pt idx="111">
                  <c:v>42.94585745571429</c:v>
                </c:pt>
                <c:pt idx="112">
                  <c:v>34.696428571428569</c:v>
                </c:pt>
                <c:pt idx="113">
                  <c:v>38.680999754285715</c:v>
                </c:pt>
                <c:pt idx="114">
                  <c:v>42.633285522460888</c:v>
                </c:pt>
                <c:pt idx="115">
                  <c:v>43.529285431428569</c:v>
                </c:pt>
                <c:pt idx="116">
                  <c:v>57.974427901428569</c:v>
                </c:pt>
                <c:pt idx="117">
                  <c:v>55.119428907142868</c:v>
                </c:pt>
                <c:pt idx="118">
                  <c:v>27.713714872857139</c:v>
                </c:pt>
                <c:pt idx="119">
                  <c:v>22.869143077142859</c:v>
                </c:pt>
                <c:pt idx="120">
                  <c:v>20.273857388571425</c:v>
                </c:pt>
                <c:pt idx="121">
                  <c:v>18.103142875714287</c:v>
                </c:pt>
                <c:pt idx="122">
                  <c:v>15.728999954285714</c:v>
                </c:pt>
                <c:pt idx="123">
                  <c:v>20.647571429999999</c:v>
                </c:pt>
                <c:pt idx="124">
                  <c:v>14.46171447</c:v>
                </c:pt>
                <c:pt idx="125">
                  <c:v>12.621714454285712</c:v>
                </c:pt>
                <c:pt idx="126">
                  <c:v>10.571857179142857</c:v>
                </c:pt>
                <c:pt idx="127">
                  <c:v>9.2180000031428584</c:v>
                </c:pt>
                <c:pt idx="128">
                  <c:v>8.9321429390000002</c:v>
                </c:pt>
                <c:pt idx="129">
                  <c:v>8.3007144928571428</c:v>
                </c:pt>
                <c:pt idx="130">
                  <c:v>8.59</c:v>
                </c:pt>
                <c:pt idx="131">
                  <c:v>7.8261427880000003</c:v>
                </c:pt>
                <c:pt idx="132">
                  <c:v>7.6488569804600273</c:v>
                </c:pt>
                <c:pt idx="133">
                  <c:v>8.18</c:v>
                </c:pt>
                <c:pt idx="134">
                  <c:v>7.0618571554285712</c:v>
                </c:pt>
                <c:pt idx="135">
                  <c:v>6.2595714159999991</c:v>
                </c:pt>
                <c:pt idx="136">
                  <c:v>6.3691428730000004</c:v>
                </c:pt>
                <c:pt idx="137">
                  <c:v>6.115428584</c:v>
                </c:pt>
                <c:pt idx="138">
                  <c:v>6.3137143680000003</c:v>
                </c:pt>
                <c:pt idx="139">
                  <c:v>5.8737142427142857</c:v>
                </c:pt>
                <c:pt idx="140">
                  <c:v>6.1154285838571436</c:v>
                </c:pt>
                <c:pt idx="141">
                  <c:v>6.8328571428571419</c:v>
                </c:pt>
                <c:pt idx="142">
                  <c:v>9.2337144442966927</c:v>
                </c:pt>
                <c:pt idx="143">
                  <c:v>9.6928569934285722</c:v>
                </c:pt>
                <c:pt idx="144">
                  <c:v>10.709857054714286</c:v>
                </c:pt>
                <c:pt idx="145">
                  <c:v>8.5642857142857132</c:v>
                </c:pt>
                <c:pt idx="146">
                  <c:v>12.279142925142859</c:v>
                </c:pt>
                <c:pt idx="147">
                  <c:v>8.685571329857142</c:v>
                </c:pt>
                <c:pt idx="148">
                  <c:v>11.169571467285715</c:v>
                </c:pt>
                <c:pt idx="149">
                  <c:v>13.601000102857142</c:v>
                </c:pt>
                <c:pt idx="150">
                  <c:v>10.628571509714286</c:v>
                </c:pt>
                <c:pt idx="151">
                  <c:v>8.4404285975714277</c:v>
                </c:pt>
                <c:pt idx="152">
                  <c:v>12.563142707428572</c:v>
                </c:pt>
                <c:pt idx="153">
                  <c:v>21.506999832857144</c:v>
                </c:pt>
                <c:pt idx="154">
                  <c:v>47.032857078571432</c:v>
                </c:pt>
                <c:pt idx="155">
                  <c:v>45.963714052857135</c:v>
                </c:pt>
                <c:pt idx="156">
                  <c:v>29.933428355714284</c:v>
                </c:pt>
                <c:pt idx="157">
                  <c:v>24.27742849077493</c:v>
                </c:pt>
                <c:pt idx="158">
                  <c:v>30.680286678571431</c:v>
                </c:pt>
                <c:pt idx="159">
                  <c:v>40.240000044285715</c:v>
                </c:pt>
                <c:pt idx="160">
                  <c:v>26.470714297142855</c:v>
                </c:pt>
                <c:pt idx="161">
                  <c:v>48.707714625714289</c:v>
                </c:pt>
                <c:pt idx="162">
                  <c:v>51.925000326974022</c:v>
                </c:pt>
                <c:pt idx="163">
                  <c:v>37.997142247142854</c:v>
                </c:pt>
                <c:pt idx="164">
                  <c:v>30.780285699026873</c:v>
                </c:pt>
                <c:pt idx="165">
                  <c:v>36.13400023285714</c:v>
                </c:pt>
                <c:pt idx="166">
                  <c:v>22.61842863857143</c:v>
                </c:pt>
                <c:pt idx="167">
                  <c:v>39.343428748571434</c:v>
                </c:pt>
                <c:pt idx="168">
                  <c:v>46.286999838692772</c:v>
                </c:pt>
                <c:pt idx="169">
                  <c:v>63.414285387311629</c:v>
                </c:pt>
                <c:pt idx="170">
                  <c:v>40.567142485714285</c:v>
                </c:pt>
                <c:pt idx="171" formatCode="0.00">
                  <c:v>27.609000341428576</c:v>
                </c:pt>
                <c:pt idx="172">
                  <c:v>23.319143022857144</c:v>
                </c:pt>
                <c:pt idx="173">
                  <c:v>19.662570953369116</c:v>
                </c:pt>
                <c:pt idx="174">
                  <c:v>21.329571314285715</c:v>
                </c:pt>
                <c:pt idx="175">
                  <c:v>18.961428234285709</c:v>
                </c:pt>
                <c:pt idx="176">
                  <c:v>17.724285941428572</c:v>
                </c:pt>
                <c:pt idx="177">
                  <c:v>14.547714369637587</c:v>
                </c:pt>
                <c:pt idx="178">
                  <c:v>12.851142882857143</c:v>
                </c:pt>
                <c:pt idx="179">
                  <c:v>13.300571305714286</c:v>
                </c:pt>
                <c:pt idx="180">
                  <c:v>11.205857140677287</c:v>
                </c:pt>
                <c:pt idx="181">
                  <c:v>9.1724285395714276</c:v>
                </c:pt>
                <c:pt idx="182">
                  <c:v>8.6642858641428564</c:v>
                </c:pt>
                <c:pt idx="183">
                  <c:v>8.3150001253400507</c:v>
                </c:pt>
                <c:pt idx="184">
                  <c:v>7.9792855807142846</c:v>
                </c:pt>
                <c:pt idx="185">
                  <c:v>7.2952857698571441</c:v>
                </c:pt>
                <c:pt idx="186">
                  <c:v>7.5452858379999999</c:v>
                </c:pt>
                <c:pt idx="187">
                  <c:v>7.1267142297142865</c:v>
                </c:pt>
                <c:pt idx="188">
                  <c:v>6.828428472791396</c:v>
                </c:pt>
                <c:pt idx="189">
                  <c:v>6.6690000125714279</c:v>
                </c:pt>
                <c:pt idx="190">
                  <c:v>6.6477142742857138</c:v>
                </c:pt>
                <c:pt idx="191">
                  <c:v>6.0071428843906904</c:v>
                </c:pt>
                <c:pt idx="192">
                  <c:v>6.0528572627476231</c:v>
                </c:pt>
                <c:pt idx="193">
                  <c:v>5.992857115609298</c:v>
                </c:pt>
                <c:pt idx="194">
                  <c:v>6.3054285049438423</c:v>
                </c:pt>
                <c:pt idx="195">
                  <c:v>7.6855713981428568</c:v>
                </c:pt>
                <c:pt idx="196">
                  <c:v>7.8047143392857157</c:v>
                </c:pt>
                <c:pt idx="197">
                  <c:v>6.762428624428571</c:v>
                </c:pt>
                <c:pt idx="198">
                  <c:v>7.8334286553519048</c:v>
                </c:pt>
                <c:pt idx="199">
                  <c:v>6.4934286387142857</c:v>
                </c:pt>
                <c:pt idx="200">
                  <c:v>5.6301428931428577</c:v>
                </c:pt>
              </c:numCache>
            </c:numRef>
          </c:val>
          <c:extLst>
            <c:ext xmlns:c16="http://schemas.microsoft.com/office/drawing/2014/chart" uri="{C3380CC4-5D6E-409C-BE32-E72D297353CC}">
              <c16:uniqueId val="{00000002-B34C-4256-AD7D-0647565F6528}"/>
            </c:ext>
          </c:extLst>
        </c:ser>
        <c:dLbls>
          <c:showLegendKey val="0"/>
          <c:showVal val="0"/>
          <c:showCatName val="0"/>
          <c:showSerName val="0"/>
          <c:showPercent val="0"/>
          <c:showBubbleSize val="0"/>
        </c:dLbls>
        <c:axId val="351297536"/>
        <c:axId val="351299456"/>
      </c:areaChart>
      <c:catAx>
        <c:axId val="351297536"/>
        <c:scaling>
          <c:orientation val="minMax"/>
        </c:scaling>
        <c:delete val="0"/>
        <c:axPos val="b"/>
        <c:title>
          <c:tx>
            <c:rich>
              <a:bodyPr/>
              <a:lstStyle/>
              <a:p>
                <a:pPr>
                  <a:defRPr/>
                </a:pPr>
                <a:r>
                  <a:rPr lang="en-US"/>
                  <a:t>Semanas</a:t>
                </a:r>
              </a:p>
            </c:rich>
          </c:tx>
          <c:layout>
            <c:manualLayout>
              <c:xMode val="edge"/>
              <c:yMode val="edge"/>
              <c:x val="0.9091738907841429"/>
              <c:y val="0.9448088370339609"/>
            </c:manualLayout>
          </c:layout>
          <c:overlay val="0"/>
        </c:title>
        <c:numFmt formatCode="General" sourceLinked="1"/>
        <c:majorTickMark val="out"/>
        <c:minorTickMark val="none"/>
        <c:tickLblPos val="nextTo"/>
        <c:txPr>
          <a:bodyPr/>
          <a:lstStyle/>
          <a:p>
            <a:pPr>
              <a:defRPr kern="2000" spc="-100" baseline="0"/>
            </a:pPr>
            <a:endParaRPr lang="es-PE"/>
          </a:p>
        </c:txPr>
        <c:crossAx val="351299456"/>
        <c:crosses val="autoZero"/>
        <c:auto val="1"/>
        <c:lblAlgn val="ctr"/>
        <c:lblOffset val="100"/>
        <c:noMultiLvlLbl val="0"/>
      </c:catAx>
      <c:valAx>
        <c:axId val="351299456"/>
        <c:scaling>
          <c:orientation val="minMax"/>
        </c:scaling>
        <c:delete val="0"/>
        <c:axPos val="l"/>
        <c:majorGridlines/>
        <c:title>
          <c:tx>
            <c:rich>
              <a:bodyPr rot="0" vert="horz"/>
              <a:lstStyle/>
              <a:p>
                <a:pPr>
                  <a:defRPr/>
                </a:pPr>
                <a:r>
                  <a:rPr lang="en-US"/>
                  <a:t>m3/s</a:t>
                </a:r>
              </a:p>
            </c:rich>
          </c:tx>
          <c:layout>
            <c:manualLayout>
              <c:xMode val="edge"/>
              <c:yMode val="edge"/>
              <c:x val="7.826885561442223E-3"/>
              <c:y val="8.1785800036393116E-2"/>
            </c:manualLayout>
          </c:layout>
          <c:overlay val="0"/>
        </c:title>
        <c:numFmt formatCode="0" sourceLinked="0"/>
        <c:majorTickMark val="out"/>
        <c:minorTickMark val="none"/>
        <c:tickLblPos val="nextTo"/>
        <c:crossAx val="351297536"/>
        <c:crosses val="autoZero"/>
        <c:crossBetween val="midCat"/>
      </c:valAx>
    </c:plotArea>
    <c:legend>
      <c:legendPos val="t"/>
      <c:layout>
        <c:manualLayout>
          <c:xMode val="edge"/>
          <c:yMode val="edge"/>
          <c:x val="0.52348384361815492"/>
          <c:y val="0.11450845005374818"/>
          <c:w val="0.33267347813702164"/>
          <c:h val="6.8401119877462155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paperSize="9"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800"/>
            </a:pPr>
            <a:r>
              <a:rPr lang="en-US" sz="800"/>
              <a:t>CAUDALES LAS CUENCAS DE CHILI, ARICOTA , VILCANOTA Y SAN GABÁN </a:t>
            </a:r>
          </a:p>
        </c:rich>
      </c:tx>
      <c:layout>
        <c:manualLayout>
          <c:xMode val="edge"/>
          <c:yMode val="edge"/>
          <c:x val="0.14200237719103209"/>
          <c:y val="9.1839217170351954E-4"/>
        </c:manualLayout>
      </c:layout>
      <c:overlay val="1"/>
    </c:title>
    <c:autoTitleDeleted val="0"/>
    <c:plotArea>
      <c:layout>
        <c:manualLayout>
          <c:layoutTarget val="inner"/>
          <c:xMode val="edge"/>
          <c:yMode val="edge"/>
          <c:x val="5.2925334267377382E-2"/>
          <c:y val="0.15493728093999826"/>
          <c:w val="0.9177940934877804"/>
          <c:h val="0.60424765236648292"/>
        </c:manualLayout>
      </c:layout>
      <c:areaChart>
        <c:grouping val="standard"/>
        <c:varyColors val="0"/>
        <c:ser>
          <c:idx val="2"/>
          <c:order val="0"/>
          <c:tx>
            <c:strRef>
              <c:f>'13.Caudales'!$V$3</c:f>
              <c:strCache>
                <c:ptCount val="1"/>
                <c:pt idx="0">
                  <c:v>TURBINADO CHARCANI V</c:v>
                </c:pt>
              </c:strCache>
            </c:strRef>
          </c:tx>
          <c:spPr>
            <a:solidFill>
              <a:schemeClr val="accent5">
                <a:lumMod val="50000"/>
              </a:schemeClr>
            </a:solidFill>
          </c:spPr>
          <c:cat>
            <c:multiLvlStrRef>
              <c:f>'13.Caudales'!$N$4:$O$204</c:f>
              <c:multiLvlStrCache>
                <c:ptCount val="201"/>
                <c:lvl>
                  <c:pt idx="0">
                    <c:v>1</c:v>
                  </c:pt>
                  <c:pt idx="7">
                    <c:v>8</c:v>
                  </c:pt>
                  <c:pt idx="15">
                    <c:v>16</c:v>
                  </c:pt>
                  <c:pt idx="23">
                    <c:v>24</c:v>
                  </c:pt>
                  <c:pt idx="31">
                    <c:v>32</c:v>
                  </c:pt>
                  <c:pt idx="38">
                    <c:v>39</c:v>
                  </c:pt>
                  <c:pt idx="47">
                    <c:v>48</c:v>
                  </c:pt>
                  <c:pt idx="51">
                    <c:v>52</c:v>
                  </c:pt>
                  <c:pt idx="52">
                    <c:v>1</c:v>
                  </c:pt>
                  <c:pt idx="59">
                    <c:v>8</c:v>
                  </c:pt>
                  <c:pt idx="67">
                    <c:v>16</c:v>
                  </c:pt>
                  <c:pt idx="75">
                    <c:v>24</c:v>
                  </c:pt>
                  <c:pt idx="83">
                    <c:v>32</c:v>
                  </c:pt>
                  <c:pt idx="91">
                    <c:v>40</c:v>
                  </c:pt>
                  <c:pt idx="99">
                    <c:v>48</c:v>
                  </c:pt>
                  <c:pt idx="103">
                    <c:v>52</c:v>
                  </c:pt>
                  <c:pt idx="104">
                    <c:v>1</c:v>
                  </c:pt>
                  <c:pt idx="111">
                    <c:v>8</c:v>
                  </c:pt>
                  <c:pt idx="119">
                    <c:v>16</c:v>
                  </c:pt>
                  <c:pt idx="129">
                    <c:v>26</c:v>
                  </c:pt>
                  <c:pt idx="139">
                    <c:v>36</c:v>
                  </c:pt>
                  <c:pt idx="147">
                    <c:v>44</c:v>
                  </c:pt>
                  <c:pt idx="156">
                    <c:v>53</c:v>
                  </c:pt>
                  <c:pt idx="164">
                    <c:v>8</c:v>
                  </c:pt>
                  <c:pt idx="172">
                    <c:v>16</c:v>
                  </c:pt>
                  <c:pt idx="180">
                    <c:v>24</c:v>
                  </c:pt>
                  <c:pt idx="188">
                    <c:v>32</c:v>
                  </c:pt>
                  <c:pt idx="196">
                    <c:v>40</c:v>
                  </c:pt>
                  <c:pt idx="200">
                    <c:v>44</c:v>
                  </c:pt>
                </c:lvl>
                <c:lvl>
                  <c:pt idx="0">
                    <c:v>2017</c:v>
                  </c:pt>
                  <c:pt idx="52">
                    <c:v>2018</c:v>
                  </c:pt>
                  <c:pt idx="104">
                    <c:v>2019</c:v>
                  </c:pt>
                  <c:pt idx="157">
                    <c:v>2020</c:v>
                  </c:pt>
                </c:lvl>
              </c:multiLvlStrCache>
            </c:multiLvlStrRef>
          </c:cat>
          <c:val>
            <c:numRef>
              <c:f>'13.Caudales'!$V$4:$V$204</c:f>
              <c:numCache>
                <c:formatCode>0.0</c:formatCode>
                <c:ptCount val="201"/>
                <c:pt idx="0">
                  <c:v>10.220000000000001</c:v>
                </c:pt>
                <c:pt idx="1">
                  <c:v>10.17</c:v>
                </c:pt>
                <c:pt idx="2">
                  <c:v>10</c:v>
                </c:pt>
                <c:pt idx="3">
                  <c:v>10</c:v>
                </c:pt>
                <c:pt idx="4">
                  <c:v>11.41</c:v>
                </c:pt>
                <c:pt idx="5">
                  <c:v>10.57</c:v>
                </c:pt>
                <c:pt idx="6">
                  <c:v>10</c:v>
                </c:pt>
                <c:pt idx="7">
                  <c:v>9.58</c:v>
                </c:pt>
                <c:pt idx="8">
                  <c:v>9.01</c:v>
                </c:pt>
                <c:pt idx="9">
                  <c:v>10.06</c:v>
                </c:pt>
                <c:pt idx="10">
                  <c:v>26.15</c:v>
                </c:pt>
                <c:pt idx="11">
                  <c:v>12.43</c:v>
                </c:pt>
                <c:pt idx="12">
                  <c:v>11.98</c:v>
                </c:pt>
                <c:pt idx="13">
                  <c:v>28.72</c:v>
                </c:pt>
                <c:pt idx="14">
                  <c:v>16.28</c:v>
                </c:pt>
                <c:pt idx="15">
                  <c:v>15.43</c:v>
                </c:pt>
                <c:pt idx="16">
                  <c:v>12.29</c:v>
                </c:pt>
                <c:pt idx="17">
                  <c:v>11.64</c:v>
                </c:pt>
                <c:pt idx="18">
                  <c:v>11</c:v>
                </c:pt>
                <c:pt idx="19">
                  <c:v>11</c:v>
                </c:pt>
                <c:pt idx="20">
                  <c:v>11.01</c:v>
                </c:pt>
                <c:pt idx="21">
                  <c:v>11</c:v>
                </c:pt>
                <c:pt idx="22">
                  <c:v>11</c:v>
                </c:pt>
                <c:pt idx="23">
                  <c:v>11</c:v>
                </c:pt>
                <c:pt idx="24">
                  <c:v>11</c:v>
                </c:pt>
                <c:pt idx="25">
                  <c:v>12</c:v>
                </c:pt>
                <c:pt idx="26">
                  <c:v>12</c:v>
                </c:pt>
                <c:pt idx="27">
                  <c:v>12</c:v>
                </c:pt>
                <c:pt idx="28">
                  <c:v>10.51</c:v>
                </c:pt>
                <c:pt idx="29">
                  <c:v>12</c:v>
                </c:pt>
                <c:pt idx="30">
                  <c:v>12</c:v>
                </c:pt>
                <c:pt idx="31">
                  <c:v>12</c:v>
                </c:pt>
                <c:pt idx="32">
                  <c:v>12</c:v>
                </c:pt>
                <c:pt idx="33">
                  <c:v>12</c:v>
                </c:pt>
                <c:pt idx="34">
                  <c:v>12.14</c:v>
                </c:pt>
                <c:pt idx="35">
                  <c:v>13</c:v>
                </c:pt>
                <c:pt idx="36">
                  <c:v>13</c:v>
                </c:pt>
                <c:pt idx="37">
                  <c:v>13</c:v>
                </c:pt>
                <c:pt idx="38">
                  <c:v>13</c:v>
                </c:pt>
                <c:pt idx="39">
                  <c:v>13</c:v>
                </c:pt>
                <c:pt idx="40">
                  <c:v>13</c:v>
                </c:pt>
                <c:pt idx="41">
                  <c:v>13</c:v>
                </c:pt>
                <c:pt idx="42">
                  <c:v>13</c:v>
                </c:pt>
                <c:pt idx="43">
                  <c:v>13</c:v>
                </c:pt>
                <c:pt idx="44">
                  <c:v>13</c:v>
                </c:pt>
                <c:pt idx="45">
                  <c:v>13</c:v>
                </c:pt>
                <c:pt idx="46">
                  <c:v>13</c:v>
                </c:pt>
                <c:pt idx="47">
                  <c:v>13.005714417142858</c:v>
                </c:pt>
                <c:pt idx="48">
                  <c:v>13.002857208571429</c:v>
                </c:pt>
                <c:pt idx="49">
                  <c:v>13</c:v>
                </c:pt>
                <c:pt idx="50">
                  <c:v>13.01285743857143</c:v>
                </c:pt>
                <c:pt idx="51">
                  <c:v>13.09681579142857</c:v>
                </c:pt>
                <c:pt idx="52">
                  <c:v>13</c:v>
                </c:pt>
                <c:pt idx="53">
                  <c:v>11.774285724285715</c:v>
                </c:pt>
                <c:pt idx="54">
                  <c:v>11.857142857142858</c:v>
                </c:pt>
                <c:pt idx="55">
                  <c:v>18.734285627142857</c:v>
                </c:pt>
                <c:pt idx="56">
                  <c:v>23.390000208571426</c:v>
                </c:pt>
                <c:pt idx="57">
                  <c:v>20.201017107142857</c:v>
                </c:pt>
                <c:pt idx="58">
                  <c:v>15.283185821428571</c:v>
                </c:pt>
                <c:pt idx="59">
                  <c:v>16.564</c:v>
                </c:pt>
                <c:pt idx="60">
                  <c:v>15.852976190476195</c:v>
                </c:pt>
                <c:pt idx="61">
                  <c:v>14.442</c:v>
                </c:pt>
                <c:pt idx="62">
                  <c:v>18.273</c:v>
                </c:pt>
                <c:pt idx="63">
                  <c:v>23.244</c:v>
                </c:pt>
                <c:pt idx="64">
                  <c:v>23.143392837142859</c:v>
                </c:pt>
                <c:pt idx="65">
                  <c:v>19.16</c:v>
                </c:pt>
                <c:pt idx="66">
                  <c:v>14.377143042857142</c:v>
                </c:pt>
                <c:pt idx="67">
                  <c:v>12.36</c:v>
                </c:pt>
                <c:pt idx="68">
                  <c:v>13.4</c:v>
                </c:pt>
                <c:pt idx="69">
                  <c:v>12.785805702857145</c:v>
                </c:pt>
                <c:pt idx="70">
                  <c:v>11.328391347142857</c:v>
                </c:pt>
                <c:pt idx="71">
                  <c:v>10.899261474285714</c:v>
                </c:pt>
                <c:pt idx="72">
                  <c:v>11.166911400000002</c:v>
                </c:pt>
                <c:pt idx="73">
                  <c:v>10.57333578442857</c:v>
                </c:pt>
                <c:pt idx="74">
                  <c:v>11.341294289999999</c:v>
                </c:pt>
                <c:pt idx="75">
                  <c:v>11.96411841142857</c:v>
                </c:pt>
                <c:pt idx="76">
                  <c:v>11.79</c:v>
                </c:pt>
                <c:pt idx="77">
                  <c:v>10.93</c:v>
                </c:pt>
                <c:pt idx="78">
                  <c:v>12.51</c:v>
                </c:pt>
                <c:pt idx="79">
                  <c:v>12.3</c:v>
                </c:pt>
                <c:pt idx="80">
                  <c:v>12.245714285714286</c:v>
                </c:pt>
                <c:pt idx="81">
                  <c:v>10.995952741142858</c:v>
                </c:pt>
                <c:pt idx="82">
                  <c:v>13.18</c:v>
                </c:pt>
                <c:pt idx="83">
                  <c:v>10.850328444285712</c:v>
                </c:pt>
                <c:pt idx="84">
                  <c:v>10.84</c:v>
                </c:pt>
                <c:pt idx="85">
                  <c:v>10.534582955714285</c:v>
                </c:pt>
                <c:pt idx="86">
                  <c:v>10.92</c:v>
                </c:pt>
                <c:pt idx="87">
                  <c:v>11.091428571428571</c:v>
                </c:pt>
                <c:pt idx="88">
                  <c:v>10.825238499999999</c:v>
                </c:pt>
                <c:pt idx="89">
                  <c:v>11.159824370000001</c:v>
                </c:pt>
                <c:pt idx="90">
                  <c:v>11.33</c:v>
                </c:pt>
                <c:pt idx="91">
                  <c:v>11.565001485714285</c:v>
                </c:pt>
                <c:pt idx="92">
                  <c:v>12.740178653172041</c:v>
                </c:pt>
                <c:pt idx="93">
                  <c:v>11.792381422860229</c:v>
                </c:pt>
                <c:pt idx="94">
                  <c:v>12.0416071755545</c:v>
                </c:pt>
                <c:pt idx="95">
                  <c:v>12.188929967142856</c:v>
                </c:pt>
                <c:pt idx="96">
                  <c:v>13</c:v>
                </c:pt>
                <c:pt idx="97">
                  <c:v>13.001428571428571</c:v>
                </c:pt>
                <c:pt idx="98">
                  <c:v>12.142405645714286</c:v>
                </c:pt>
                <c:pt idx="99">
                  <c:v>11.975262778571429</c:v>
                </c:pt>
                <c:pt idx="100">
                  <c:v>12.26</c:v>
                </c:pt>
                <c:pt idx="101">
                  <c:v>13.001428604285715</c:v>
                </c:pt>
                <c:pt idx="102">
                  <c:v>12.257142857142856</c:v>
                </c:pt>
                <c:pt idx="103">
                  <c:v>12.222315514285714</c:v>
                </c:pt>
                <c:pt idx="104">
                  <c:v>11.571904317142856</c:v>
                </c:pt>
                <c:pt idx="105">
                  <c:v>11.570298602857141</c:v>
                </c:pt>
                <c:pt idx="106">
                  <c:v>11.28</c:v>
                </c:pt>
                <c:pt idx="107">
                  <c:v>11.843988554285716</c:v>
                </c:pt>
                <c:pt idx="108">
                  <c:v>12.496724401428571</c:v>
                </c:pt>
                <c:pt idx="109">
                  <c:v>12.744285714285715</c:v>
                </c:pt>
                <c:pt idx="110">
                  <c:v>23.841369902857146</c:v>
                </c:pt>
                <c:pt idx="111">
                  <c:v>23.894881112857146</c:v>
                </c:pt>
                <c:pt idx="112">
                  <c:v>22.406962801428573</c:v>
                </c:pt>
                <c:pt idx="113">
                  <c:v>23.828572680000001</c:v>
                </c:pt>
                <c:pt idx="114">
                  <c:v>23.809881482805473</c:v>
                </c:pt>
                <c:pt idx="115">
                  <c:v>19.572964258571432</c:v>
                </c:pt>
                <c:pt idx="116">
                  <c:v>12.582738467142859</c:v>
                </c:pt>
                <c:pt idx="117">
                  <c:v>21.303751674285714</c:v>
                </c:pt>
                <c:pt idx="118">
                  <c:v>17.810774395714287</c:v>
                </c:pt>
                <c:pt idx="119">
                  <c:v>12.210951395714286</c:v>
                </c:pt>
                <c:pt idx="120">
                  <c:v>12.949641501428573</c:v>
                </c:pt>
                <c:pt idx="121">
                  <c:v>11.493274145714285</c:v>
                </c:pt>
                <c:pt idx="122">
                  <c:v>10.883738517142858</c:v>
                </c:pt>
                <c:pt idx="123">
                  <c:v>11.153748650000001</c:v>
                </c:pt>
                <c:pt idx="124">
                  <c:v>12</c:v>
                </c:pt>
                <c:pt idx="125">
                  <c:v>10.442797251571431</c:v>
                </c:pt>
                <c:pt idx="126">
                  <c:v>10.979225701428572</c:v>
                </c:pt>
                <c:pt idx="127">
                  <c:v>11.096784181428571</c:v>
                </c:pt>
                <c:pt idx="128">
                  <c:v>10.461965969999998</c:v>
                </c:pt>
                <c:pt idx="129">
                  <c:v>11.259941372857144</c:v>
                </c:pt>
                <c:pt idx="130">
                  <c:v>10.758154460361988</c:v>
                </c:pt>
                <c:pt idx="131">
                  <c:v>11.139168601428571</c:v>
                </c:pt>
                <c:pt idx="132">
                  <c:v>10.810358456202879</c:v>
                </c:pt>
                <c:pt idx="133">
                  <c:v>12.61</c:v>
                </c:pt>
                <c:pt idx="134">
                  <c:v>12.322975702857141</c:v>
                </c:pt>
                <c:pt idx="135">
                  <c:v>12.551451548571427</c:v>
                </c:pt>
                <c:pt idx="136">
                  <c:v>12.137084417142857</c:v>
                </c:pt>
                <c:pt idx="137">
                  <c:v>12.034524235714285</c:v>
                </c:pt>
                <c:pt idx="138">
                  <c:v>12.041607177142856</c:v>
                </c:pt>
                <c:pt idx="139">
                  <c:v>12.055594308571429</c:v>
                </c:pt>
                <c:pt idx="140">
                  <c:v>12.130952835714286</c:v>
                </c:pt>
                <c:pt idx="141">
                  <c:v>12.194285714285716</c:v>
                </c:pt>
                <c:pt idx="142">
                  <c:v>12.167024339948341</c:v>
                </c:pt>
                <c:pt idx="143">
                  <c:v>12.594642775714282</c:v>
                </c:pt>
                <c:pt idx="144">
                  <c:v>13.274107117142858</c:v>
                </c:pt>
                <c:pt idx="145">
                  <c:v>13.001428571428571</c:v>
                </c:pt>
                <c:pt idx="146">
                  <c:v>13.139822822857143</c:v>
                </c:pt>
                <c:pt idx="147">
                  <c:v>13.275356975714287</c:v>
                </c:pt>
                <c:pt idx="148">
                  <c:v>14</c:v>
                </c:pt>
                <c:pt idx="149">
                  <c:v>14.050535747142858</c:v>
                </c:pt>
                <c:pt idx="150">
                  <c:v>13.985775811428573</c:v>
                </c:pt>
                <c:pt idx="151">
                  <c:v>13.781128474285714</c:v>
                </c:pt>
                <c:pt idx="152">
                  <c:v>13.148691448571428</c:v>
                </c:pt>
                <c:pt idx="153">
                  <c:v>12.61392865857143</c:v>
                </c:pt>
                <c:pt idx="154">
                  <c:v>12.600475584285714</c:v>
                </c:pt>
                <c:pt idx="155">
                  <c:v>12.617798667142859</c:v>
                </c:pt>
                <c:pt idx="156">
                  <c:v>12.85226127</c:v>
                </c:pt>
                <c:pt idx="157">
                  <c:v>14.514315741402715</c:v>
                </c:pt>
                <c:pt idx="158">
                  <c:v>13.21958133142857</c:v>
                </c:pt>
                <c:pt idx="159">
                  <c:v>16.855534282857143</c:v>
                </c:pt>
                <c:pt idx="160">
                  <c:v>22.011848449999999</c:v>
                </c:pt>
                <c:pt idx="161">
                  <c:v>14.496191432857142</c:v>
                </c:pt>
                <c:pt idx="162">
                  <c:v>17.659045491899729</c:v>
                </c:pt>
                <c:pt idx="163">
                  <c:v>23.642735891428568</c:v>
                </c:pt>
                <c:pt idx="164">
                  <c:v>23.681545802525072</c:v>
                </c:pt>
                <c:pt idx="165">
                  <c:v>23.625475747142854</c:v>
                </c:pt>
                <c:pt idx="166">
                  <c:v>23.72583552857143</c:v>
                </c:pt>
                <c:pt idx="167">
                  <c:v>23.714347295714287</c:v>
                </c:pt>
                <c:pt idx="168">
                  <c:v>23.623331614903002</c:v>
                </c:pt>
                <c:pt idx="169">
                  <c:v>22.128154209681874</c:v>
                </c:pt>
                <c:pt idx="170">
                  <c:v>21.36</c:v>
                </c:pt>
                <c:pt idx="171" formatCode="0.00">
                  <c:v>23.601429802857144</c:v>
                </c:pt>
                <c:pt idx="172">
                  <c:v>16.145714351428573</c:v>
                </c:pt>
                <c:pt idx="173">
                  <c:v>14.007261548723459</c:v>
                </c:pt>
                <c:pt idx="174">
                  <c:v>12.484048571428572</c:v>
                </c:pt>
                <c:pt idx="175">
                  <c:v>11.436902861999998</c:v>
                </c:pt>
                <c:pt idx="176">
                  <c:v>12.01881</c:v>
                </c:pt>
                <c:pt idx="177">
                  <c:v>11.963334356035457</c:v>
                </c:pt>
                <c:pt idx="178">
                  <c:v>11.972144264285713</c:v>
                </c:pt>
                <c:pt idx="179">
                  <c:v>12.060297148571431</c:v>
                </c:pt>
                <c:pt idx="180">
                  <c:v>12.025059972490542</c:v>
                </c:pt>
                <c:pt idx="181">
                  <c:v>11.867550168571428</c:v>
                </c:pt>
                <c:pt idx="182">
                  <c:v>11.961507115714285</c:v>
                </c:pt>
                <c:pt idx="183">
                  <c:v>12.125935554504371</c:v>
                </c:pt>
                <c:pt idx="184">
                  <c:v>12.036131450000001</c:v>
                </c:pt>
                <c:pt idx="185">
                  <c:v>12.01250158142857</c:v>
                </c:pt>
                <c:pt idx="186">
                  <c:v>12.065415654285715</c:v>
                </c:pt>
                <c:pt idx="187">
                  <c:v>12.064045632857143</c:v>
                </c:pt>
                <c:pt idx="188">
                  <c:v>11.89809417724604</c:v>
                </c:pt>
                <c:pt idx="189">
                  <c:v>11.954105787142856</c:v>
                </c:pt>
                <c:pt idx="190">
                  <c:v>11.958392961428572</c:v>
                </c:pt>
                <c:pt idx="191">
                  <c:v>12.309941428048228</c:v>
                </c:pt>
                <c:pt idx="192">
                  <c:v>12.697084290640644</c:v>
                </c:pt>
                <c:pt idx="193">
                  <c:v>12.722499983651257</c:v>
                </c:pt>
                <c:pt idx="194">
                  <c:v>12.757261548723429</c:v>
                </c:pt>
                <c:pt idx="195">
                  <c:v>12.744882855714284</c:v>
                </c:pt>
                <c:pt idx="196">
                  <c:v>13.59601129857143</c:v>
                </c:pt>
                <c:pt idx="197">
                  <c:v>13.258037294285714</c:v>
                </c:pt>
                <c:pt idx="198">
                  <c:v>12.748987061636742</c:v>
                </c:pt>
                <c:pt idx="199">
                  <c:v>12.771309988571426</c:v>
                </c:pt>
                <c:pt idx="200">
                  <c:v>13.156308445714286</c:v>
                </c:pt>
              </c:numCache>
            </c:numRef>
          </c:val>
          <c:extLst>
            <c:ext xmlns:c16="http://schemas.microsoft.com/office/drawing/2014/chart" uri="{C3380CC4-5D6E-409C-BE32-E72D297353CC}">
              <c16:uniqueId val="{00000000-4386-4F80-BA11-24E7324C05B4}"/>
            </c:ext>
          </c:extLst>
        </c:ser>
        <c:ser>
          <c:idx val="3"/>
          <c:order val="1"/>
          <c:tx>
            <c:strRef>
              <c:f>'13.Caudales'!$W$3</c:f>
              <c:strCache>
                <c:ptCount val="1"/>
                <c:pt idx="0">
                  <c:v>INGRESO ARICOTA</c:v>
                </c:pt>
              </c:strCache>
            </c:strRef>
          </c:tx>
          <c:spPr>
            <a:solidFill>
              <a:schemeClr val="accent5"/>
            </a:solidFill>
          </c:spPr>
          <c:cat>
            <c:multiLvlStrRef>
              <c:f>'13.Caudales'!$N$4:$O$204</c:f>
              <c:multiLvlStrCache>
                <c:ptCount val="201"/>
                <c:lvl>
                  <c:pt idx="0">
                    <c:v>1</c:v>
                  </c:pt>
                  <c:pt idx="7">
                    <c:v>8</c:v>
                  </c:pt>
                  <c:pt idx="15">
                    <c:v>16</c:v>
                  </c:pt>
                  <c:pt idx="23">
                    <c:v>24</c:v>
                  </c:pt>
                  <c:pt idx="31">
                    <c:v>32</c:v>
                  </c:pt>
                  <c:pt idx="38">
                    <c:v>39</c:v>
                  </c:pt>
                  <c:pt idx="47">
                    <c:v>48</c:v>
                  </c:pt>
                  <c:pt idx="51">
                    <c:v>52</c:v>
                  </c:pt>
                  <c:pt idx="52">
                    <c:v>1</c:v>
                  </c:pt>
                  <c:pt idx="59">
                    <c:v>8</c:v>
                  </c:pt>
                  <c:pt idx="67">
                    <c:v>16</c:v>
                  </c:pt>
                  <c:pt idx="75">
                    <c:v>24</c:v>
                  </c:pt>
                  <c:pt idx="83">
                    <c:v>32</c:v>
                  </c:pt>
                  <c:pt idx="91">
                    <c:v>40</c:v>
                  </c:pt>
                  <c:pt idx="99">
                    <c:v>48</c:v>
                  </c:pt>
                  <c:pt idx="103">
                    <c:v>52</c:v>
                  </c:pt>
                  <c:pt idx="104">
                    <c:v>1</c:v>
                  </c:pt>
                  <c:pt idx="111">
                    <c:v>8</c:v>
                  </c:pt>
                  <c:pt idx="119">
                    <c:v>16</c:v>
                  </c:pt>
                  <c:pt idx="129">
                    <c:v>26</c:v>
                  </c:pt>
                  <c:pt idx="139">
                    <c:v>36</c:v>
                  </c:pt>
                  <c:pt idx="147">
                    <c:v>44</c:v>
                  </c:pt>
                  <c:pt idx="156">
                    <c:v>53</c:v>
                  </c:pt>
                  <c:pt idx="164">
                    <c:v>8</c:v>
                  </c:pt>
                  <c:pt idx="172">
                    <c:v>16</c:v>
                  </c:pt>
                  <c:pt idx="180">
                    <c:v>24</c:v>
                  </c:pt>
                  <c:pt idx="188">
                    <c:v>32</c:v>
                  </c:pt>
                  <c:pt idx="196">
                    <c:v>40</c:v>
                  </c:pt>
                  <c:pt idx="200">
                    <c:v>44</c:v>
                  </c:pt>
                </c:lvl>
                <c:lvl>
                  <c:pt idx="0">
                    <c:v>2017</c:v>
                  </c:pt>
                  <c:pt idx="52">
                    <c:v>2018</c:v>
                  </c:pt>
                  <c:pt idx="104">
                    <c:v>2019</c:v>
                  </c:pt>
                  <c:pt idx="157">
                    <c:v>2020</c:v>
                  </c:pt>
                </c:lvl>
              </c:multiLvlStrCache>
            </c:multiLvlStrRef>
          </c:cat>
          <c:val>
            <c:numRef>
              <c:f>'13.Caudales'!$W$4:$W$204</c:f>
              <c:numCache>
                <c:formatCode>0.0</c:formatCode>
                <c:ptCount val="201"/>
                <c:pt idx="0">
                  <c:v>3.28</c:v>
                </c:pt>
                <c:pt idx="1">
                  <c:v>6.45</c:v>
                </c:pt>
                <c:pt idx="2">
                  <c:v>9.0500000000000007</c:v>
                </c:pt>
                <c:pt idx="3">
                  <c:v>2.4300000000000002</c:v>
                </c:pt>
                <c:pt idx="4">
                  <c:v>2.87</c:v>
                </c:pt>
                <c:pt idx="5">
                  <c:v>3.01</c:v>
                </c:pt>
                <c:pt idx="6">
                  <c:v>2.88</c:v>
                </c:pt>
                <c:pt idx="7">
                  <c:v>2.0699999999999998</c:v>
                </c:pt>
                <c:pt idx="8">
                  <c:v>7.33</c:v>
                </c:pt>
                <c:pt idx="9">
                  <c:v>3.71</c:v>
                </c:pt>
                <c:pt idx="10">
                  <c:v>8.66</c:v>
                </c:pt>
                <c:pt idx="11">
                  <c:v>5.63</c:v>
                </c:pt>
                <c:pt idx="12">
                  <c:v>5.83</c:v>
                </c:pt>
                <c:pt idx="13">
                  <c:v>4.95</c:v>
                </c:pt>
                <c:pt idx="14">
                  <c:v>1.82</c:v>
                </c:pt>
                <c:pt idx="15">
                  <c:v>2.33</c:v>
                </c:pt>
                <c:pt idx="16">
                  <c:v>1.9</c:v>
                </c:pt>
                <c:pt idx="17">
                  <c:v>1.46</c:v>
                </c:pt>
                <c:pt idx="18">
                  <c:v>1.36</c:v>
                </c:pt>
                <c:pt idx="19">
                  <c:v>1.98</c:v>
                </c:pt>
                <c:pt idx="20">
                  <c:v>1.6</c:v>
                </c:pt>
                <c:pt idx="21">
                  <c:v>1.01</c:v>
                </c:pt>
                <c:pt idx="22">
                  <c:v>1.82</c:v>
                </c:pt>
                <c:pt idx="23">
                  <c:v>1.89</c:v>
                </c:pt>
                <c:pt idx="24">
                  <c:v>1.77</c:v>
                </c:pt>
                <c:pt idx="25">
                  <c:v>1.86</c:v>
                </c:pt>
                <c:pt idx="26">
                  <c:v>1.9</c:v>
                </c:pt>
                <c:pt idx="27">
                  <c:v>1.65</c:v>
                </c:pt>
                <c:pt idx="28">
                  <c:v>1.79</c:v>
                </c:pt>
                <c:pt idx="29">
                  <c:v>1.64</c:v>
                </c:pt>
                <c:pt idx="30">
                  <c:v>1.87</c:v>
                </c:pt>
                <c:pt idx="31">
                  <c:v>1.95</c:v>
                </c:pt>
                <c:pt idx="32">
                  <c:v>1.82</c:v>
                </c:pt>
                <c:pt idx="33">
                  <c:v>1.89</c:v>
                </c:pt>
                <c:pt idx="34">
                  <c:v>1.97</c:v>
                </c:pt>
                <c:pt idx="35">
                  <c:v>1.76</c:v>
                </c:pt>
                <c:pt idx="36">
                  <c:v>1.7</c:v>
                </c:pt>
                <c:pt idx="37">
                  <c:v>1.77</c:v>
                </c:pt>
                <c:pt idx="38">
                  <c:v>1.99</c:v>
                </c:pt>
                <c:pt idx="39">
                  <c:v>1.48</c:v>
                </c:pt>
                <c:pt idx="40">
                  <c:v>1.53</c:v>
                </c:pt>
                <c:pt idx="41">
                  <c:v>1.93</c:v>
                </c:pt>
                <c:pt idx="42">
                  <c:v>1.69</c:v>
                </c:pt>
                <c:pt idx="43">
                  <c:v>1.65</c:v>
                </c:pt>
                <c:pt idx="44">
                  <c:v>1.51</c:v>
                </c:pt>
                <c:pt idx="45">
                  <c:v>1.65</c:v>
                </c:pt>
                <c:pt idx="46">
                  <c:v>1.6</c:v>
                </c:pt>
                <c:pt idx="47">
                  <c:v>1.6</c:v>
                </c:pt>
                <c:pt idx="48">
                  <c:v>1.6</c:v>
                </c:pt>
                <c:pt idx="49">
                  <c:v>1.6000000240000001</c:v>
                </c:pt>
                <c:pt idx="50">
                  <c:v>1.6257142851428572</c:v>
                </c:pt>
                <c:pt idx="51">
                  <c:v>1.644999981</c:v>
                </c:pt>
                <c:pt idx="52">
                  <c:v>1.64</c:v>
                </c:pt>
                <c:pt idx="53">
                  <c:v>1.5914286031428568</c:v>
                </c:pt>
                <c:pt idx="54">
                  <c:v>1.5814286125714285</c:v>
                </c:pt>
                <c:pt idx="55">
                  <c:v>1.5700000519999997</c:v>
                </c:pt>
                <c:pt idx="56">
                  <c:v>1.5700000519999997</c:v>
                </c:pt>
                <c:pt idx="57">
                  <c:v>2.3694285491428571</c:v>
                </c:pt>
                <c:pt idx="58">
                  <c:v>3.1689999100000001</c:v>
                </c:pt>
                <c:pt idx="59">
                  <c:v>3.16</c:v>
                </c:pt>
                <c:pt idx="60">
                  <c:v>3.1689999100000001</c:v>
                </c:pt>
                <c:pt idx="61">
                  <c:v>4.7437142644285712</c:v>
                </c:pt>
                <c:pt idx="62">
                  <c:v>3.0879999738571429</c:v>
                </c:pt>
                <c:pt idx="63">
                  <c:v>4.5095714328571432</c:v>
                </c:pt>
                <c:pt idx="64">
                  <c:v>3.3929999999999998</c:v>
                </c:pt>
                <c:pt idx="65">
                  <c:v>1.736</c:v>
                </c:pt>
                <c:pt idx="66">
                  <c:v>1.8612856864285716</c:v>
                </c:pt>
                <c:pt idx="67">
                  <c:v>1.9</c:v>
                </c:pt>
                <c:pt idx="68">
                  <c:v>1.7940000124285713</c:v>
                </c:pt>
                <c:pt idx="69">
                  <c:v>2.3024285860000004</c:v>
                </c:pt>
                <c:pt idx="70">
                  <c:v>1.8057142665714285</c:v>
                </c:pt>
                <c:pt idx="71">
                  <c:v>1.7767143248571429</c:v>
                </c:pt>
                <c:pt idx="72">
                  <c:v>1.8437143055714282</c:v>
                </c:pt>
                <c:pt idx="73">
                  <c:v>1.8770000252857142</c:v>
                </c:pt>
                <c:pt idx="74">
                  <c:v>1.7928571701428571</c:v>
                </c:pt>
                <c:pt idx="75">
                  <c:v>2.0252857377142854</c:v>
                </c:pt>
                <c:pt idx="76">
                  <c:v>2.0514285564285717</c:v>
                </c:pt>
                <c:pt idx="77">
                  <c:v>2.1038571597142854</c:v>
                </c:pt>
                <c:pt idx="78">
                  <c:v>2.0499999999999998</c:v>
                </c:pt>
                <c:pt idx="79">
                  <c:v>2.2505714212857142</c:v>
                </c:pt>
                <c:pt idx="80">
                  <c:v>1.9771428571428571</c:v>
                </c:pt>
                <c:pt idx="81">
                  <c:v>2.2859999964285715</c:v>
                </c:pt>
                <c:pt idx="82">
                  <c:v>2</c:v>
                </c:pt>
                <c:pt idx="83">
                  <c:v>2.0667142697142857</c:v>
                </c:pt>
                <c:pt idx="84">
                  <c:v>2.0499999999999998</c:v>
                </c:pt>
                <c:pt idx="85">
                  <c:v>1.8788571358571429</c:v>
                </c:pt>
                <c:pt idx="86">
                  <c:v>1.88</c:v>
                </c:pt>
                <c:pt idx="87">
                  <c:v>1.8442857142857143</c:v>
                </c:pt>
                <c:pt idx="88">
                  <c:v>1.8114285809999999</c:v>
                </c:pt>
                <c:pt idx="89">
                  <c:v>1.8427142925714282</c:v>
                </c:pt>
                <c:pt idx="90">
                  <c:v>1.64</c:v>
                </c:pt>
                <c:pt idx="91">
                  <c:v>1.8221428395714285</c:v>
                </c:pt>
                <c:pt idx="92">
                  <c:v>1.7041428429739784</c:v>
                </c:pt>
                <c:pt idx="93">
                  <c:v>1.5524285691124997</c:v>
                </c:pt>
                <c:pt idx="94">
                  <c:v>1.585428544453207</c:v>
                </c:pt>
                <c:pt idx="95">
                  <c:v>1.6864285471428571</c:v>
                </c:pt>
                <c:pt idx="96">
                  <c:v>1.7397142818571427</c:v>
                </c:pt>
                <c:pt idx="97">
                  <c:v>1.5</c:v>
                </c:pt>
                <c:pt idx="98">
                  <c:v>1.5</c:v>
                </c:pt>
                <c:pt idx="99">
                  <c:v>1.5</c:v>
                </c:pt>
                <c:pt idx="100">
                  <c:v>1.5</c:v>
                </c:pt>
                <c:pt idx="101">
                  <c:v>1.457142846857143</c:v>
                </c:pt>
                <c:pt idx="102">
                  <c:v>1.3857142857142859</c:v>
                </c:pt>
                <c:pt idx="103">
                  <c:v>1.2999999520000001</c:v>
                </c:pt>
                <c:pt idx="104">
                  <c:v>1.2999999520000001</c:v>
                </c:pt>
                <c:pt idx="105">
                  <c:v>1.2999999520000001</c:v>
                </c:pt>
                <c:pt idx="106">
                  <c:v>1.33</c:v>
                </c:pt>
                <c:pt idx="107">
                  <c:v>3.0287143159999999</c:v>
                </c:pt>
                <c:pt idx="108">
                  <c:v>6.6928571292857146</c:v>
                </c:pt>
                <c:pt idx="109">
                  <c:v>14.464285714285714</c:v>
                </c:pt>
                <c:pt idx="110">
                  <c:v>21.059571402857141</c:v>
                </c:pt>
                <c:pt idx="111">
                  <c:v>6.8928571428571432</c:v>
                </c:pt>
                <c:pt idx="112">
                  <c:v>3.3807143142857146</c:v>
                </c:pt>
                <c:pt idx="113">
                  <c:v>2.3840000118571427</c:v>
                </c:pt>
                <c:pt idx="114">
                  <c:v>1.9291428668158341</c:v>
                </c:pt>
                <c:pt idx="115">
                  <c:v>1.7968571012857144</c:v>
                </c:pt>
                <c:pt idx="116">
                  <c:v>1.6904285634285714</c:v>
                </c:pt>
                <c:pt idx="117">
                  <c:v>1.6808571647142858</c:v>
                </c:pt>
                <c:pt idx="118">
                  <c:v>1.7205714498571432</c:v>
                </c:pt>
                <c:pt idx="119">
                  <c:v>1.789857131857143</c:v>
                </c:pt>
                <c:pt idx="120">
                  <c:v>1.6648571664285714</c:v>
                </c:pt>
                <c:pt idx="121">
                  <c:v>1.55</c:v>
                </c:pt>
                <c:pt idx="122">
                  <c:v>1.5914285865714286</c:v>
                </c:pt>
                <c:pt idx="123">
                  <c:v>1.5371428389999999</c:v>
                </c:pt>
                <c:pt idx="124">
                  <c:v>1.5128571304285714</c:v>
                </c:pt>
                <c:pt idx="125">
                  <c:v>1.5</c:v>
                </c:pt>
                <c:pt idx="126">
                  <c:v>1.5</c:v>
                </c:pt>
                <c:pt idx="127">
                  <c:v>1.5</c:v>
                </c:pt>
                <c:pt idx="128">
                  <c:v>1.5</c:v>
                </c:pt>
                <c:pt idx="129">
                  <c:v>1.5</c:v>
                </c:pt>
                <c:pt idx="130">
                  <c:v>1.59</c:v>
                </c:pt>
                <c:pt idx="131">
                  <c:v>1.6000000240000001</c:v>
                </c:pt>
                <c:pt idx="132">
                  <c:v>1.6000000238418504</c:v>
                </c:pt>
                <c:pt idx="133">
                  <c:v>1.6285714285714283</c:v>
                </c:pt>
                <c:pt idx="134">
                  <c:v>1.7000000479999999</c:v>
                </c:pt>
                <c:pt idx="135">
                  <c:v>1.7214285988571427</c:v>
                </c:pt>
                <c:pt idx="136">
                  <c:v>1.7482857022857143</c:v>
                </c:pt>
                <c:pt idx="137">
                  <c:v>1.7482857022857143</c:v>
                </c:pt>
                <c:pt idx="138">
                  <c:v>1.75</c:v>
                </c:pt>
                <c:pt idx="139">
                  <c:v>1.6425714154285713</c:v>
                </c:pt>
                <c:pt idx="140">
                  <c:v>1.6457142658571429</c:v>
                </c:pt>
                <c:pt idx="141">
                  <c:v>1.6014285714285712</c:v>
                </c:pt>
                <c:pt idx="142">
                  <c:v>1.4285714115415273</c:v>
                </c:pt>
                <c:pt idx="143">
                  <c:v>1.3999999759999999</c:v>
                </c:pt>
                <c:pt idx="144">
                  <c:v>1.3785714251428571</c:v>
                </c:pt>
                <c:pt idx="145">
                  <c:v>1.3499999999999999</c:v>
                </c:pt>
                <c:pt idx="146">
                  <c:v>1.2642857177142857</c:v>
                </c:pt>
                <c:pt idx="147">
                  <c:v>1.1857142621428574</c:v>
                </c:pt>
                <c:pt idx="148">
                  <c:v>1.1200000049999999</c:v>
                </c:pt>
                <c:pt idx="149">
                  <c:v>1.1085714441428569</c:v>
                </c:pt>
                <c:pt idx="150">
                  <c:v>1.1000000240000001</c:v>
                </c:pt>
                <c:pt idx="151">
                  <c:v>1.1000000240000001</c:v>
                </c:pt>
                <c:pt idx="152">
                  <c:v>1.1000000000000001</c:v>
                </c:pt>
                <c:pt idx="153">
                  <c:v>1.1014285939999999</c:v>
                </c:pt>
                <c:pt idx="154">
                  <c:v>1.1000000240000001</c:v>
                </c:pt>
                <c:pt idx="155">
                  <c:v>1.4000000274285713</c:v>
                </c:pt>
                <c:pt idx="156">
                  <c:v>1.4571428811428571</c:v>
                </c:pt>
                <c:pt idx="157">
                  <c:v>2.278571367263786</c:v>
                </c:pt>
                <c:pt idx="158">
                  <c:v>1.8857142757142857</c:v>
                </c:pt>
                <c:pt idx="159">
                  <c:v>6.3075712748571418</c:v>
                </c:pt>
                <c:pt idx="160">
                  <c:v>4.3669999327142861</c:v>
                </c:pt>
                <c:pt idx="161">
                  <c:v>2.6891428574285712</c:v>
                </c:pt>
                <c:pt idx="162">
                  <c:v>9.7964284079415354</c:v>
                </c:pt>
                <c:pt idx="163">
                  <c:v>10.810714449000001</c:v>
                </c:pt>
                <c:pt idx="164">
                  <c:v>21.290571621486073</c:v>
                </c:pt>
                <c:pt idx="165">
                  <c:v>11.064000130142858</c:v>
                </c:pt>
                <c:pt idx="166">
                  <c:v>5.0324285712857142</c:v>
                </c:pt>
                <c:pt idx="167">
                  <c:v>12.165999821428571</c:v>
                </c:pt>
                <c:pt idx="168">
                  <c:v>11.119714055742502</c:v>
                </c:pt>
                <c:pt idx="169">
                  <c:v>6.0048571995326432</c:v>
                </c:pt>
                <c:pt idx="170">
                  <c:v>4.6619999238571435</c:v>
                </c:pt>
                <c:pt idx="171" formatCode="0.00">
                  <c:v>2.5870000464285714</c:v>
                </c:pt>
                <c:pt idx="172">
                  <c:v>1.9568571534285717</c:v>
                </c:pt>
                <c:pt idx="173">
                  <c:v>2.0897142546517471</c:v>
                </c:pt>
                <c:pt idx="174">
                  <c:v>2.074857081857143</c:v>
                </c:pt>
                <c:pt idx="175">
                  <c:v>1.6491428614285712</c:v>
                </c:pt>
                <c:pt idx="176">
                  <c:v>1.6491428614285712</c:v>
                </c:pt>
                <c:pt idx="177">
                  <c:v>1.6175714560917398</c:v>
                </c:pt>
                <c:pt idx="178">
                  <c:v>1.7258571555714286</c:v>
                </c:pt>
                <c:pt idx="179">
                  <c:v>2.2755714314285713</c:v>
                </c:pt>
                <c:pt idx="180">
                  <c:v>2.2755714314324473</c:v>
                </c:pt>
                <c:pt idx="181">
                  <c:v>1.7577142885714285</c:v>
                </c:pt>
                <c:pt idx="182">
                  <c:v>1.7387143204285713</c:v>
                </c:pt>
                <c:pt idx="183">
                  <c:v>2.0545714242117699</c:v>
                </c:pt>
                <c:pt idx="184">
                  <c:v>1.862857103571429</c:v>
                </c:pt>
                <c:pt idx="185">
                  <c:v>2.1428571427142855</c:v>
                </c:pt>
                <c:pt idx="186">
                  <c:v>2.0148571899999999</c:v>
                </c:pt>
                <c:pt idx="187">
                  <c:v>2.0708571672857143</c:v>
                </c:pt>
                <c:pt idx="188">
                  <c:v>1.7728571551186658</c:v>
                </c:pt>
                <c:pt idx="189">
                  <c:v>1.7154285907142857</c:v>
                </c:pt>
                <c:pt idx="190">
                  <c:v>2.26100002</c:v>
                </c:pt>
                <c:pt idx="191">
                  <c:v>1.5178571258272411</c:v>
                </c:pt>
                <c:pt idx="192">
                  <c:v>1.0650000040020247</c:v>
                </c:pt>
                <c:pt idx="193">
                  <c:v>1.5737142903464156</c:v>
                </c:pt>
                <c:pt idx="194">
                  <c:v>1.6808571304593714</c:v>
                </c:pt>
                <c:pt idx="195">
                  <c:v>1.6871428661428571</c:v>
                </c:pt>
                <c:pt idx="196">
                  <c:v>1.6130000010000001</c:v>
                </c:pt>
                <c:pt idx="197">
                  <c:v>1.8452857051428571</c:v>
                </c:pt>
                <c:pt idx="198">
                  <c:v>1.9990000043596503</c:v>
                </c:pt>
                <c:pt idx="199">
                  <c:v>1.5481428758571429</c:v>
                </c:pt>
                <c:pt idx="200">
                  <c:v>1.4392857041428573</c:v>
                </c:pt>
              </c:numCache>
            </c:numRef>
          </c:val>
          <c:extLst>
            <c:ext xmlns:c16="http://schemas.microsoft.com/office/drawing/2014/chart" uri="{C3380CC4-5D6E-409C-BE32-E72D297353CC}">
              <c16:uniqueId val="{00000001-4386-4F80-BA11-24E7324C05B4}"/>
            </c:ext>
          </c:extLst>
        </c:ser>
        <c:dLbls>
          <c:showLegendKey val="0"/>
          <c:showVal val="0"/>
          <c:showCatName val="0"/>
          <c:showSerName val="0"/>
          <c:showPercent val="0"/>
          <c:showBubbleSize val="0"/>
        </c:dLbls>
        <c:axId val="351621120"/>
        <c:axId val="351623424"/>
      </c:areaChart>
      <c:lineChart>
        <c:grouping val="standard"/>
        <c:varyColors val="0"/>
        <c:ser>
          <c:idx val="0"/>
          <c:order val="2"/>
          <c:tx>
            <c:strRef>
              <c:f>'13.Caudales'!$Y$3</c:f>
              <c:strCache>
                <c:ptCount val="1"/>
                <c:pt idx="0">
                  <c:v>SAN GABÁN</c:v>
                </c:pt>
              </c:strCache>
            </c:strRef>
          </c:tx>
          <c:marker>
            <c:symbol val="none"/>
          </c:marker>
          <c:val>
            <c:numRef>
              <c:f>'13.Caudales'!$Y$4:$Y$204</c:f>
              <c:numCache>
                <c:formatCode>0.0</c:formatCode>
                <c:ptCount val="201"/>
                <c:pt idx="0">
                  <c:v>25.43</c:v>
                </c:pt>
                <c:pt idx="1">
                  <c:v>55.67</c:v>
                </c:pt>
                <c:pt idx="2">
                  <c:v>58.31</c:v>
                </c:pt>
                <c:pt idx="3">
                  <c:v>47.49</c:v>
                </c:pt>
                <c:pt idx="4">
                  <c:v>45.46</c:v>
                </c:pt>
                <c:pt idx="5">
                  <c:v>28.56</c:v>
                </c:pt>
                <c:pt idx="6">
                  <c:v>25.04</c:v>
                </c:pt>
                <c:pt idx="7">
                  <c:v>58.84</c:v>
                </c:pt>
                <c:pt idx="8">
                  <c:v>102.26</c:v>
                </c:pt>
                <c:pt idx="9">
                  <c:v>83.74</c:v>
                </c:pt>
                <c:pt idx="10">
                  <c:v>62.42</c:v>
                </c:pt>
                <c:pt idx="11">
                  <c:v>52.01</c:v>
                </c:pt>
                <c:pt idx="12">
                  <c:v>65.430000000000007</c:v>
                </c:pt>
                <c:pt idx="13">
                  <c:v>71.06</c:v>
                </c:pt>
                <c:pt idx="14">
                  <c:v>77.099999999999994</c:v>
                </c:pt>
                <c:pt idx="15">
                  <c:v>48.77</c:v>
                </c:pt>
                <c:pt idx="16">
                  <c:v>34.409999999999997</c:v>
                </c:pt>
                <c:pt idx="17">
                  <c:v>28.8</c:v>
                </c:pt>
                <c:pt idx="18">
                  <c:v>22.78</c:v>
                </c:pt>
                <c:pt idx="19">
                  <c:v>17.8</c:v>
                </c:pt>
                <c:pt idx="20">
                  <c:v>17.84</c:v>
                </c:pt>
                <c:pt idx="21">
                  <c:v>16.37</c:v>
                </c:pt>
                <c:pt idx="22">
                  <c:v>13.15</c:v>
                </c:pt>
                <c:pt idx="23">
                  <c:v>10.85</c:v>
                </c:pt>
                <c:pt idx="24">
                  <c:v>8.98</c:v>
                </c:pt>
                <c:pt idx="25">
                  <c:v>9.41</c:v>
                </c:pt>
                <c:pt idx="26">
                  <c:v>8.58</c:v>
                </c:pt>
                <c:pt idx="27">
                  <c:v>6.64</c:v>
                </c:pt>
                <c:pt idx="28">
                  <c:v>6.49</c:v>
                </c:pt>
                <c:pt idx="29">
                  <c:v>6.15</c:v>
                </c:pt>
                <c:pt idx="30">
                  <c:v>5.51</c:v>
                </c:pt>
                <c:pt idx="31">
                  <c:v>5.16</c:v>
                </c:pt>
                <c:pt idx="32">
                  <c:v>5.27</c:v>
                </c:pt>
                <c:pt idx="33">
                  <c:v>5.0599999999999996</c:v>
                </c:pt>
                <c:pt idx="34">
                  <c:v>4.84</c:v>
                </c:pt>
                <c:pt idx="35">
                  <c:v>4.8899999999999997</c:v>
                </c:pt>
                <c:pt idx="36">
                  <c:v>8.4</c:v>
                </c:pt>
                <c:pt idx="37">
                  <c:v>6.42</c:v>
                </c:pt>
                <c:pt idx="38">
                  <c:v>7.98</c:v>
                </c:pt>
                <c:pt idx="39">
                  <c:v>5.32</c:v>
                </c:pt>
                <c:pt idx="40">
                  <c:v>4.95</c:v>
                </c:pt>
                <c:pt idx="41">
                  <c:v>7.39</c:v>
                </c:pt>
                <c:pt idx="42">
                  <c:v>6.18</c:v>
                </c:pt>
                <c:pt idx="43">
                  <c:v>8.7899999999999991</c:v>
                </c:pt>
                <c:pt idx="44">
                  <c:v>11.45</c:v>
                </c:pt>
                <c:pt idx="45">
                  <c:v>14.58</c:v>
                </c:pt>
                <c:pt idx="46">
                  <c:v>12.14</c:v>
                </c:pt>
                <c:pt idx="47">
                  <c:v>12.516714369142859</c:v>
                </c:pt>
                <c:pt idx="48">
                  <c:v>18.826999800000003</c:v>
                </c:pt>
                <c:pt idx="49">
                  <c:v>20.280285972857143</c:v>
                </c:pt>
                <c:pt idx="50">
                  <c:v>34.849000112857141</c:v>
                </c:pt>
                <c:pt idx="51">
                  <c:v>35.335714887142856</c:v>
                </c:pt>
                <c:pt idx="52">
                  <c:v>63.23</c:v>
                </c:pt>
                <c:pt idx="53">
                  <c:v>56.654285431428562</c:v>
                </c:pt>
                <c:pt idx="54">
                  <c:v>68.516428267142857</c:v>
                </c:pt>
                <c:pt idx="55">
                  <c:v>58.935427530000005</c:v>
                </c:pt>
                <c:pt idx="56">
                  <c:v>45.332857951428579</c:v>
                </c:pt>
                <c:pt idx="57">
                  <c:v>65.987571171428584</c:v>
                </c:pt>
                <c:pt idx="58">
                  <c:v>97.722999031428586</c:v>
                </c:pt>
                <c:pt idx="59">
                  <c:v>142.13</c:v>
                </c:pt>
                <c:pt idx="60">
                  <c:v>142.13857270714286</c:v>
                </c:pt>
                <c:pt idx="61">
                  <c:v>72.30971418</c:v>
                </c:pt>
                <c:pt idx="62">
                  <c:v>119.7894287057143</c:v>
                </c:pt>
                <c:pt idx="63">
                  <c:v>152.80443028571429</c:v>
                </c:pt>
                <c:pt idx="64">
                  <c:v>107.32928468714286</c:v>
                </c:pt>
                <c:pt idx="65">
                  <c:v>80.936570849999995</c:v>
                </c:pt>
                <c:pt idx="66">
                  <c:v>42.693143572857146</c:v>
                </c:pt>
                <c:pt idx="67">
                  <c:v>33.717142651428574</c:v>
                </c:pt>
                <c:pt idx="68">
                  <c:v>27.06</c:v>
                </c:pt>
                <c:pt idx="69">
                  <c:v>22.269714081428571</c:v>
                </c:pt>
                <c:pt idx="70">
                  <c:v>17.565999711428571</c:v>
                </c:pt>
                <c:pt idx="71">
                  <c:v>14.502285821428572</c:v>
                </c:pt>
                <c:pt idx="72">
                  <c:v>12.214999879999999</c:v>
                </c:pt>
                <c:pt idx="73">
                  <c:v>10.894571441428569</c:v>
                </c:pt>
                <c:pt idx="74">
                  <c:v>13.860571451428571</c:v>
                </c:pt>
                <c:pt idx="75">
                  <c:v>13.392856871428572</c:v>
                </c:pt>
                <c:pt idx="76">
                  <c:v>10.749428476857142</c:v>
                </c:pt>
                <c:pt idx="77">
                  <c:v>9.1145714351428584</c:v>
                </c:pt>
                <c:pt idx="78">
                  <c:v>7.6487142698571438</c:v>
                </c:pt>
                <c:pt idx="79">
                  <c:v>7.0544285774285713</c:v>
                </c:pt>
                <c:pt idx="80">
                  <c:v>6.3400000000000007</c:v>
                </c:pt>
                <c:pt idx="81">
                  <c:v>9.4385714285714304</c:v>
                </c:pt>
                <c:pt idx="82">
                  <c:v>8.5770238095238049</c:v>
                </c:pt>
                <c:pt idx="83">
                  <c:v>9.7962856299999999</c:v>
                </c:pt>
                <c:pt idx="84">
                  <c:v>8.7822855541428577</c:v>
                </c:pt>
                <c:pt idx="85">
                  <c:v>11.383714402571428</c:v>
                </c:pt>
                <c:pt idx="86">
                  <c:v>7.88</c:v>
                </c:pt>
                <c:pt idx="87">
                  <c:v>8.0857142857142854</c:v>
                </c:pt>
                <c:pt idx="88">
                  <c:v>8.6452856064285708</c:v>
                </c:pt>
                <c:pt idx="89">
                  <c:v>8.6452856064285708</c:v>
                </c:pt>
                <c:pt idx="90">
                  <c:v>7.4194285528571422</c:v>
                </c:pt>
                <c:pt idx="91">
                  <c:v>9.6005713597142837</c:v>
                </c:pt>
                <c:pt idx="92">
                  <c:v>10.943285942077617</c:v>
                </c:pt>
                <c:pt idx="93">
                  <c:v>17.972571236746628</c:v>
                </c:pt>
                <c:pt idx="94">
                  <c:v>19.552571432931028</c:v>
                </c:pt>
                <c:pt idx="95">
                  <c:v>33.081571032857141</c:v>
                </c:pt>
                <c:pt idx="96">
                  <c:v>39.80185754</c:v>
                </c:pt>
                <c:pt idx="97">
                  <c:v>37.212857142857146</c:v>
                </c:pt>
                <c:pt idx="98">
                  <c:v>35.055428368571434</c:v>
                </c:pt>
                <c:pt idx="99">
                  <c:v>28.370000294285713</c:v>
                </c:pt>
                <c:pt idx="100">
                  <c:v>22.919999999999998</c:v>
                </c:pt>
                <c:pt idx="101">
                  <c:v>17.695714271428571</c:v>
                </c:pt>
                <c:pt idx="102">
                  <c:v>33.51428571428572</c:v>
                </c:pt>
                <c:pt idx="103">
                  <c:v>52.753143308571431</c:v>
                </c:pt>
                <c:pt idx="104">
                  <c:v>64.398429325714275</c:v>
                </c:pt>
                <c:pt idx="105">
                  <c:v>70.997858864285703</c:v>
                </c:pt>
                <c:pt idx="106">
                  <c:v>68.83</c:v>
                </c:pt>
                <c:pt idx="107">
                  <c:v>70.089428494285713</c:v>
                </c:pt>
                <c:pt idx="108">
                  <c:v>74.655428748571438</c:v>
                </c:pt>
                <c:pt idx="109">
                  <c:v>117.82857142857142</c:v>
                </c:pt>
                <c:pt idx="110">
                  <c:v>118.07871352857144</c:v>
                </c:pt>
                <c:pt idx="111">
                  <c:v>98.32</c:v>
                </c:pt>
                <c:pt idx="112">
                  <c:v>120.90099988571428</c:v>
                </c:pt>
                <c:pt idx="113">
                  <c:v>78.177285328571429</c:v>
                </c:pt>
                <c:pt idx="114">
                  <c:v>44.638999938964801</c:v>
                </c:pt>
                <c:pt idx="115">
                  <c:v>98.4</c:v>
                </c:pt>
                <c:pt idx="116">
                  <c:v>92.103571201428579</c:v>
                </c:pt>
                <c:pt idx="117">
                  <c:v>65.665856497142855</c:v>
                </c:pt>
                <c:pt idx="118">
                  <c:v>49.633285522857136</c:v>
                </c:pt>
                <c:pt idx="119">
                  <c:v>31.291000095714285</c:v>
                </c:pt>
                <c:pt idx="120">
                  <c:v>25.921857015714284</c:v>
                </c:pt>
                <c:pt idx="121">
                  <c:v>22.190428595714284</c:v>
                </c:pt>
                <c:pt idx="122">
                  <c:v>20.991285870000006</c:v>
                </c:pt>
                <c:pt idx="123">
                  <c:v>23.085714070000002</c:v>
                </c:pt>
                <c:pt idx="124">
                  <c:v>17.858285902857144</c:v>
                </c:pt>
                <c:pt idx="125">
                  <c:v>15.324571202857143</c:v>
                </c:pt>
                <c:pt idx="126">
                  <c:v>13.868142808571431</c:v>
                </c:pt>
                <c:pt idx="127">
                  <c:v>12.512571334285715</c:v>
                </c:pt>
                <c:pt idx="128">
                  <c:v>11.450428658571429</c:v>
                </c:pt>
                <c:pt idx="129">
                  <c:v>9.6660000944285702</c:v>
                </c:pt>
                <c:pt idx="130">
                  <c:v>8.27</c:v>
                </c:pt>
                <c:pt idx="131">
                  <c:v>7.4899999752857136</c:v>
                </c:pt>
                <c:pt idx="132">
                  <c:v>6.46428571428571</c:v>
                </c:pt>
                <c:pt idx="133">
                  <c:v>8.2285714285714295</c:v>
                </c:pt>
                <c:pt idx="134">
                  <c:v>6.7562857354285706</c:v>
                </c:pt>
                <c:pt idx="135">
                  <c:v>6.4201429230000002</c:v>
                </c:pt>
                <c:pt idx="136">
                  <c:v>4.7154285567142855</c:v>
                </c:pt>
                <c:pt idx="137">
                  <c:v>5.7421428814285713</c:v>
                </c:pt>
                <c:pt idx="138">
                  <c:v>6.5945714541428577</c:v>
                </c:pt>
                <c:pt idx="139">
                  <c:v>4.9847143037142851</c:v>
                </c:pt>
                <c:pt idx="140">
                  <c:v>5.502714293285714</c:v>
                </c:pt>
                <c:pt idx="141">
                  <c:v>6.8414285714285716</c:v>
                </c:pt>
                <c:pt idx="142">
                  <c:v>5.5879999569484111</c:v>
                </c:pt>
                <c:pt idx="143">
                  <c:v>8.0550000327142861</c:v>
                </c:pt>
                <c:pt idx="144">
                  <c:v>6.9969999451428562</c:v>
                </c:pt>
                <c:pt idx="145">
                  <c:v>6.2985714285714289</c:v>
                </c:pt>
                <c:pt idx="146">
                  <c:v>11.989999907285712</c:v>
                </c:pt>
                <c:pt idx="147">
                  <c:v>7.9394285338571438</c:v>
                </c:pt>
                <c:pt idx="148">
                  <c:v>10.621285710571428</c:v>
                </c:pt>
                <c:pt idx="149">
                  <c:v>19.484428541428574</c:v>
                </c:pt>
                <c:pt idx="150">
                  <c:v>19.475428171428575</c:v>
                </c:pt>
                <c:pt idx="151">
                  <c:v>16.918428555714282</c:v>
                </c:pt>
                <c:pt idx="152">
                  <c:v>23.580285755714289</c:v>
                </c:pt>
                <c:pt idx="153">
                  <c:v>41.892142702857143</c:v>
                </c:pt>
                <c:pt idx="154">
                  <c:v>39.827428544285716</c:v>
                </c:pt>
                <c:pt idx="155">
                  <c:v>62.57285690285714</c:v>
                </c:pt>
                <c:pt idx="156">
                  <c:v>97.806430279999987</c:v>
                </c:pt>
                <c:pt idx="157">
                  <c:v>152.80385916573601</c:v>
                </c:pt>
                <c:pt idx="158">
                  <c:v>97.949856347142855</c:v>
                </c:pt>
                <c:pt idx="159">
                  <c:v>78.131857190000005</c:v>
                </c:pt>
                <c:pt idx="160">
                  <c:v>52.875</c:v>
                </c:pt>
                <c:pt idx="161">
                  <c:v>99.128998899999985</c:v>
                </c:pt>
                <c:pt idx="162">
                  <c:v>151.47385733468144</c:v>
                </c:pt>
                <c:pt idx="163">
                  <c:v>148.12728554285715</c:v>
                </c:pt>
                <c:pt idx="164">
                  <c:v>143.28899928501644</c:v>
                </c:pt>
                <c:pt idx="165">
                  <c:v>84.357999531428575</c:v>
                </c:pt>
                <c:pt idx="166">
                  <c:v>76.472572329999977</c:v>
                </c:pt>
                <c:pt idx="167">
                  <c:v>110.78628649857141</c:v>
                </c:pt>
                <c:pt idx="168">
                  <c:v>113.32999965122723</c:v>
                </c:pt>
                <c:pt idx="169">
                  <c:v>97.158571515764294</c:v>
                </c:pt>
                <c:pt idx="170">
                  <c:v>87.023999895714283</c:v>
                </c:pt>
                <c:pt idx="171" formatCode="0.00">
                  <c:v>56.692000798571428</c:v>
                </c:pt>
                <c:pt idx="172">
                  <c:v>41.578285762857142</c:v>
                </c:pt>
                <c:pt idx="173">
                  <c:v>32.277857099260544</c:v>
                </c:pt>
                <c:pt idx="174">
                  <c:v>27.218570980000003</c:v>
                </c:pt>
                <c:pt idx="175">
                  <c:v>23.996714454285712</c:v>
                </c:pt>
                <c:pt idx="176">
                  <c:v>27.218570980000003</c:v>
                </c:pt>
                <c:pt idx="177">
                  <c:v>17.639571326119512</c:v>
                </c:pt>
                <c:pt idx="178">
                  <c:v>13.389714241428573</c:v>
                </c:pt>
                <c:pt idx="179">
                  <c:v>13.06000001</c:v>
                </c:pt>
                <c:pt idx="180">
                  <c:v>10.094714164733857</c:v>
                </c:pt>
                <c:pt idx="181">
                  <c:v>9.1595716474285691</c:v>
                </c:pt>
                <c:pt idx="182">
                  <c:v>8.8348572594285706</c:v>
                </c:pt>
                <c:pt idx="183">
                  <c:v>8.4665715353829452</c:v>
                </c:pt>
                <c:pt idx="184">
                  <c:v>7.6952857290000001</c:v>
                </c:pt>
                <c:pt idx="185">
                  <c:v>7.1297142847142867</c:v>
                </c:pt>
                <c:pt idx="186">
                  <c:v>8.1214285577142853</c:v>
                </c:pt>
                <c:pt idx="187">
                  <c:v>8.1097143717142863</c:v>
                </c:pt>
                <c:pt idx="188">
                  <c:v>10.538714272635294</c:v>
                </c:pt>
                <c:pt idx="189">
                  <c:v>6.1292857952857149</c:v>
                </c:pt>
                <c:pt idx="190">
                  <c:v>6.0765714645714288</c:v>
                </c:pt>
                <c:pt idx="191">
                  <c:v>5.9287142923900031</c:v>
                </c:pt>
                <c:pt idx="192">
                  <c:v>6.6625714302062962</c:v>
                </c:pt>
                <c:pt idx="193">
                  <c:v>6.7525714465549971</c:v>
                </c:pt>
                <c:pt idx="194">
                  <c:v>6.3287143026079411</c:v>
                </c:pt>
                <c:pt idx="195">
                  <c:v>7.4534285069999999</c:v>
                </c:pt>
                <c:pt idx="196">
                  <c:v>6.0369999748571432</c:v>
                </c:pt>
                <c:pt idx="197">
                  <c:v>6.8767141612857143</c:v>
                </c:pt>
                <c:pt idx="198">
                  <c:v>6.4478571755545433</c:v>
                </c:pt>
                <c:pt idx="199">
                  <c:v>6.2457143240000006</c:v>
                </c:pt>
                <c:pt idx="200">
                  <c:v>6.5374285491428568</c:v>
                </c:pt>
              </c:numCache>
            </c:numRef>
          </c:val>
          <c:smooth val="0"/>
          <c:extLst>
            <c:ext xmlns:c16="http://schemas.microsoft.com/office/drawing/2014/chart" uri="{C3380CC4-5D6E-409C-BE32-E72D297353CC}">
              <c16:uniqueId val="{00000002-4386-4F80-BA11-24E7324C05B4}"/>
            </c:ext>
          </c:extLst>
        </c:ser>
        <c:ser>
          <c:idx val="1"/>
          <c:order val="3"/>
          <c:tx>
            <c:strRef>
              <c:f>'13.Caudales'!$X$3</c:f>
              <c:strCache>
                <c:ptCount val="1"/>
                <c:pt idx="0">
                  <c:v>VILCANOTA</c:v>
                </c:pt>
              </c:strCache>
            </c:strRef>
          </c:tx>
          <c:spPr>
            <a:ln>
              <a:solidFill>
                <a:srgbClr val="00B0F0"/>
              </a:solidFill>
            </a:ln>
          </c:spPr>
          <c:marker>
            <c:symbol val="none"/>
          </c:marker>
          <c:val>
            <c:numRef>
              <c:f>'13.Caudales'!$X$4:$X$204</c:f>
              <c:numCache>
                <c:formatCode>0.0</c:formatCode>
                <c:ptCount val="201"/>
                <c:pt idx="0">
                  <c:v>89.46</c:v>
                </c:pt>
                <c:pt idx="1">
                  <c:v>178.14</c:v>
                </c:pt>
                <c:pt idx="2">
                  <c:v>174.94</c:v>
                </c:pt>
                <c:pt idx="3">
                  <c:v>141.31</c:v>
                </c:pt>
                <c:pt idx="4">
                  <c:v>123.59</c:v>
                </c:pt>
                <c:pt idx="5">
                  <c:v>85.48</c:v>
                </c:pt>
                <c:pt idx="6">
                  <c:v>100.57</c:v>
                </c:pt>
                <c:pt idx="7">
                  <c:v>163.72999999999999</c:v>
                </c:pt>
                <c:pt idx="8">
                  <c:v>285.31</c:v>
                </c:pt>
                <c:pt idx="9">
                  <c:v>374.33</c:v>
                </c:pt>
                <c:pt idx="10">
                  <c:v>219.86</c:v>
                </c:pt>
                <c:pt idx="11">
                  <c:v>190.11</c:v>
                </c:pt>
                <c:pt idx="12">
                  <c:v>272.08999999999997</c:v>
                </c:pt>
                <c:pt idx="13">
                  <c:v>301.82</c:v>
                </c:pt>
                <c:pt idx="14">
                  <c:v>203.49</c:v>
                </c:pt>
                <c:pt idx="15">
                  <c:v>155.33000000000001</c:v>
                </c:pt>
                <c:pt idx="16">
                  <c:v>111.37</c:v>
                </c:pt>
                <c:pt idx="17">
                  <c:v>117.05</c:v>
                </c:pt>
                <c:pt idx="18">
                  <c:v>79.2</c:v>
                </c:pt>
                <c:pt idx="19">
                  <c:v>69.37</c:v>
                </c:pt>
                <c:pt idx="20">
                  <c:v>68.8</c:v>
                </c:pt>
                <c:pt idx="21">
                  <c:v>69.05</c:v>
                </c:pt>
                <c:pt idx="22">
                  <c:v>54.09</c:v>
                </c:pt>
                <c:pt idx="23">
                  <c:v>45.31</c:v>
                </c:pt>
                <c:pt idx="24">
                  <c:v>40.42</c:v>
                </c:pt>
                <c:pt idx="25">
                  <c:v>37.89</c:v>
                </c:pt>
                <c:pt idx="26">
                  <c:v>38.229999999999997</c:v>
                </c:pt>
                <c:pt idx="27">
                  <c:v>33.9</c:v>
                </c:pt>
                <c:pt idx="28">
                  <c:v>31.97</c:v>
                </c:pt>
                <c:pt idx="29">
                  <c:v>31.76</c:v>
                </c:pt>
                <c:pt idx="30">
                  <c:v>31.68</c:v>
                </c:pt>
                <c:pt idx="31">
                  <c:v>31.01</c:v>
                </c:pt>
                <c:pt idx="32">
                  <c:v>30.23</c:v>
                </c:pt>
                <c:pt idx="33">
                  <c:v>32.17</c:v>
                </c:pt>
                <c:pt idx="34">
                  <c:v>31.63</c:v>
                </c:pt>
                <c:pt idx="35">
                  <c:v>34.090000000000003</c:v>
                </c:pt>
                <c:pt idx="36">
                  <c:v>38.06</c:v>
                </c:pt>
                <c:pt idx="37">
                  <c:v>41.12</c:v>
                </c:pt>
                <c:pt idx="38">
                  <c:v>33.06</c:v>
                </c:pt>
                <c:pt idx="39">
                  <c:v>35.54</c:v>
                </c:pt>
                <c:pt idx="40">
                  <c:v>37.47</c:v>
                </c:pt>
                <c:pt idx="41">
                  <c:v>52.42</c:v>
                </c:pt>
                <c:pt idx="42">
                  <c:v>43.93</c:v>
                </c:pt>
                <c:pt idx="43">
                  <c:v>40.229999999999997</c:v>
                </c:pt>
                <c:pt idx="44">
                  <c:v>41.85</c:v>
                </c:pt>
                <c:pt idx="45">
                  <c:v>70.849999999999994</c:v>
                </c:pt>
                <c:pt idx="46">
                  <c:v>64.819999999999993</c:v>
                </c:pt>
                <c:pt idx="47">
                  <c:v>47.846427917142854</c:v>
                </c:pt>
                <c:pt idx="48">
                  <c:v>57.322143555714298</c:v>
                </c:pt>
                <c:pt idx="49">
                  <c:v>51.470714571428573</c:v>
                </c:pt>
                <c:pt idx="50">
                  <c:v>65.58357184285714</c:v>
                </c:pt>
                <c:pt idx="51">
                  <c:v>104.27285767571428</c:v>
                </c:pt>
                <c:pt idx="52">
                  <c:v>201.2428571428571</c:v>
                </c:pt>
                <c:pt idx="53">
                  <c:v>229.4250030571429</c:v>
                </c:pt>
                <c:pt idx="54">
                  <c:v>261.56357028571426</c:v>
                </c:pt>
                <c:pt idx="55">
                  <c:v>261.98000009999998</c:v>
                </c:pt>
                <c:pt idx="56">
                  <c:v>141.83571514285714</c:v>
                </c:pt>
                <c:pt idx="57">
                  <c:v>164.55714089999998</c:v>
                </c:pt>
                <c:pt idx="58">
                  <c:v>355.31285748571423</c:v>
                </c:pt>
                <c:pt idx="59">
                  <c:v>437.78</c:v>
                </c:pt>
                <c:pt idx="60">
                  <c:v>424.14571271428576</c:v>
                </c:pt>
                <c:pt idx="61">
                  <c:v>293.69142804285718</c:v>
                </c:pt>
                <c:pt idx="62">
                  <c:v>511.54500034285724</c:v>
                </c:pt>
                <c:pt idx="63">
                  <c:v>433.89143152857145</c:v>
                </c:pt>
                <c:pt idx="64">
                  <c:v>281.79928587142859</c:v>
                </c:pt>
                <c:pt idx="65">
                  <c:v>176.23214502857144</c:v>
                </c:pt>
                <c:pt idx="66">
                  <c:v>130.09</c:v>
                </c:pt>
                <c:pt idx="67">
                  <c:v>96.9</c:v>
                </c:pt>
                <c:pt idx="68">
                  <c:v>89.59</c:v>
                </c:pt>
                <c:pt idx="69">
                  <c:v>89.602142331428567</c:v>
                </c:pt>
                <c:pt idx="70">
                  <c:v>75.568572998571426</c:v>
                </c:pt>
                <c:pt idx="71">
                  <c:v>62.208570752857149</c:v>
                </c:pt>
                <c:pt idx="72">
                  <c:v>54.38714218285714</c:v>
                </c:pt>
                <c:pt idx="73">
                  <c:v>48.837857382857138</c:v>
                </c:pt>
                <c:pt idx="74">
                  <c:v>58.175000328571436</c:v>
                </c:pt>
                <c:pt idx="75">
                  <c:v>61.988572801428582</c:v>
                </c:pt>
                <c:pt idx="76">
                  <c:v>51.970714024285719</c:v>
                </c:pt>
                <c:pt idx="77">
                  <c:v>44.390714371428579</c:v>
                </c:pt>
                <c:pt idx="78">
                  <c:v>39.173571994285716</c:v>
                </c:pt>
                <c:pt idx="79">
                  <c:v>36.999285560000011</c:v>
                </c:pt>
                <c:pt idx="80">
                  <c:v>38.677142857142861</c:v>
                </c:pt>
                <c:pt idx="81">
                  <c:v>56.166428702857139</c:v>
                </c:pt>
                <c:pt idx="82">
                  <c:v>50.215000000000003</c:v>
                </c:pt>
                <c:pt idx="83">
                  <c:v>50.460713522857141</c:v>
                </c:pt>
                <c:pt idx="84">
                  <c:v>44.64</c:v>
                </c:pt>
                <c:pt idx="85">
                  <c:v>35.627857751428571</c:v>
                </c:pt>
                <c:pt idx="86">
                  <c:v>32.979999999999997</c:v>
                </c:pt>
                <c:pt idx="87">
                  <c:v>31.20428571428571</c:v>
                </c:pt>
                <c:pt idx="88">
                  <c:v>29.614285605714283</c:v>
                </c:pt>
                <c:pt idx="89">
                  <c:v>30.912857054285716</c:v>
                </c:pt>
                <c:pt idx="90">
                  <c:v>37.200000000000003</c:v>
                </c:pt>
                <c:pt idx="91">
                  <c:v>42.197143011428572</c:v>
                </c:pt>
                <c:pt idx="92">
                  <c:v>49.475714547293492</c:v>
                </c:pt>
                <c:pt idx="93">
                  <c:v>72.350713457379968</c:v>
                </c:pt>
                <c:pt idx="94">
                  <c:v>82.484284537179079</c:v>
                </c:pt>
                <c:pt idx="95">
                  <c:v>110.40928649571428</c:v>
                </c:pt>
                <c:pt idx="96">
                  <c:v>114.14357212285714</c:v>
                </c:pt>
                <c:pt idx="97">
                  <c:v>93.457142857142841</c:v>
                </c:pt>
                <c:pt idx="98">
                  <c:v>104.10500007571429</c:v>
                </c:pt>
                <c:pt idx="99">
                  <c:v>91.569999695714287</c:v>
                </c:pt>
                <c:pt idx="100">
                  <c:v>62.974285714285706</c:v>
                </c:pt>
                <c:pt idx="101">
                  <c:v>52.244286674285718</c:v>
                </c:pt>
                <c:pt idx="102">
                  <c:v>86.528571428571439</c:v>
                </c:pt>
                <c:pt idx="103">
                  <c:v>103.53357153142858</c:v>
                </c:pt>
                <c:pt idx="104">
                  <c:v>121.75642612857142</c:v>
                </c:pt>
                <c:pt idx="105">
                  <c:v>180.32999965714288</c:v>
                </c:pt>
                <c:pt idx="106">
                  <c:v>167.22</c:v>
                </c:pt>
                <c:pt idx="107">
                  <c:v>185.51500375714286</c:v>
                </c:pt>
                <c:pt idx="108">
                  <c:v>199.03571430000002</c:v>
                </c:pt>
                <c:pt idx="109">
                  <c:v>338.89857142857142</c:v>
                </c:pt>
                <c:pt idx="110">
                  <c:v>288.0957205571429</c:v>
                </c:pt>
                <c:pt idx="111">
                  <c:v>411.75142995714288</c:v>
                </c:pt>
                <c:pt idx="112">
                  <c:v>249.46285358571427</c:v>
                </c:pt>
                <c:pt idx="113">
                  <c:v>225.10000174285716</c:v>
                </c:pt>
                <c:pt idx="114">
                  <c:v>217.45642525809117</c:v>
                </c:pt>
                <c:pt idx="115">
                  <c:v>327.82142857142861</c:v>
                </c:pt>
                <c:pt idx="116">
                  <c:v>339.04356602857143</c:v>
                </c:pt>
                <c:pt idx="117">
                  <c:v>250.08571298571431</c:v>
                </c:pt>
                <c:pt idx="118">
                  <c:v>148.48785617142858</c:v>
                </c:pt>
                <c:pt idx="119">
                  <c:v>105.47928511571429</c:v>
                </c:pt>
                <c:pt idx="120">
                  <c:v>103.81928579571429</c:v>
                </c:pt>
                <c:pt idx="121">
                  <c:v>91.532855442857141</c:v>
                </c:pt>
                <c:pt idx="122">
                  <c:v>82.45500183</c:v>
                </c:pt>
                <c:pt idx="123">
                  <c:v>76.857142859999996</c:v>
                </c:pt>
                <c:pt idx="124">
                  <c:v>58.057856968571436</c:v>
                </c:pt>
                <c:pt idx="125">
                  <c:v>51.520714895714285</c:v>
                </c:pt>
                <c:pt idx="126">
                  <c:v>46.520714351428573</c:v>
                </c:pt>
                <c:pt idx="127">
                  <c:v>42.473571777142858</c:v>
                </c:pt>
                <c:pt idx="128">
                  <c:v>43.729285104285715</c:v>
                </c:pt>
                <c:pt idx="129">
                  <c:v>44.616428919999997</c:v>
                </c:pt>
                <c:pt idx="130">
                  <c:v>43.84</c:v>
                </c:pt>
                <c:pt idx="131">
                  <c:v>39.995714458571435</c:v>
                </c:pt>
                <c:pt idx="132">
                  <c:v>42.704285757882197</c:v>
                </c:pt>
                <c:pt idx="133">
                  <c:v>44.611428571428576</c:v>
                </c:pt>
                <c:pt idx="134">
                  <c:v>43.444999694285706</c:v>
                </c:pt>
                <c:pt idx="135">
                  <c:v>38.432857512857147</c:v>
                </c:pt>
                <c:pt idx="136">
                  <c:v>36.690713608571421</c:v>
                </c:pt>
                <c:pt idx="137">
                  <c:v>34.872856138571429</c:v>
                </c:pt>
                <c:pt idx="138">
                  <c:v>34.16142872428572</c:v>
                </c:pt>
                <c:pt idx="139">
                  <c:v>35.968571799999999</c:v>
                </c:pt>
                <c:pt idx="140">
                  <c:v>34.324999674285714</c:v>
                </c:pt>
                <c:pt idx="141">
                  <c:v>33.131428571428572</c:v>
                </c:pt>
                <c:pt idx="142">
                  <c:v>32.532142911638481</c:v>
                </c:pt>
                <c:pt idx="143">
                  <c:v>36.384999957142853</c:v>
                </c:pt>
                <c:pt idx="144">
                  <c:v>40.987143380000006</c:v>
                </c:pt>
                <c:pt idx="145">
                  <c:v>37.554285714285712</c:v>
                </c:pt>
                <c:pt idx="146">
                  <c:v>52.87071446142857</c:v>
                </c:pt>
                <c:pt idx="147">
                  <c:v>36.208572388571426</c:v>
                </c:pt>
                <c:pt idx="148">
                  <c:v>61.867856707142856</c:v>
                </c:pt>
                <c:pt idx="149">
                  <c:v>108.26642826857143</c:v>
                </c:pt>
                <c:pt idx="150">
                  <c:v>123.16000039999999</c:v>
                </c:pt>
                <c:pt idx="151">
                  <c:v>94.382143292857137</c:v>
                </c:pt>
                <c:pt idx="152">
                  <c:v>134.38285718142859</c:v>
                </c:pt>
                <c:pt idx="153">
                  <c:v>210.99928282857144</c:v>
                </c:pt>
                <c:pt idx="154">
                  <c:v>166.85428727142857</c:v>
                </c:pt>
                <c:pt idx="155">
                  <c:v>293.28928701428578</c:v>
                </c:pt>
                <c:pt idx="156">
                  <c:v>278.16286141428571</c:v>
                </c:pt>
                <c:pt idx="157">
                  <c:v>468.15499877929659</c:v>
                </c:pt>
                <c:pt idx="158">
                  <c:v>213.59428187142859</c:v>
                </c:pt>
                <c:pt idx="159">
                  <c:v>247.26214164285713</c:v>
                </c:pt>
                <c:pt idx="160">
                  <c:v>212.78856985714287</c:v>
                </c:pt>
                <c:pt idx="161">
                  <c:v>410.15428595714286</c:v>
                </c:pt>
                <c:pt idx="162">
                  <c:v>622.45499965122758</c:v>
                </c:pt>
                <c:pt idx="163">
                  <c:v>434.32357352857144</c:v>
                </c:pt>
                <c:pt idx="164">
                  <c:v>403.40571376255542</c:v>
                </c:pt>
                <c:pt idx="165">
                  <c:v>388.35356794285718</c:v>
                </c:pt>
                <c:pt idx="166">
                  <c:v>317.96785625714284</c:v>
                </c:pt>
                <c:pt idx="167">
                  <c:v>377.62500435714281</c:v>
                </c:pt>
                <c:pt idx="168">
                  <c:v>380.85929216657314</c:v>
                </c:pt>
                <c:pt idx="169">
                  <c:v>332.15285818917374</c:v>
                </c:pt>
                <c:pt idx="170">
                  <c:v>272.16142927142863</c:v>
                </c:pt>
                <c:pt idx="171" formatCode="0.00">
                  <c:v>174.17928642857143</c:v>
                </c:pt>
                <c:pt idx="172">
                  <c:v>124.01500048571428</c:v>
                </c:pt>
                <c:pt idx="173">
                  <c:v>109.72071402413471</c:v>
                </c:pt>
                <c:pt idx="174">
                  <c:v>121.69785745714287</c:v>
                </c:pt>
                <c:pt idx="175">
                  <c:v>98.23285565285714</c:v>
                </c:pt>
                <c:pt idx="176">
                  <c:v>74.486427307142861</c:v>
                </c:pt>
                <c:pt idx="177">
                  <c:v>66.354285648890865</c:v>
                </c:pt>
                <c:pt idx="178">
                  <c:v>60.742857795714293</c:v>
                </c:pt>
                <c:pt idx="179">
                  <c:v>60.932143074285719</c:v>
                </c:pt>
                <c:pt idx="180">
                  <c:v>56.771429334367994</c:v>
                </c:pt>
                <c:pt idx="181">
                  <c:v>51.780714305714291</c:v>
                </c:pt>
                <c:pt idx="182">
                  <c:v>47.265713828571435</c:v>
                </c:pt>
                <c:pt idx="183">
                  <c:v>44.601428440638877</c:v>
                </c:pt>
                <c:pt idx="184">
                  <c:v>42.742857252857149</c:v>
                </c:pt>
                <c:pt idx="185">
                  <c:v>40.262857164285712</c:v>
                </c:pt>
                <c:pt idx="186">
                  <c:v>39.827141895714291</c:v>
                </c:pt>
                <c:pt idx="187">
                  <c:v>37.761428834285709</c:v>
                </c:pt>
                <c:pt idx="188">
                  <c:v>37.760714394705587</c:v>
                </c:pt>
                <c:pt idx="189">
                  <c:v>38.402142115714284</c:v>
                </c:pt>
                <c:pt idx="190">
                  <c:v>36.792856487142856</c:v>
                </c:pt>
                <c:pt idx="191">
                  <c:v>37.991428375244077</c:v>
                </c:pt>
                <c:pt idx="192">
                  <c:v>40.24999999999995</c:v>
                </c:pt>
                <c:pt idx="193">
                  <c:v>41.220714024135006</c:v>
                </c:pt>
                <c:pt idx="194">
                  <c:v>38.451428549630243</c:v>
                </c:pt>
                <c:pt idx="195">
                  <c:v>41.307143075714286</c:v>
                </c:pt>
                <c:pt idx="196">
                  <c:v>45.036428724285713</c:v>
                </c:pt>
                <c:pt idx="197">
                  <c:v>44.255714417142862</c:v>
                </c:pt>
                <c:pt idx="198">
                  <c:v>49.407857077462303</c:v>
                </c:pt>
                <c:pt idx="199">
                  <c:v>49.056428090000004</c:v>
                </c:pt>
                <c:pt idx="200">
                  <c:v>48.241428374285711</c:v>
                </c:pt>
              </c:numCache>
            </c:numRef>
          </c:val>
          <c:smooth val="0"/>
          <c:extLst>
            <c:ext xmlns:c16="http://schemas.microsoft.com/office/drawing/2014/chart" uri="{C3380CC4-5D6E-409C-BE32-E72D297353CC}">
              <c16:uniqueId val="{00000003-4386-4F80-BA11-24E7324C05B4}"/>
            </c:ext>
          </c:extLst>
        </c:ser>
        <c:dLbls>
          <c:showLegendKey val="0"/>
          <c:showVal val="0"/>
          <c:showCatName val="0"/>
          <c:showSerName val="0"/>
          <c:showPercent val="0"/>
          <c:showBubbleSize val="0"/>
        </c:dLbls>
        <c:marker val="1"/>
        <c:smooth val="0"/>
        <c:axId val="625391256"/>
        <c:axId val="625393880"/>
      </c:lineChart>
      <c:catAx>
        <c:axId val="351621120"/>
        <c:scaling>
          <c:orientation val="minMax"/>
        </c:scaling>
        <c:delete val="0"/>
        <c:axPos val="b"/>
        <c:title>
          <c:tx>
            <c:rich>
              <a:bodyPr/>
              <a:lstStyle/>
              <a:p>
                <a:pPr>
                  <a:defRPr/>
                </a:pPr>
                <a:r>
                  <a:rPr lang="en-US"/>
                  <a:t>Semanas</a:t>
                </a:r>
              </a:p>
            </c:rich>
          </c:tx>
          <c:layout>
            <c:manualLayout>
              <c:xMode val="edge"/>
              <c:yMode val="edge"/>
              <c:x val="0.88213974323068556"/>
              <c:y val="0.94483344653141776"/>
            </c:manualLayout>
          </c:layout>
          <c:overlay val="0"/>
        </c:title>
        <c:numFmt formatCode="General" sourceLinked="1"/>
        <c:majorTickMark val="out"/>
        <c:minorTickMark val="none"/>
        <c:tickLblPos val="nextTo"/>
        <c:txPr>
          <a:bodyPr/>
          <a:lstStyle/>
          <a:p>
            <a:pPr>
              <a:defRPr kern="2000" spc="-100" baseline="0"/>
            </a:pPr>
            <a:endParaRPr lang="es-PE"/>
          </a:p>
        </c:txPr>
        <c:crossAx val="351623424"/>
        <c:crosses val="autoZero"/>
        <c:auto val="1"/>
        <c:lblAlgn val="ctr"/>
        <c:lblOffset val="100"/>
        <c:noMultiLvlLbl val="0"/>
      </c:catAx>
      <c:valAx>
        <c:axId val="351623424"/>
        <c:scaling>
          <c:orientation val="minMax"/>
          <c:max val="150"/>
          <c:min val="0"/>
        </c:scaling>
        <c:delete val="0"/>
        <c:axPos val="l"/>
        <c:majorGridlines/>
        <c:title>
          <c:tx>
            <c:rich>
              <a:bodyPr rot="0" vert="horz"/>
              <a:lstStyle/>
              <a:p>
                <a:pPr>
                  <a:defRPr/>
                </a:pPr>
                <a:r>
                  <a:rPr lang="en-US"/>
                  <a:t>m3/s</a:t>
                </a:r>
              </a:p>
              <a:p>
                <a:pPr>
                  <a:defRPr/>
                </a:pPr>
                <a:r>
                  <a:rPr lang="en-US"/>
                  <a:t>(Charcani y Aricota)</a:t>
                </a:r>
              </a:p>
            </c:rich>
          </c:tx>
          <c:layout>
            <c:manualLayout>
              <c:xMode val="edge"/>
              <c:yMode val="edge"/>
              <c:x val="1.9106845974712372E-4"/>
              <c:y val="3.9039481334262265E-2"/>
            </c:manualLayout>
          </c:layout>
          <c:overlay val="0"/>
        </c:title>
        <c:numFmt formatCode="0" sourceLinked="0"/>
        <c:majorTickMark val="out"/>
        <c:minorTickMark val="none"/>
        <c:tickLblPos val="nextTo"/>
        <c:crossAx val="351621120"/>
        <c:crosses val="autoZero"/>
        <c:crossBetween val="between"/>
      </c:valAx>
      <c:valAx>
        <c:axId val="625393880"/>
        <c:scaling>
          <c:orientation val="minMax"/>
        </c:scaling>
        <c:delete val="0"/>
        <c:axPos val="r"/>
        <c:numFmt formatCode="0.0" sourceLinked="1"/>
        <c:majorTickMark val="out"/>
        <c:minorTickMark val="none"/>
        <c:tickLblPos val="nextTo"/>
        <c:crossAx val="625391256"/>
        <c:crosses val="max"/>
        <c:crossBetween val="between"/>
      </c:valAx>
      <c:catAx>
        <c:axId val="625391256"/>
        <c:scaling>
          <c:orientation val="minMax"/>
        </c:scaling>
        <c:delete val="1"/>
        <c:axPos val="b"/>
        <c:majorTickMark val="out"/>
        <c:minorTickMark val="none"/>
        <c:tickLblPos val="nextTo"/>
        <c:crossAx val="625393880"/>
        <c:crosses val="autoZero"/>
        <c:auto val="1"/>
        <c:lblAlgn val="ctr"/>
        <c:lblOffset val="100"/>
        <c:noMultiLvlLbl val="0"/>
      </c:catAx>
    </c:plotArea>
    <c:legend>
      <c:legendPos val="t"/>
      <c:layout>
        <c:manualLayout>
          <c:xMode val="edge"/>
          <c:yMode val="edge"/>
          <c:x val="7.4282128616697765E-2"/>
          <c:y val="0.12071755064387545"/>
          <c:w val="0.86657836712676428"/>
          <c:h val="6.3582727286523422E-2"/>
        </c:manualLayout>
      </c:layout>
      <c:overlay val="0"/>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 Mayo 2019
INFSGI-MES-05-2019
12/06/2019
Versión: 01</c:oddHeader>
    </c:headerFooter>
    <c:pageMargins b="0.75" l="0.7" r="0.7" t="0.75" header="0.3" footer="0.3"/>
    <c:pageSetup paperSize="9"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NORTE</a:t>
            </a:r>
          </a:p>
        </c:rich>
      </c:tx>
      <c:layout>
        <c:manualLayout>
          <c:xMode val="edge"/>
          <c:yMode val="edge"/>
          <c:x val="0.32876309023748146"/>
          <c:y val="3.2778495357395271E-2"/>
        </c:manualLayout>
      </c:layout>
      <c:overlay val="0"/>
      <c:spPr>
        <a:noFill/>
        <a:ln>
          <a:noFill/>
        </a:ln>
        <a:effectLst/>
      </c:spPr>
    </c:title>
    <c:autoTitleDeleted val="0"/>
    <c:plotArea>
      <c:layout>
        <c:manualLayout>
          <c:layoutTarget val="inner"/>
          <c:xMode val="edge"/>
          <c:yMode val="edge"/>
          <c:x val="7.4563430523746435E-2"/>
          <c:y val="0.24675058286419874"/>
          <c:w val="0.92032086415822489"/>
          <c:h val="0.58085700669109142"/>
        </c:manualLayout>
      </c:layout>
      <c:barChart>
        <c:barDir val="col"/>
        <c:grouping val="clustered"/>
        <c:varyColors val="0"/>
        <c:ser>
          <c:idx val="1"/>
          <c:order val="0"/>
          <c:tx>
            <c:strRef>
              <c:f>'14. CMg'!$B$9</c:f>
              <c:strCache>
                <c:ptCount val="1"/>
                <c:pt idx="0">
                  <c:v>Cmg (USD/MWh)</c:v>
                </c:pt>
              </c:strCache>
            </c:strRef>
          </c:tx>
          <c:invertIfNegative val="0"/>
          <c:cat>
            <c:strRef>
              <c:f>'14. CMg'!$C$8:$G$8</c:f>
              <c:strCache>
                <c:ptCount val="5"/>
                <c:pt idx="0">
                  <c:v>PIURA OESTE 220</c:v>
                </c:pt>
                <c:pt idx="1">
                  <c:v>CHICLAYO 220</c:v>
                </c:pt>
                <c:pt idx="2">
                  <c:v>TRUJILLO 220</c:v>
                </c:pt>
                <c:pt idx="3">
                  <c:v>CHIMBOTE1 138</c:v>
                </c:pt>
                <c:pt idx="4">
                  <c:v>CAJAMARCA 220</c:v>
                </c:pt>
              </c:strCache>
            </c:strRef>
          </c:cat>
          <c:val>
            <c:numRef>
              <c:f>'14. CMg'!$C$9:$G$9</c:f>
              <c:numCache>
                <c:formatCode>0.00</c:formatCode>
                <c:ptCount val="5"/>
                <c:pt idx="0">
                  <c:v>17.984976469013525</c:v>
                </c:pt>
                <c:pt idx="1">
                  <c:v>17.878693518270694</c:v>
                </c:pt>
                <c:pt idx="2">
                  <c:v>17.483911201274502</c:v>
                </c:pt>
                <c:pt idx="3">
                  <c:v>17.334852147749007</c:v>
                </c:pt>
                <c:pt idx="4">
                  <c:v>17.675244158338142</c:v>
                </c:pt>
              </c:numCache>
            </c:numRef>
          </c:val>
          <c:extLst>
            <c:ext xmlns:c16="http://schemas.microsoft.com/office/drawing/2014/chart" uri="{C3380CC4-5D6E-409C-BE32-E72D297353CC}">
              <c16:uniqueId val="{00000000-7764-4954-A9AA-A06EEB099BDA}"/>
            </c:ext>
          </c:extLst>
        </c:ser>
        <c:dLbls>
          <c:showLegendKey val="0"/>
          <c:showVal val="0"/>
          <c:showCatName val="0"/>
          <c:showSerName val="0"/>
          <c:showPercent val="0"/>
          <c:showBubbleSize val="0"/>
        </c:dLbls>
        <c:gapWidth val="150"/>
        <c:axId val="351686016"/>
        <c:axId val="351691904"/>
      </c:barChart>
      <c:catAx>
        <c:axId val="35168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91904"/>
        <c:crosses val="autoZero"/>
        <c:auto val="1"/>
        <c:lblAlgn val="ctr"/>
        <c:lblOffset val="100"/>
        <c:noMultiLvlLbl val="0"/>
      </c:catAx>
      <c:valAx>
        <c:axId val="351691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6860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CENTRO</a:t>
            </a:r>
          </a:p>
        </c:rich>
      </c:tx>
      <c:layout>
        <c:manualLayout>
          <c:xMode val="edge"/>
          <c:yMode val="edge"/>
          <c:x val="0.31707992692798376"/>
          <c:y val="2.6382744673500515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7.038455143173182E-2"/>
          <c:y val="0.24403992052811641"/>
          <c:w val="0.89177286719082238"/>
          <c:h val="0.58691831931683114"/>
        </c:manualLayout>
      </c:layout>
      <c:barChart>
        <c:barDir val="col"/>
        <c:grouping val="clustered"/>
        <c:varyColors val="0"/>
        <c:ser>
          <c:idx val="1"/>
          <c:order val="0"/>
          <c:tx>
            <c:strRef>
              <c:f>'14. CMg'!$B$27</c:f>
              <c:strCache>
                <c:ptCount val="1"/>
                <c:pt idx="0">
                  <c:v>Cmg (USD/MWh)</c:v>
                </c:pt>
              </c:strCache>
            </c:strRef>
          </c:tx>
          <c:spPr>
            <a:solidFill>
              <a:schemeClr val="accent5"/>
            </a:solidFill>
            <a:ln>
              <a:noFill/>
            </a:ln>
            <a:effectLst/>
          </c:spPr>
          <c:invertIfNegative val="0"/>
          <c:cat>
            <c:strRef>
              <c:f>'14. CMg'!$C$26:$I$26</c:f>
              <c:strCache>
                <c:ptCount val="7"/>
                <c:pt idx="0">
                  <c:v>CHAVARRIA 220</c:v>
                </c:pt>
                <c:pt idx="1">
                  <c:v>SANTA ROSA 220</c:v>
                </c:pt>
                <c:pt idx="2">
                  <c:v>CARABAYLLO 220</c:v>
                </c:pt>
                <c:pt idx="3">
                  <c:v>SAN JUAN 220</c:v>
                </c:pt>
                <c:pt idx="4">
                  <c:v>INDEPENDENCIA 220</c:v>
                </c:pt>
                <c:pt idx="5">
                  <c:v>POMACOCHA 220</c:v>
                </c:pt>
                <c:pt idx="6">
                  <c:v>OROYA NUEVA 50</c:v>
                </c:pt>
              </c:strCache>
            </c:strRef>
          </c:cat>
          <c:val>
            <c:numRef>
              <c:f>'14. CMg'!$C$27:$I$27</c:f>
              <c:numCache>
                <c:formatCode>0.00</c:formatCode>
                <c:ptCount val="7"/>
                <c:pt idx="0">
                  <c:v>16.655598755186713</c:v>
                </c:pt>
                <c:pt idx="1">
                  <c:v>16.601464639569294</c:v>
                </c:pt>
                <c:pt idx="2">
                  <c:v>16.646116568137575</c:v>
                </c:pt>
                <c:pt idx="3">
                  <c:v>16.465805145265353</c:v>
                </c:pt>
                <c:pt idx="4">
                  <c:v>16.594660941938461</c:v>
                </c:pt>
                <c:pt idx="5">
                  <c:v>16.329097627493045</c:v>
                </c:pt>
                <c:pt idx="6">
                  <c:v>16.241282332797891</c:v>
                </c:pt>
              </c:numCache>
            </c:numRef>
          </c:val>
          <c:extLst>
            <c:ext xmlns:c16="http://schemas.microsoft.com/office/drawing/2014/chart" uri="{C3380CC4-5D6E-409C-BE32-E72D297353CC}">
              <c16:uniqueId val="{00000000-B158-4020-B878-39F7014F9E19}"/>
            </c:ext>
          </c:extLst>
        </c:ser>
        <c:dLbls>
          <c:showLegendKey val="0"/>
          <c:showVal val="0"/>
          <c:showCatName val="0"/>
          <c:showSerName val="0"/>
          <c:showPercent val="0"/>
          <c:showBubbleSize val="0"/>
        </c:dLbls>
        <c:gapWidth val="150"/>
        <c:axId val="351715712"/>
        <c:axId val="351717248"/>
      </c:barChart>
      <c:catAx>
        <c:axId val="35171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7248"/>
        <c:crosses val="autoZero"/>
        <c:auto val="1"/>
        <c:lblAlgn val="ctr"/>
        <c:lblOffset val="100"/>
        <c:noMultiLvlLbl val="0"/>
      </c:catAx>
      <c:valAx>
        <c:axId val="3517172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2901735082896E-4"/>
              <c:y val="4.9153982404284452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7157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s-PE" sz="800" b="1">
                <a:latin typeface="Arial" panose="020B0604020202020204" pitchFamily="34" charset="0"/>
                <a:cs typeface="Arial" panose="020B0604020202020204" pitchFamily="34" charset="0"/>
              </a:rPr>
              <a:t>COSTOS MARGINALES ÁREA SUR</a:t>
            </a:r>
          </a:p>
        </c:rich>
      </c:tx>
      <c:layout>
        <c:manualLayout>
          <c:xMode val="edge"/>
          <c:yMode val="edge"/>
          <c:x val="0.34195774299504433"/>
          <c:y val="1.8737614404973742E-2"/>
        </c:manualLayout>
      </c:layout>
      <c:overlay val="0"/>
      <c:spPr>
        <a:noFill/>
        <a:ln>
          <a:noFill/>
        </a:ln>
        <a:effectLst/>
      </c:spPr>
      <c:txPr>
        <a:bodyPr rot="0" spcFirstLastPara="1" vertOverflow="ellipsis" vert="horz" wrap="square" anchor="ctr" anchorCtr="1"/>
        <a:lstStyle/>
        <a:p>
          <a:pPr>
            <a:defRPr sz="800" b="1"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6.0869264332312156E-2"/>
          <c:y val="0.2123608164194446"/>
          <c:w val="0.92484897587158521"/>
          <c:h val="0.61859757007520855"/>
        </c:manualLayout>
      </c:layout>
      <c:barChart>
        <c:barDir val="col"/>
        <c:grouping val="clustered"/>
        <c:varyColors val="0"/>
        <c:ser>
          <c:idx val="1"/>
          <c:order val="0"/>
          <c:tx>
            <c:strRef>
              <c:f>'14. CMg'!$B$46</c:f>
              <c:strCache>
                <c:ptCount val="1"/>
                <c:pt idx="0">
                  <c:v>Cmg (USD/MWh)</c:v>
                </c:pt>
              </c:strCache>
            </c:strRef>
          </c:tx>
          <c:spPr>
            <a:solidFill>
              <a:schemeClr val="accent6"/>
            </a:solidFill>
            <a:ln>
              <a:noFill/>
            </a:ln>
            <a:effectLst/>
          </c:spPr>
          <c:invertIfNegative val="0"/>
          <c:cat>
            <c:strRef>
              <c:f>'14. CMg'!$C$45:$I$45</c:f>
              <c:strCache>
                <c:ptCount val="7"/>
                <c:pt idx="0">
                  <c:v>TINTAYA NUEVA 220</c:v>
                </c:pt>
                <c:pt idx="1">
                  <c:v>SOCABAYA 220</c:v>
                </c:pt>
                <c:pt idx="2">
                  <c:v>MOQUEGUA 138</c:v>
                </c:pt>
                <c:pt idx="3">
                  <c:v>PUNO 138</c:v>
                </c:pt>
                <c:pt idx="4">
                  <c:v>DOLORESPATA 138</c:v>
                </c:pt>
                <c:pt idx="5">
                  <c:v>COTARUSE 220</c:v>
                </c:pt>
                <c:pt idx="6">
                  <c:v>SAN GABAN 138</c:v>
                </c:pt>
              </c:strCache>
            </c:strRef>
          </c:cat>
          <c:val>
            <c:numRef>
              <c:f>'14. CMg'!$C$46:$I$46</c:f>
              <c:numCache>
                <c:formatCode>0.00</c:formatCode>
                <c:ptCount val="7"/>
                <c:pt idx="0">
                  <c:v>17.971373647176552</c:v>
                </c:pt>
                <c:pt idx="1">
                  <c:v>17.381823005249842</c:v>
                </c:pt>
                <c:pt idx="2">
                  <c:v>17.307859827072054</c:v>
                </c:pt>
                <c:pt idx="3">
                  <c:v>17.477607378344437</c:v>
                </c:pt>
                <c:pt idx="4">
                  <c:v>16.950304095465441</c:v>
                </c:pt>
                <c:pt idx="5">
                  <c:v>16.790694976315816</c:v>
                </c:pt>
                <c:pt idx="6">
                  <c:v>16.273411140855799</c:v>
                </c:pt>
              </c:numCache>
            </c:numRef>
          </c:val>
          <c:extLst>
            <c:ext xmlns:c16="http://schemas.microsoft.com/office/drawing/2014/chart" uri="{C3380CC4-5D6E-409C-BE32-E72D297353CC}">
              <c16:uniqueId val="{00000000-8E4B-459D-9878-4E375F3E26EF}"/>
            </c:ext>
          </c:extLst>
        </c:ser>
        <c:dLbls>
          <c:showLegendKey val="0"/>
          <c:showVal val="0"/>
          <c:showCatName val="0"/>
          <c:showSerName val="0"/>
          <c:showPercent val="0"/>
          <c:showBubbleSize val="0"/>
        </c:dLbls>
        <c:gapWidth val="150"/>
        <c:axId val="351831168"/>
        <c:axId val="351832704"/>
      </c:barChart>
      <c:catAx>
        <c:axId val="351831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6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2704"/>
        <c:crosses val="autoZero"/>
        <c:auto val="1"/>
        <c:lblAlgn val="ctr"/>
        <c:lblOffset val="100"/>
        <c:noMultiLvlLbl val="0"/>
      </c:catAx>
      <c:valAx>
        <c:axId val="3518327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Cmg</a:t>
                </a:r>
              </a:p>
              <a:p>
                <a:pPr algn="l">
                  <a:defRPr sz="800" b="1">
                    <a:solidFill>
                      <a:schemeClr val="tx1"/>
                    </a:solidFill>
                    <a:latin typeface="Arial" panose="020B0604020202020204" pitchFamily="34" charset="0"/>
                    <a:cs typeface="Arial" panose="020B0604020202020204" pitchFamily="34" charset="0"/>
                  </a:defRPr>
                </a:pPr>
                <a:r>
                  <a:rPr lang="es-PE" sz="800" b="1">
                    <a:solidFill>
                      <a:schemeClr val="tx1"/>
                    </a:solidFill>
                    <a:latin typeface="Arial" panose="020B0604020202020204" pitchFamily="34" charset="0"/>
                    <a:cs typeface="Arial" panose="020B0604020202020204" pitchFamily="34" charset="0"/>
                  </a:rPr>
                  <a:t>(USD/MWh)</a:t>
                </a:r>
              </a:p>
            </c:rich>
          </c:tx>
          <c:layout>
            <c:manualLayout>
              <c:xMode val="edge"/>
              <c:yMode val="edge"/>
              <c:x val="9.5431272405705066E-4"/>
              <c:y val="4.9181196288956689E-4"/>
            </c:manualLayout>
          </c:layout>
          <c:overlay val="0"/>
          <c:spPr>
            <a:noFill/>
            <a:ln>
              <a:noFill/>
            </a:ln>
            <a:effectLst/>
          </c:spPr>
          <c:txPr>
            <a:bodyPr rot="0" spcFirstLastPara="1" vertOverflow="ellipsis" wrap="square" anchor="ctr" anchorCtr="1"/>
            <a:lstStyle/>
            <a:p>
              <a:pPr algn="l">
                <a:defRPr sz="800" b="1"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title>
        <c:numFmt formatCode="0.00" sourceLinked="0"/>
        <c:majorTickMark val="none"/>
        <c:minorTickMark val="none"/>
        <c:tickLblPos val="nextTo"/>
        <c:spPr>
          <a:noFill/>
          <a:ln>
            <a:noFill/>
          </a:ln>
          <a:effectLst/>
        </c:spPr>
        <c:txPr>
          <a:bodyPr rot="0" spcFirstLastPara="1" vertOverflow="ellipsis" wrap="square" anchor="ctr" anchorCtr="1"/>
          <a:lstStyle/>
          <a:p>
            <a:pPr>
              <a:defRPr sz="8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518311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PE"/>
    </a:p>
  </c:txPr>
  <c:printSettings>
    <c:headerFooter alignWithMargins="0"/>
    <c:pageMargins b="1" l="0.75000000000000955" r="0.75000000000000955" t="1" header="0.5" footer="0.5"/>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4.724593084619317E-2"/>
          <c:y val="0.11999420629358019"/>
          <c:w val="0.93112961596945032"/>
          <c:h val="0.69856504737218861"/>
        </c:manualLayout>
      </c:layout>
      <c:barChart>
        <c:barDir val="col"/>
        <c:grouping val="clustered"/>
        <c:varyColors val="0"/>
        <c:ser>
          <c:idx val="2"/>
          <c:order val="0"/>
          <c:tx>
            <c:strRef>
              <c:f>'16. Congestiones'!$F$6</c:f>
              <c:strCache>
                <c:ptCount val="1"/>
                <c:pt idx="0">
                  <c:v>OCTUBRE
 2018</c:v>
                </c:pt>
              </c:strCache>
            </c:strRef>
          </c:tx>
          <c:spPr>
            <a:solidFill>
              <a:schemeClr val="accent6"/>
            </a:solidFill>
          </c:spPr>
          <c:invertIfNegative val="0"/>
          <c:cat>
            <c:strRef>
              <c:f>'16. Congestiones'!$C$7:$C$11</c:f>
              <c:strCache>
                <c:ptCount val="5"/>
                <c:pt idx="0">
                  <c:v>SANTA ROSA N. - CHAVARRÍA</c:v>
                </c:pt>
                <c:pt idx="1">
                  <c:v>POMACOCHA - SAN JUAN</c:v>
                </c:pt>
                <c:pt idx="2">
                  <c:v>MARCONA - SAN NICOLÁS</c:v>
                </c:pt>
                <c:pt idx="3">
                  <c:v>INDEPENDENCIA</c:v>
                </c:pt>
                <c:pt idx="4">
                  <c:v>MARCONA</c:v>
                </c:pt>
              </c:strCache>
            </c:strRef>
          </c:cat>
          <c:val>
            <c:numRef>
              <c:f>'16. Congestiones'!$F$7:$F$11</c:f>
              <c:numCache>
                <c:formatCode>#,##0.00</c:formatCode>
                <c:ptCount val="5"/>
                <c:pt idx="1">
                  <c:v>40.86666666666666</c:v>
                </c:pt>
              </c:numCache>
            </c:numRef>
          </c:val>
          <c:extLst>
            <c:ext xmlns:c16="http://schemas.microsoft.com/office/drawing/2014/chart" uri="{C3380CC4-5D6E-409C-BE32-E72D297353CC}">
              <c16:uniqueId val="{00000000-80E7-4E97-9CC8-4EC563B29B05}"/>
            </c:ext>
          </c:extLst>
        </c:ser>
        <c:ser>
          <c:idx val="1"/>
          <c:order val="1"/>
          <c:tx>
            <c:strRef>
              <c:f>'16. Congestiones'!$E$6</c:f>
              <c:strCache>
                <c:ptCount val="1"/>
                <c:pt idx="0">
                  <c:v>OCTUBRE
 2019</c:v>
                </c:pt>
              </c:strCache>
            </c:strRef>
          </c:tx>
          <c:invertIfNegative val="0"/>
          <c:cat>
            <c:strRef>
              <c:f>'16. Congestiones'!$C$7:$C$11</c:f>
              <c:strCache>
                <c:ptCount val="5"/>
                <c:pt idx="0">
                  <c:v>SANTA ROSA N. - CHAVARRÍA</c:v>
                </c:pt>
                <c:pt idx="1">
                  <c:v>POMACOCHA - SAN JUAN</c:v>
                </c:pt>
                <c:pt idx="2">
                  <c:v>MARCONA - SAN NICOLÁS</c:v>
                </c:pt>
                <c:pt idx="3">
                  <c:v>INDEPENDENCIA</c:v>
                </c:pt>
                <c:pt idx="4">
                  <c:v>MARCONA</c:v>
                </c:pt>
              </c:strCache>
            </c:strRef>
          </c:cat>
          <c:val>
            <c:numRef>
              <c:f>'16. Congestiones'!$E$7:$E$11</c:f>
              <c:numCache>
                <c:formatCode>#,##0.00</c:formatCode>
                <c:ptCount val="5"/>
                <c:pt idx="3">
                  <c:v>134.46666666666667</c:v>
                </c:pt>
              </c:numCache>
            </c:numRef>
          </c:val>
          <c:extLst>
            <c:ext xmlns:c16="http://schemas.microsoft.com/office/drawing/2014/chart" uri="{C3380CC4-5D6E-409C-BE32-E72D297353CC}">
              <c16:uniqueId val="{00000001-80E7-4E97-9CC8-4EC563B29B05}"/>
            </c:ext>
          </c:extLst>
        </c:ser>
        <c:ser>
          <c:idx val="0"/>
          <c:order val="2"/>
          <c:tx>
            <c:strRef>
              <c:f>'16. Congestiones'!$D$6</c:f>
              <c:strCache>
                <c:ptCount val="1"/>
                <c:pt idx="0">
                  <c:v>OCTUBRE
 2020</c:v>
                </c:pt>
              </c:strCache>
            </c:strRef>
          </c:tx>
          <c:invertIfNegative val="0"/>
          <c:cat>
            <c:strRef>
              <c:f>'16. Congestiones'!$C$7:$C$11</c:f>
              <c:strCache>
                <c:ptCount val="5"/>
                <c:pt idx="0">
                  <c:v>SANTA ROSA N. - CHAVARRÍA</c:v>
                </c:pt>
                <c:pt idx="1">
                  <c:v>POMACOCHA - SAN JUAN</c:v>
                </c:pt>
                <c:pt idx="2">
                  <c:v>MARCONA - SAN NICOLÁS</c:v>
                </c:pt>
                <c:pt idx="3">
                  <c:v>INDEPENDENCIA</c:v>
                </c:pt>
                <c:pt idx="4">
                  <c:v>MARCONA</c:v>
                </c:pt>
              </c:strCache>
            </c:strRef>
          </c:cat>
          <c:val>
            <c:numRef>
              <c:f>'16. Congestiones'!$D$7:$D$11</c:f>
              <c:numCache>
                <c:formatCode>#,##0.00</c:formatCode>
                <c:ptCount val="5"/>
                <c:pt idx="0">
                  <c:v>8.3999999999999986</c:v>
                </c:pt>
                <c:pt idx="2">
                  <c:v>57.8</c:v>
                </c:pt>
                <c:pt idx="3">
                  <c:v>174.20000000000002</c:v>
                </c:pt>
                <c:pt idx="4">
                  <c:v>10.350000000000001</c:v>
                </c:pt>
              </c:numCache>
            </c:numRef>
          </c:val>
          <c:extLst>
            <c:ext xmlns:c16="http://schemas.microsoft.com/office/drawing/2014/chart" uri="{C3380CC4-5D6E-409C-BE32-E72D297353CC}">
              <c16:uniqueId val="{00000002-80E7-4E97-9CC8-4EC563B29B05}"/>
            </c:ext>
          </c:extLst>
        </c:ser>
        <c:dLbls>
          <c:showLegendKey val="0"/>
          <c:showVal val="0"/>
          <c:showCatName val="0"/>
          <c:showSerName val="0"/>
          <c:showPercent val="0"/>
          <c:showBubbleSize val="0"/>
        </c:dLbls>
        <c:gapWidth val="150"/>
        <c:axId val="353038720"/>
        <c:axId val="353040256"/>
      </c:barChart>
      <c:catAx>
        <c:axId val="353038720"/>
        <c:scaling>
          <c:orientation val="minMax"/>
        </c:scaling>
        <c:delete val="0"/>
        <c:axPos val="b"/>
        <c:numFmt formatCode="General" sourceLinked="0"/>
        <c:majorTickMark val="out"/>
        <c:minorTickMark val="none"/>
        <c:tickLblPos val="nextTo"/>
        <c:txPr>
          <a:bodyPr/>
          <a:lstStyle/>
          <a:p>
            <a:pPr>
              <a:defRPr sz="700"/>
            </a:pPr>
            <a:endParaRPr lang="es-PE"/>
          </a:p>
        </c:txPr>
        <c:crossAx val="353040256"/>
        <c:crosses val="autoZero"/>
        <c:auto val="1"/>
        <c:lblAlgn val="ctr"/>
        <c:lblOffset val="100"/>
        <c:noMultiLvlLbl val="0"/>
      </c:catAx>
      <c:valAx>
        <c:axId val="353040256"/>
        <c:scaling>
          <c:orientation val="minMax"/>
          <c:min val="0"/>
        </c:scaling>
        <c:delete val="0"/>
        <c:axPos val="l"/>
        <c:majorGridlines/>
        <c:title>
          <c:tx>
            <c:rich>
              <a:bodyPr rot="0" vert="horz"/>
              <a:lstStyle/>
              <a:p>
                <a:pPr>
                  <a:defRPr sz="900"/>
                </a:pPr>
                <a:r>
                  <a:rPr lang="en-US" sz="900"/>
                  <a:t>Horas</a:t>
                </a:r>
              </a:p>
            </c:rich>
          </c:tx>
          <c:layout>
            <c:manualLayout>
              <c:xMode val="edge"/>
              <c:yMode val="edge"/>
              <c:x val="0.10167545064570142"/>
              <c:y val="6.0123254018037961E-2"/>
            </c:manualLayout>
          </c:layout>
          <c:overlay val="0"/>
        </c:title>
        <c:numFmt formatCode="#,##0;[Red]#,##0" sourceLinked="0"/>
        <c:majorTickMark val="out"/>
        <c:minorTickMark val="none"/>
        <c:tickLblPos val="nextTo"/>
        <c:crossAx val="353038720"/>
        <c:crosses val="autoZero"/>
        <c:crossBetween val="between"/>
      </c:valAx>
    </c:plotArea>
    <c:legend>
      <c:legendPos val="r"/>
      <c:layout>
        <c:manualLayout>
          <c:xMode val="edge"/>
          <c:yMode val="edge"/>
          <c:x val="0.18195242707363274"/>
          <c:y val="1.7496948728826747E-2"/>
          <c:w val="0.78574290705848138"/>
          <c:h val="8.3464919141946467E-2"/>
        </c:manualLayout>
      </c:layout>
      <c:overlay val="0"/>
      <c:txPr>
        <a:bodyPr/>
        <a:lstStyle/>
        <a:p>
          <a:pPr>
            <a:defRPr sz="900"/>
          </a:pPr>
          <a:endParaRPr lang="es-PE"/>
        </a:p>
      </c:txPr>
    </c:legend>
    <c:plotVisOnly val="1"/>
    <c:dispBlanksAs val="gap"/>
    <c:showDLblsOverMax val="0"/>
  </c:chart>
  <c:spPr>
    <a:noFill/>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oddHeader>&amp;R&amp;7Informe de la Operación Mensual-
Febrero 2020
INFSGI-MES-02-2020
13/03/2020
Versión: 01</c:oddHeader>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101411740408306"/>
          <c:y val="0.15441055257859515"/>
          <c:w val="0.55882044724852242"/>
          <c:h val="0.62838842768808356"/>
        </c:manualLayout>
      </c:layout>
      <c:pieChart>
        <c:varyColors val="1"/>
        <c:ser>
          <c:idx val="0"/>
          <c:order val="0"/>
          <c:explosion val="8"/>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0CC-4AD3-904F-2124A98CD90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0CC-4AD3-904F-2124A98CD90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4-E0CC-4AD3-904F-2124A98CD90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E0CC-4AD3-904F-2124A98CD90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6-E0CC-4AD3-904F-2124A98CD90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7-E0CC-4AD3-904F-2124A98CD90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8-E0CC-4AD3-904F-2124A98CD904}"/>
              </c:ext>
            </c:extLst>
          </c:dPt>
          <c:dLbls>
            <c:dLbl>
              <c:idx val="0"/>
              <c:layout>
                <c:manualLayout>
                  <c:x val="8.641430543707293E-2"/>
                  <c:y val="3.8068151298327173E-3"/>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17962790701532258"/>
                      <c:h val="0.15931250428330374"/>
                    </c:manualLayout>
                  </c15:layout>
                </c:ext>
                <c:ext xmlns:c16="http://schemas.microsoft.com/office/drawing/2014/chart" uri="{C3380CC4-5D6E-409C-BE32-E72D297353CC}">
                  <c16:uniqueId val="{00000001-E0CC-4AD3-904F-2124A98CD904}"/>
                </c:ext>
              </c:extLst>
            </c:dLbl>
            <c:dLbl>
              <c:idx val="1"/>
              <c:layout>
                <c:manualLayout>
                  <c:x val="0.1626345469097086"/>
                  <c:y val="-6.9835177240913223E-3"/>
                </c:manualLayout>
              </c:layout>
              <c:spPr>
                <a:noFill/>
                <a:ln>
                  <a:noFill/>
                </a:ln>
                <a:effectLst/>
              </c:spPr>
              <c:txPr>
                <a:bodyPr rot="0" spcFirstLastPara="1" vertOverflow="ellipsis" vert="horz" wrap="square" lIns="38100" tIns="19050" rIns="38100" bIns="19050" anchor="ctr" anchorCtr="1">
                  <a:noAutofit/>
                </a:bodyPr>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15:layout>
                    <c:manualLayout>
                      <c:w val="0.18763475107800859"/>
                      <c:h val="0.10918085346579363"/>
                    </c:manualLayout>
                  </c15:layout>
                </c:ext>
                <c:ext xmlns:c16="http://schemas.microsoft.com/office/drawing/2014/chart" uri="{C3380CC4-5D6E-409C-BE32-E72D297353CC}">
                  <c16:uniqueId val="{00000003-E0CC-4AD3-904F-2124A98CD904}"/>
                </c:ext>
              </c:extLst>
            </c:dLbl>
            <c:dLbl>
              <c:idx val="2"/>
              <c:layout>
                <c:manualLayout>
                  <c:x val="-1.5402456552985758E-3"/>
                  <c:y val="4.489049446827726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0CC-4AD3-904F-2124A98CD904}"/>
                </c:ext>
              </c:extLst>
            </c:dLbl>
            <c:dLbl>
              <c:idx val="3"/>
              <c:layout>
                <c:manualLayout>
                  <c:x val="0.68483764536782954"/>
                  <c:y val="0.35466877398961388"/>
                </c:manualLayout>
              </c:layout>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bg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E0CC-4AD3-904F-2124A98CD904}"/>
                </c:ext>
              </c:extLst>
            </c:dLbl>
            <c:dLbl>
              <c:idx val="4"/>
              <c:layout>
                <c:manualLayout>
                  <c:x val="-6.3431067080997267E-3"/>
                  <c:y val="-7.9353179461628079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6-E0CC-4AD3-904F-2124A98CD904}"/>
                </c:ext>
              </c:extLst>
            </c:dLbl>
            <c:dLbl>
              <c:idx val="5"/>
              <c:layout>
                <c:manualLayout>
                  <c:x val="-4.081283483601212E-2"/>
                  <c:y val="-4.517995032738770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E0CC-4AD3-904F-2124A98CD904}"/>
                </c:ext>
              </c:extLst>
            </c:dLbl>
            <c:dLbl>
              <c:idx val="6"/>
              <c:layout>
                <c:manualLayout>
                  <c:x val="0.14750383836404035"/>
                  <c:y val="-3.1055317227365088E-2"/>
                </c:manualLayout>
              </c:layout>
              <c:numFmt formatCode="General" sourceLinked="0"/>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s-PE"/>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8-E0CC-4AD3-904F-2124A98CD904}"/>
                </c:ext>
              </c:extLst>
            </c:dLbl>
            <c:spPr>
              <a:noFill/>
              <a:ln>
                <a:noFill/>
              </a:ln>
              <a:effectLst/>
            </c:spPr>
            <c:txPr>
              <a:bodyPr rot="0" spcFirstLastPara="1" vertOverflow="ellipsis" vert="horz" wrap="square" lIns="38100" tIns="19050" rIns="38100" bIns="19050" anchor="ctr" anchorCtr="1">
                <a:spAutoFit/>
              </a:bodyPr>
              <a:lstStyle/>
              <a:p>
                <a:pPr>
                  <a:defRPr sz="700" b="0" i="0" u="none" strike="noStrike" kern="1200" baseline="0">
                    <a:solidFill>
                      <a:schemeClr val="tx1"/>
                    </a:solidFill>
                    <a:latin typeface="+mn-lt"/>
                    <a:ea typeface="+mn-ea"/>
                    <a:cs typeface="+mn-cs"/>
                  </a:defRPr>
                </a:pPr>
                <a:endParaRPr lang="es-PE"/>
              </a:p>
            </c:txPr>
            <c:showLegendKey val="0"/>
            <c:showVal val="0"/>
            <c:showCatName val="0"/>
            <c:showSerName val="0"/>
            <c:showPercent val="0"/>
            <c:showBubbleSize val="0"/>
            <c:extLst>
              <c:ext xmlns:c15="http://schemas.microsoft.com/office/drawing/2012/chart" uri="{CE6537A1-D6FC-4f65-9D91-7224C49458BB}"/>
            </c:extLst>
          </c:dLbls>
          <c:cat>
            <c:strRef>
              <c:f>'17. Eventos'!$B$6:$H$6</c:f>
              <c:strCache>
                <c:ptCount val="7"/>
                <c:pt idx="0">
                  <c:v>FNA</c:v>
                </c:pt>
                <c:pt idx="1">
                  <c:v>FEC</c:v>
                </c:pt>
                <c:pt idx="2">
                  <c:v>EXT</c:v>
                </c:pt>
                <c:pt idx="3">
                  <c:v>OTR</c:v>
                </c:pt>
                <c:pt idx="4">
                  <c:v>FNI</c:v>
                </c:pt>
                <c:pt idx="5">
                  <c:v>FEP</c:v>
                </c:pt>
                <c:pt idx="6">
                  <c:v>FHU</c:v>
                </c:pt>
              </c:strCache>
            </c:strRef>
          </c:cat>
          <c:val>
            <c:numRef>
              <c:f>'17. Eventos'!$B$12:$H$12</c:f>
              <c:numCache>
                <c:formatCode>General</c:formatCode>
                <c:ptCount val="7"/>
                <c:pt idx="0">
                  <c:v>17</c:v>
                </c:pt>
                <c:pt idx="1">
                  <c:v>10</c:v>
                </c:pt>
                <c:pt idx="2">
                  <c:v>7</c:v>
                </c:pt>
                <c:pt idx="3">
                  <c:v>0</c:v>
                </c:pt>
                <c:pt idx="4">
                  <c:v>8</c:v>
                </c:pt>
                <c:pt idx="5">
                  <c:v>1</c:v>
                </c:pt>
                <c:pt idx="6">
                  <c:v>1</c:v>
                </c:pt>
              </c:numCache>
            </c:numRef>
          </c:val>
          <c:extLst>
            <c:ext xmlns:c16="http://schemas.microsoft.com/office/drawing/2014/chart" uri="{C3380CC4-5D6E-409C-BE32-E72D297353CC}">
              <c16:uniqueId val="{00000009-E0CC-4AD3-904F-2124A98CD904}"/>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b"/>
      <c:layout>
        <c:manualLayout>
          <c:xMode val="edge"/>
          <c:yMode val="edge"/>
          <c:x val="3.0066692685367068E-2"/>
          <c:y val="0.88760256996531239"/>
          <c:w val="0.87962067322309168"/>
          <c:h val="0.11239743003468745"/>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s-P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700"/>
      </a:pPr>
      <a:endParaRPr lang="es-PE"/>
    </a:p>
  </c:txPr>
  <c:printSettings>
    <c:headerFooter/>
    <c:pageMargins b="0.75" l="0.7" r="0.7" t="0.75" header="0.3" footer="0.3"/>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3535812661439127E-2"/>
          <c:y val="0.12017345192914348"/>
          <c:w val="0.90334384619842112"/>
          <c:h val="0.66124715873920958"/>
        </c:manualLayout>
      </c:layout>
      <c:barChart>
        <c:barDir val="col"/>
        <c:grouping val="clustered"/>
        <c:varyColors val="0"/>
        <c:ser>
          <c:idx val="0"/>
          <c:order val="0"/>
          <c:invertIfNegative val="0"/>
          <c:cat>
            <c:strRef>
              <c:f>'17. Eventos'!$A$7:$A$11</c:f>
              <c:strCache>
                <c:ptCount val="5"/>
                <c:pt idx="0">
                  <c:v>LINEA DE TRANSMISION          </c:v>
                </c:pt>
                <c:pt idx="1">
                  <c:v>TRANSFORMADOR 2D</c:v>
                </c:pt>
                <c:pt idx="2">
                  <c:v>TRANSFORMADOR 3D</c:v>
                </c:pt>
                <c:pt idx="3">
                  <c:v>BARRA</c:v>
                </c:pt>
                <c:pt idx="4">
                  <c:v>GENERADOR TERMOELÉCTRICO</c:v>
                </c:pt>
              </c:strCache>
            </c:strRef>
          </c:cat>
          <c:val>
            <c:numRef>
              <c:f>'17. Eventos'!$J$7:$J$11</c:f>
              <c:numCache>
                <c:formatCode>#,##0.00</c:formatCode>
                <c:ptCount val="5"/>
                <c:pt idx="0">
                  <c:v>281.68</c:v>
                </c:pt>
                <c:pt idx="1">
                  <c:v>51.71</c:v>
                </c:pt>
                <c:pt idx="2">
                  <c:v>0.46</c:v>
                </c:pt>
                <c:pt idx="3">
                  <c:v>8.8000000000000007</c:v>
                </c:pt>
                <c:pt idx="4">
                  <c:v>5.5</c:v>
                </c:pt>
              </c:numCache>
            </c:numRef>
          </c:val>
          <c:extLst>
            <c:ext xmlns:c16="http://schemas.microsoft.com/office/drawing/2014/chart" uri="{C3380CC4-5D6E-409C-BE32-E72D297353CC}">
              <c16:uniqueId val="{00000000-35B1-4A0F-9206-FBB407DC21EA}"/>
            </c:ext>
          </c:extLst>
        </c:ser>
        <c:dLbls>
          <c:showLegendKey val="0"/>
          <c:showVal val="0"/>
          <c:showCatName val="0"/>
          <c:showSerName val="0"/>
          <c:showPercent val="0"/>
          <c:showBubbleSize val="0"/>
        </c:dLbls>
        <c:gapWidth val="150"/>
        <c:axId val="352890240"/>
        <c:axId val="352892032"/>
      </c:barChart>
      <c:catAx>
        <c:axId val="352890240"/>
        <c:scaling>
          <c:orientation val="minMax"/>
        </c:scaling>
        <c:delete val="0"/>
        <c:axPos val="b"/>
        <c:numFmt formatCode="General" sourceLinked="0"/>
        <c:majorTickMark val="out"/>
        <c:minorTickMark val="none"/>
        <c:tickLblPos val="nextTo"/>
        <c:txPr>
          <a:bodyPr/>
          <a:lstStyle/>
          <a:p>
            <a:pPr>
              <a:defRPr sz="500"/>
            </a:pPr>
            <a:endParaRPr lang="es-PE"/>
          </a:p>
        </c:txPr>
        <c:crossAx val="352892032"/>
        <c:crosses val="autoZero"/>
        <c:auto val="1"/>
        <c:lblAlgn val="ctr"/>
        <c:lblOffset val="100"/>
        <c:noMultiLvlLbl val="0"/>
      </c:catAx>
      <c:valAx>
        <c:axId val="352892032"/>
        <c:scaling>
          <c:orientation val="minMax"/>
        </c:scaling>
        <c:delete val="0"/>
        <c:axPos val="l"/>
        <c:majorGridlines/>
        <c:title>
          <c:tx>
            <c:rich>
              <a:bodyPr rot="0" vert="horz"/>
              <a:lstStyle/>
              <a:p>
                <a:pPr>
                  <a:defRPr/>
                </a:pPr>
                <a:r>
                  <a:rPr lang="en-US"/>
                  <a:t>MWh</a:t>
                </a:r>
              </a:p>
            </c:rich>
          </c:tx>
          <c:layout>
            <c:manualLayout>
              <c:xMode val="edge"/>
              <c:yMode val="edge"/>
              <c:x val="2.6406466964265001E-2"/>
              <c:y val="4.7034117921252779E-3"/>
            </c:manualLayout>
          </c:layout>
          <c:overlay val="0"/>
        </c:title>
        <c:numFmt formatCode="#,##0" sourceLinked="0"/>
        <c:majorTickMark val="out"/>
        <c:minorTickMark val="none"/>
        <c:tickLblPos val="nextTo"/>
        <c:txPr>
          <a:bodyPr/>
          <a:lstStyle/>
          <a:p>
            <a:pPr>
              <a:defRPr sz="700"/>
            </a:pPr>
            <a:endParaRPr lang="es-PE"/>
          </a:p>
        </c:txPr>
        <c:crossAx val="352890240"/>
        <c:crosses val="autoZero"/>
        <c:crossBetween val="between"/>
      </c:valAx>
    </c:plotArea>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9.2815445997607549E-2"/>
          <c:y val="9.4498598583222973E-2"/>
          <c:w val="0.73838460292799712"/>
          <c:h val="0.75611868754961753"/>
        </c:manualLayout>
      </c:layout>
      <c:barChart>
        <c:barDir val="bar"/>
        <c:grouping val="stacked"/>
        <c:varyColors val="0"/>
        <c:ser>
          <c:idx val="0"/>
          <c:order val="0"/>
          <c:tx>
            <c:strRef>
              <c:f>'2. Oferta de generación'!$B$30:$C$30</c:f>
              <c:strCache>
                <c:ptCount val="2"/>
                <c:pt idx="0">
                  <c:v>HIDROELÉCTRICA</c:v>
                </c:pt>
              </c:strCache>
            </c:strRef>
          </c:tx>
          <c:invertIfNegative val="0"/>
          <c:dPt>
            <c:idx val="0"/>
            <c:invertIfNegative val="0"/>
            <c:bubble3D val="0"/>
            <c:spPr>
              <a:solidFill>
                <a:srgbClr val="0077A5"/>
              </a:solidFill>
            </c:spPr>
            <c:extLst>
              <c:ext xmlns:c16="http://schemas.microsoft.com/office/drawing/2014/chart" uri="{C3380CC4-5D6E-409C-BE32-E72D297353CC}">
                <c16:uniqueId val="{00000001-4B09-496C-99BD-D5E264903C76}"/>
              </c:ext>
            </c:extLst>
          </c:dPt>
          <c:dPt>
            <c:idx val="1"/>
            <c:invertIfNegative val="0"/>
            <c:bubble3D val="0"/>
            <c:spPr>
              <a:solidFill>
                <a:srgbClr val="0077A5"/>
              </a:solidFill>
            </c:spPr>
            <c:extLst>
              <c:ext xmlns:c16="http://schemas.microsoft.com/office/drawing/2014/chart" uri="{C3380CC4-5D6E-409C-BE32-E72D297353CC}">
                <c16:uniqueId val="{00000000-4B09-496C-99BD-D5E264903C76}"/>
              </c:ext>
            </c:extLst>
          </c:dPt>
          <c:cat>
            <c:strRef>
              <c:f>'2. Oferta de generación'!$D$29:$E$29</c:f>
              <c:strCache>
                <c:ptCount val="2"/>
                <c:pt idx="0">
                  <c:v>OCTUBRE 2020</c:v>
                </c:pt>
                <c:pt idx="1">
                  <c:v>OCTUBRE 2019</c:v>
                </c:pt>
              </c:strCache>
            </c:strRef>
          </c:cat>
          <c:val>
            <c:numRef>
              <c:f>'2. Oferta de generación'!$D$30:$E$30</c:f>
              <c:numCache>
                <c:formatCode>#,##0.0</c:formatCode>
                <c:ptCount val="2"/>
                <c:pt idx="0">
                  <c:v>5183.1192474999998</c:v>
                </c:pt>
                <c:pt idx="1">
                  <c:v>5122.3492474999994</c:v>
                </c:pt>
              </c:numCache>
            </c:numRef>
          </c:val>
          <c:extLst>
            <c:ext xmlns:c16="http://schemas.microsoft.com/office/drawing/2014/chart" uri="{C3380CC4-5D6E-409C-BE32-E72D297353CC}">
              <c16:uniqueId val="{00000004-54B0-402D-913D-0304413B844F}"/>
            </c:ext>
          </c:extLst>
        </c:ser>
        <c:ser>
          <c:idx val="1"/>
          <c:order val="1"/>
          <c:tx>
            <c:strRef>
              <c:f>'2. Oferta de generación'!$B$31:$C$31</c:f>
              <c:strCache>
                <c:ptCount val="2"/>
                <c:pt idx="0">
                  <c:v>TERMOELÉCTRICA</c:v>
                </c:pt>
              </c:strCache>
            </c:strRef>
          </c:tx>
          <c:spPr>
            <a:solidFill>
              <a:schemeClr val="accent2"/>
            </a:solidFill>
          </c:spPr>
          <c:invertIfNegative val="0"/>
          <c:cat>
            <c:strRef>
              <c:f>'2. Oferta de generación'!$D$29:$E$29</c:f>
              <c:strCache>
                <c:ptCount val="2"/>
                <c:pt idx="0">
                  <c:v>OCTUBRE 2020</c:v>
                </c:pt>
                <c:pt idx="1">
                  <c:v>OCTUBRE 2019</c:v>
                </c:pt>
              </c:strCache>
            </c:strRef>
          </c:cat>
          <c:val>
            <c:numRef>
              <c:f>'2. Oferta de generación'!$D$31:$E$31</c:f>
              <c:numCache>
                <c:formatCode>#,##0.0</c:formatCode>
                <c:ptCount val="2"/>
                <c:pt idx="0">
                  <c:v>7398.3644999999997</c:v>
                </c:pt>
                <c:pt idx="1">
                  <c:v>7431.6745000000001</c:v>
                </c:pt>
              </c:numCache>
            </c:numRef>
          </c:val>
          <c:extLst>
            <c:ext xmlns:c16="http://schemas.microsoft.com/office/drawing/2014/chart" uri="{C3380CC4-5D6E-409C-BE32-E72D297353CC}">
              <c16:uniqueId val="{00000005-54B0-402D-913D-0304413B844F}"/>
            </c:ext>
          </c:extLst>
        </c:ser>
        <c:ser>
          <c:idx val="2"/>
          <c:order val="2"/>
          <c:tx>
            <c:strRef>
              <c:f>'2. Oferta de generación'!$B$32:$C$32</c:f>
              <c:strCache>
                <c:ptCount val="2"/>
                <c:pt idx="0">
                  <c:v>EÓLICA</c:v>
                </c:pt>
              </c:strCache>
            </c:strRef>
          </c:tx>
          <c:spPr>
            <a:solidFill>
              <a:srgbClr val="6DA6D9"/>
            </a:solidFill>
          </c:spPr>
          <c:invertIfNegative val="0"/>
          <c:cat>
            <c:strRef>
              <c:f>'2. Oferta de generación'!$D$29:$E$29</c:f>
              <c:strCache>
                <c:ptCount val="2"/>
                <c:pt idx="0">
                  <c:v>OCTUBRE 2020</c:v>
                </c:pt>
                <c:pt idx="1">
                  <c:v>OCTUBRE 2019</c:v>
                </c:pt>
              </c:strCache>
            </c:strRef>
          </c:cat>
          <c:val>
            <c:numRef>
              <c:f>'2. Oferta de generación'!$D$32:$E$32</c:f>
              <c:numCache>
                <c:formatCode>#,##0.0</c:formatCode>
                <c:ptCount val="2"/>
                <c:pt idx="0">
                  <c:v>375.46</c:v>
                </c:pt>
                <c:pt idx="1">
                  <c:v>375.46</c:v>
                </c:pt>
              </c:numCache>
            </c:numRef>
          </c:val>
          <c:extLst>
            <c:ext xmlns:c16="http://schemas.microsoft.com/office/drawing/2014/chart" uri="{C3380CC4-5D6E-409C-BE32-E72D297353CC}">
              <c16:uniqueId val="{00000006-54B0-402D-913D-0304413B844F}"/>
            </c:ext>
          </c:extLst>
        </c:ser>
        <c:ser>
          <c:idx val="3"/>
          <c:order val="3"/>
          <c:tx>
            <c:strRef>
              <c:f>'2. Oferta de generación'!$B$33:$C$33</c:f>
              <c:strCache>
                <c:ptCount val="2"/>
                <c:pt idx="0">
                  <c:v>SOLAR</c:v>
                </c:pt>
              </c:strCache>
            </c:strRef>
          </c:tx>
          <c:invertIfNegative val="0"/>
          <c:cat>
            <c:strRef>
              <c:f>'2. Oferta de generación'!$D$29:$E$29</c:f>
              <c:strCache>
                <c:ptCount val="2"/>
                <c:pt idx="0">
                  <c:v>OCTUBRE 2020</c:v>
                </c:pt>
                <c:pt idx="1">
                  <c:v>OCTUBRE 2019</c:v>
                </c:pt>
              </c:strCache>
            </c:strRef>
          </c:cat>
          <c:val>
            <c:numRef>
              <c:f>'2. Oferta de generación'!$D$33:$E$33</c:f>
              <c:numCache>
                <c:formatCode>#,##0.0</c:formatCode>
                <c:ptCount val="2"/>
                <c:pt idx="0">
                  <c:v>285.02</c:v>
                </c:pt>
                <c:pt idx="1">
                  <c:v>285.02</c:v>
                </c:pt>
              </c:numCache>
            </c:numRef>
          </c:val>
          <c:extLst>
            <c:ext xmlns:c16="http://schemas.microsoft.com/office/drawing/2014/chart" uri="{C3380CC4-5D6E-409C-BE32-E72D297353CC}">
              <c16:uniqueId val="{00000007-54B0-402D-913D-0304413B844F}"/>
            </c:ext>
          </c:extLst>
        </c:ser>
        <c:dLbls>
          <c:showLegendKey val="0"/>
          <c:showVal val="0"/>
          <c:showCatName val="0"/>
          <c:showSerName val="0"/>
          <c:showPercent val="0"/>
          <c:showBubbleSize val="0"/>
        </c:dLbls>
        <c:gapWidth val="150"/>
        <c:overlap val="100"/>
        <c:axId val="363950080"/>
        <c:axId val="363951616"/>
      </c:barChart>
      <c:catAx>
        <c:axId val="363950080"/>
        <c:scaling>
          <c:orientation val="minMax"/>
        </c:scaling>
        <c:delete val="0"/>
        <c:axPos val="l"/>
        <c:numFmt formatCode="General" sourceLinked="1"/>
        <c:majorTickMark val="out"/>
        <c:minorTickMark val="none"/>
        <c:tickLblPos val="nextTo"/>
        <c:txPr>
          <a:bodyPr/>
          <a:lstStyle/>
          <a:p>
            <a:pPr>
              <a:defRPr sz="600"/>
            </a:pPr>
            <a:endParaRPr lang="es-PE"/>
          </a:p>
        </c:txPr>
        <c:crossAx val="363951616"/>
        <c:crosses val="autoZero"/>
        <c:auto val="1"/>
        <c:lblAlgn val="ctr"/>
        <c:lblOffset val="100"/>
        <c:noMultiLvlLbl val="0"/>
      </c:catAx>
      <c:valAx>
        <c:axId val="363951616"/>
        <c:scaling>
          <c:orientation val="minMax"/>
        </c:scaling>
        <c:delete val="0"/>
        <c:axPos val="b"/>
        <c:majorGridlines/>
        <c:title>
          <c:tx>
            <c:rich>
              <a:bodyPr rot="0" vert="horz"/>
              <a:lstStyle/>
              <a:p>
                <a:pPr>
                  <a:defRPr/>
                </a:pPr>
                <a:r>
                  <a:rPr lang="en-US"/>
                  <a:t>MW</a:t>
                </a:r>
              </a:p>
            </c:rich>
          </c:tx>
          <c:layout>
            <c:manualLayout>
              <c:xMode val="edge"/>
              <c:yMode val="edge"/>
              <c:x val="2.9415401879185121E-2"/>
              <c:y val="4.8743874533575763E-3"/>
            </c:manualLayout>
          </c:layout>
          <c:overlay val="0"/>
        </c:title>
        <c:numFmt formatCode="#,##0" sourceLinked="0"/>
        <c:majorTickMark val="out"/>
        <c:minorTickMark val="none"/>
        <c:tickLblPos val="nextTo"/>
        <c:txPr>
          <a:bodyPr/>
          <a:lstStyle/>
          <a:p>
            <a:pPr>
              <a:defRPr sz="700"/>
            </a:pPr>
            <a:endParaRPr lang="es-PE"/>
          </a:p>
        </c:txPr>
        <c:crossAx val="363950080"/>
        <c:crosses val="autoZero"/>
        <c:crossBetween val="between"/>
      </c:valAx>
    </c:plotArea>
    <c:legend>
      <c:legendPos val="r"/>
      <c:layout>
        <c:manualLayout>
          <c:xMode val="edge"/>
          <c:yMode val="edge"/>
          <c:x val="0.828013054718298"/>
          <c:y val="0.32210451712205634"/>
          <c:w val="0.16378270309630008"/>
          <c:h val="0.39713434742169856"/>
        </c:manualLayout>
      </c:layout>
      <c:overlay val="0"/>
      <c:txPr>
        <a:bodyPr/>
        <a:lstStyle/>
        <a:p>
          <a:pPr>
            <a:defRPr sz="600"/>
          </a:pPr>
          <a:endParaRPr lang="es-PE"/>
        </a:p>
      </c:txPr>
    </c:legend>
    <c:plotVisOnly val="1"/>
    <c:dispBlanksAs val="gap"/>
    <c:showDLblsOverMax val="0"/>
  </c:chart>
  <c:spPr>
    <a:ln>
      <a:noFill/>
    </a:ln>
  </c:spPr>
  <c:txPr>
    <a:bodyPr/>
    <a:lstStyle/>
    <a:p>
      <a:pPr>
        <a:defRPr sz="800">
          <a:latin typeface="Arial" panose="020B0604020202020204" pitchFamily="34" charset="0"/>
          <a:cs typeface="Arial" panose="020B0604020202020204" pitchFamily="34" charset="0"/>
        </a:defRPr>
      </a:pPr>
      <a:endParaRPr lang="es-PE"/>
    </a:p>
  </c:txPr>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810620510924754"/>
          <c:y val="0.22441293157247613"/>
          <c:w val="0.75073643733502327"/>
          <c:h val="0.58565549596071709"/>
        </c:manualLayout>
      </c:layout>
      <c:barChart>
        <c:barDir val="col"/>
        <c:grouping val="stacked"/>
        <c:varyColors val="0"/>
        <c:ser>
          <c:idx val="0"/>
          <c:order val="0"/>
          <c:tx>
            <c:strRef>
              <c:f>'17. Eventos'!$B$6</c:f>
              <c:strCache>
                <c:ptCount val="1"/>
                <c:pt idx="0">
                  <c:v>FNA</c:v>
                </c:pt>
              </c:strCache>
            </c:strRef>
          </c:tx>
          <c:spPr>
            <a:solidFill>
              <a:schemeClr val="accent1"/>
            </a:solidFill>
            <a:ln>
              <a:noFill/>
            </a:ln>
            <a:effectLst/>
          </c:spPr>
          <c:invertIfNegative val="0"/>
          <c:cat>
            <c:strRef>
              <c:f>'17. Eventos'!$A$7:$A$11</c:f>
              <c:strCache>
                <c:ptCount val="5"/>
                <c:pt idx="0">
                  <c:v>LINEA DE TRANSMISION          </c:v>
                </c:pt>
                <c:pt idx="1">
                  <c:v>TRANSFORMADOR 2D</c:v>
                </c:pt>
                <c:pt idx="2">
                  <c:v>TRANSFORMADOR 3D</c:v>
                </c:pt>
                <c:pt idx="3">
                  <c:v>BARRA</c:v>
                </c:pt>
                <c:pt idx="4">
                  <c:v>GENERADOR TERMOELÉCTRICO</c:v>
                </c:pt>
              </c:strCache>
            </c:strRef>
          </c:cat>
          <c:val>
            <c:numRef>
              <c:f>'17. Eventos'!$B$7:$B$11</c:f>
              <c:numCache>
                <c:formatCode>General</c:formatCode>
                <c:ptCount val="5"/>
                <c:pt idx="0">
                  <c:v>17</c:v>
                </c:pt>
              </c:numCache>
            </c:numRef>
          </c:val>
          <c:extLst>
            <c:ext xmlns:c16="http://schemas.microsoft.com/office/drawing/2014/chart" uri="{C3380CC4-5D6E-409C-BE32-E72D297353CC}">
              <c16:uniqueId val="{00000000-9FF0-435C-8235-45018A9EC017}"/>
            </c:ext>
          </c:extLst>
        </c:ser>
        <c:ser>
          <c:idx val="1"/>
          <c:order val="1"/>
          <c:tx>
            <c:strRef>
              <c:f>'17. Eventos'!$C$6</c:f>
              <c:strCache>
                <c:ptCount val="1"/>
                <c:pt idx="0">
                  <c:v>FEC</c:v>
                </c:pt>
              </c:strCache>
            </c:strRef>
          </c:tx>
          <c:spPr>
            <a:solidFill>
              <a:schemeClr val="accent2"/>
            </a:solidFill>
            <a:ln>
              <a:noFill/>
            </a:ln>
            <a:effectLst/>
          </c:spPr>
          <c:invertIfNegative val="0"/>
          <c:cat>
            <c:strRef>
              <c:f>'17. Eventos'!$A$7:$A$11</c:f>
              <c:strCache>
                <c:ptCount val="5"/>
                <c:pt idx="0">
                  <c:v>LINEA DE TRANSMISION          </c:v>
                </c:pt>
                <c:pt idx="1">
                  <c:v>TRANSFORMADOR 2D</c:v>
                </c:pt>
                <c:pt idx="2">
                  <c:v>TRANSFORMADOR 3D</c:v>
                </c:pt>
                <c:pt idx="3">
                  <c:v>BARRA</c:v>
                </c:pt>
                <c:pt idx="4">
                  <c:v>GENERADOR TERMOELÉCTRICO</c:v>
                </c:pt>
              </c:strCache>
            </c:strRef>
          </c:cat>
          <c:val>
            <c:numRef>
              <c:f>'17. Eventos'!$C$7:$C$11</c:f>
              <c:numCache>
                <c:formatCode>General</c:formatCode>
                <c:ptCount val="5"/>
                <c:pt idx="0">
                  <c:v>6</c:v>
                </c:pt>
                <c:pt idx="1">
                  <c:v>2</c:v>
                </c:pt>
                <c:pt idx="3">
                  <c:v>1</c:v>
                </c:pt>
                <c:pt idx="4">
                  <c:v>1</c:v>
                </c:pt>
              </c:numCache>
            </c:numRef>
          </c:val>
          <c:extLst>
            <c:ext xmlns:c16="http://schemas.microsoft.com/office/drawing/2014/chart" uri="{C3380CC4-5D6E-409C-BE32-E72D297353CC}">
              <c16:uniqueId val="{00000001-9FF0-435C-8235-45018A9EC017}"/>
            </c:ext>
          </c:extLst>
        </c:ser>
        <c:ser>
          <c:idx val="2"/>
          <c:order val="2"/>
          <c:tx>
            <c:strRef>
              <c:f>'17. Eventos'!$D$6</c:f>
              <c:strCache>
                <c:ptCount val="1"/>
                <c:pt idx="0">
                  <c:v>EXT</c:v>
                </c:pt>
              </c:strCache>
            </c:strRef>
          </c:tx>
          <c:spPr>
            <a:solidFill>
              <a:schemeClr val="accent3"/>
            </a:solidFill>
            <a:ln>
              <a:noFill/>
            </a:ln>
            <a:effectLst/>
          </c:spPr>
          <c:invertIfNegative val="0"/>
          <c:cat>
            <c:strRef>
              <c:f>'17. Eventos'!$A$7:$A$11</c:f>
              <c:strCache>
                <c:ptCount val="5"/>
                <c:pt idx="0">
                  <c:v>LINEA DE TRANSMISION          </c:v>
                </c:pt>
                <c:pt idx="1">
                  <c:v>TRANSFORMADOR 2D</c:v>
                </c:pt>
                <c:pt idx="2">
                  <c:v>TRANSFORMADOR 3D</c:v>
                </c:pt>
                <c:pt idx="3">
                  <c:v>BARRA</c:v>
                </c:pt>
                <c:pt idx="4">
                  <c:v>GENERADOR TERMOELÉCTRICO</c:v>
                </c:pt>
              </c:strCache>
            </c:strRef>
          </c:cat>
          <c:val>
            <c:numRef>
              <c:f>'17. Eventos'!$D$7:$D$11</c:f>
              <c:numCache>
                <c:formatCode>General</c:formatCode>
                <c:ptCount val="5"/>
                <c:pt idx="0">
                  <c:v>3</c:v>
                </c:pt>
                <c:pt idx="3">
                  <c:v>4</c:v>
                </c:pt>
              </c:numCache>
            </c:numRef>
          </c:val>
          <c:extLst>
            <c:ext xmlns:c16="http://schemas.microsoft.com/office/drawing/2014/chart" uri="{C3380CC4-5D6E-409C-BE32-E72D297353CC}">
              <c16:uniqueId val="{00000002-9FF0-435C-8235-45018A9EC017}"/>
            </c:ext>
          </c:extLst>
        </c:ser>
        <c:ser>
          <c:idx val="3"/>
          <c:order val="3"/>
          <c:tx>
            <c:strRef>
              <c:f>'17. Eventos'!$E$6</c:f>
              <c:strCache>
                <c:ptCount val="1"/>
                <c:pt idx="0">
                  <c:v>OTR</c:v>
                </c:pt>
              </c:strCache>
            </c:strRef>
          </c:tx>
          <c:spPr>
            <a:solidFill>
              <a:schemeClr val="accent4"/>
            </a:solidFill>
            <a:ln>
              <a:noFill/>
            </a:ln>
            <a:effectLst/>
          </c:spPr>
          <c:invertIfNegative val="0"/>
          <c:cat>
            <c:strRef>
              <c:f>'17. Eventos'!$A$7:$A$11</c:f>
              <c:strCache>
                <c:ptCount val="5"/>
                <c:pt idx="0">
                  <c:v>LINEA DE TRANSMISION          </c:v>
                </c:pt>
                <c:pt idx="1">
                  <c:v>TRANSFORMADOR 2D</c:v>
                </c:pt>
                <c:pt idx="2">
                  <c:v>TRANSFORMADOR 3D</c:v>
                </c:pt>
                <c:pt idx="3">
                  <c:v>BARRA</c:v>
                </c:pt>
                <c:pt idx="4">
                  <c:v>GENERADOR TERMOELÉCTRICO</c:v>
                </c:pt>
              </c:strCache>
            </c:strRef>
          </c:cat>
          <c:val>
            <c:numRef>
              <c:f>'17. Eventos'!$E$7:$E$11</c:f>
              <c:numCache>
                <c:formatCode>General</c:formatCode>
                <c:ptCount val="5"/>
              </c:numCache>
            </c:numRef>
          </c:val>
          <c:extLst>
            <c:ext xmlns:c16="http://schemas.microsoft.com/office/drawing/2014/chart" uri="{C3380CC4-5D6E-409C-BE32-E72D297353CC}">
              <c16:uniqueId val="{00000003-9FF0-435C-8235-45018A9EC017}"/>
            </c:ext>
          </c:extLst>
        </c:ser>
        <c:ser>
          <c:idx val="4"/>
          <c:order val="4"/>
          <c:tx>
            <c:strRef>
              <c:f>'17. Eventos'!$F$6</c:f>
              <c:strCache>
                <c:ptCount val="1"/>
                <c:pt idx="0">
                  <c:v>FNI</c:v>
                </c:pt>
              </c:strCache>
            </c:strRef>
          </c:tx>
          <c:spPr>
            <a:solidFill>
              <a:schemeClr val="accent5"/>
            </a:solidFill>
            <a:ln>
              <a:noFill/>
            </a:ln>
            <a:effectLst/>
          </c:spPr>
          <c:invertIfNegative val="0"/>
          <c:cat>
            <c:strRef>
              <c:f>'17. Eventos'!$A$7:$A$11</c:f>
              <c:strCache>
                <c:ptCount val="5"/>
                <c:pt idx="0">
                  <c:v>LINEA DE TRANSMISION          </c:v>
                </c:pt>
                <c:pt idx="1">
                  <c:v>TRANSFORMADOR 2D</c:v>
                </c:pt>
                <c:pt idx="2">
                  <c:v>TRANSFORMADOR 3D</c:v>
                </c:pt>
                <c:pt idx="3">
                  <c:v>BARRA</c:v>
                </c:pt>
                <c:pt idx="4">
                  <c:v>GENERADOR TERMOELÉCTRICO</c:v>
                </c:pt>
              </c:strCache>
            </c:strRef>
          </c:cat>
          <c:val>
            <c:numRef>
              <c:f>'17. Eventos'!$F$7:$F$11</c:f>
              <c:numCache>
                <c:formatCode>General</c:formatCode>
                <c:ptCount val="5"/>
                <c:pt idx="0">
                  <c:v>6</c:v>
                </c:pt>
                <c:pt idx="3">
                  <c:v>2</c:v>
                </c:pt>
              </c:numCache>
            </c:numRef>
          </c:val>
          <c:extLst>
            <c:ext xmlns:c16="http://schemas.microsoft.com/office/drawing/2014/chart" uri="{C3380CC4-5D6E-409C-BE32-E72D297353CC}">
              <c16:uniqueId val="{00000004-9FF0-435C-8235-45018A9EC017}"/>
            </c:ext>
          </c:extLst>
        </c:ser>
        <c:ser>
          <c:idx val="5"/>
          <c:order val="5"/>
          <c:tx>
            <c:strRef>
              <c:f>'17. Eventos'!$G$6</c:f>
              <c:strCache>
                <c:ptCount val="1"/>
                <c:pt idx="0">
                  <c:v>FEP</c:v>
                </c:pt>
              </c:strCache>
            </c:strRef>
          </c:tx>
          <c:spPr>
            <a:solidFill>
              <a:schemeClr val="accent6"/>
            </a:solidFill>
            <a:ln>
              <a:noFill/>
            </a:ln>
            <a:effectLst/>
          </c:spPr>
          <c:invertIfNegative val="0"/>
          <c:cat>
            <c:strRef>
              <c:f>'17. Eventos'!$A$7:$A$11</c:f>
              <c:strCache>
                <c:ptCount val="5"/>
                <c:pt idx="0">
                  <c:v>LINEA DE TRANSMISION          </c:v>
                </c:pt>
                <c:pt idx="1">
                  <c:v>TRANSFORMADOR 2D</c:v>
                </c:pt>
                <c:pt idx="2">
                  <c:v>TRANSFORMADOR 3D</c:v>
                </c:pt>
                <c:pt idx="3">
                  <c:v>BARRA</c:v>
                </c:pt>
                <c:pt idx="4">
                  <c:v>GENERADOR TERMOELÉCTRICO</c:v>
                </c:pt>
              </c:strCache>
            </c:strRef>
          </c:cat>
          <c:val>
            <c:numRef>
              <c:f>'17. Eventos'!$G$7:$G$11</c:f>
              <c:numCache>
                <c:formatCode>General</c:formatCode>
                <c:ptCount val="5"/>
                <c:pt idx="0">
                  <c:v>1</c:v>
                </c:pt>
              </c:numCache>
            </c:numRef>
          </c:val>
          <c:extLst>
            <c:ext xmlns:c16="http://schemas.microsoft.com/office/drawing/2014/chart" uri="{C3380CC4-5D6E-409C-BE32-E72D297353CC}">
              <c16:uniqueId val="{00000005-9FF0-435C-8235-45018A9EC017}"/>
            </c:ext>
          </c:extLst>
        </c:ser>
        <c:ser>
          <c:idx val="6"/>
          <c:order val="6"/>
          <c:tx>
            <c:strRef>
              <c:f>'17. Eventos'!$H$6</c:f>
              <c:strCache>
                <c:ptCount val="1"/>
                <c:pt idx="0">
                  <c:v>FHU</c:v>
                </c:pt>
              </c:strCache>
            </c:strRef>
          </c:tx>
          <c:spPr>
            <a:solidFill>
              <a:schemeClr val="accent1">
                <a:lumMod val="60000"/>
              </a:schemeClr>
            </a:solidFill>
            <a:ln>
              <a:noFill/>
            </a:ln>
            <a:effectLst/>
          </c:spPr>
          <c:invertIfNegative val="0"/>
          <c:cat>
            <c:strRef>
              <c:f>'17. Eventos'!$A$7:$A$11</c:f>
              <c:strCache>
                <c:ptCount val="5"/>
                <c:pt idx="0">
                  <c:v>LINEA DE TRANSMISION          </c:v>
                </c:pt>
                <c:pt idx="1">
                  <c:v>TRANSFORMADOR 2D</c:v>
                </c:pt>
                <c:pt idx="2">
                  <c:v>TRANSFORMADOR 3D</c:v>
                </c:pt>
                <c:pt idx="3">
                  <c:v>BARRA</c:v>
                </c:pt>
                <c:pt idx="4">
                  <c:v>GENERADOR TERMOELÉCTRICO</c:v>
                </c:pt>
              </c:strCache>
            </c:strRef>
          </c:cat>
          <c:val>
            <c:numRef>
              <c:f>'17. Eventos'!$H$7:$H$11</c:f>
              <c:numCache>
                <c:formatCode>General</c:formatCode>
                <c:ptCount val="5"/>
                <c:pt idx="2">
                  <c:v>1</c:v>
                </c:pt>
              </c:numCache>
            </c:numRef>
          </c:val>
          <c:extLst>
            <c:ext xmlns:c16="http://schemas.microsoft.com/office/drawing/2014/chart" uri="{C3380CC4-5D6E-409C-BE32-E72D297353CC}">
              <c16:uniqueId val="{00000006-9FF0-435C-8235-45018A9EC017}"/>
            </c:ext>
          </c:extLst>
        </c:ser>
        <c:dLbls>
          <c:showLegendKey val="0"/>
          <c:showVal val="0"/>
          <c:showCatName val="0"/>
          <c:showSerName val="0"/>
          <c:showPercent val="0"/>
          <c:showBubbleSize val="0"/>
        </c:dLbls>
        <c:gapWidth val="86"/>
        <c:overlap val="100"/>
        <c:axId val="637047848"/>
        <c:axId val="637043256"/>
      </c:barChart>
      <c:catAx>
        <c:axId val="637047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200000" spcFirstLastPara="1" vertOverflow="ellipsis" wrap="square" anchor="ctr" anchorCtr="1"/>
          <a:lstStyle/>
          <a:p>
            <a:pPr>
              <a:defRPr sz="500" b="0" i="0" u="none" strike="noStrike" kern="1200" baseline="0">
                <a:ln>
                  <a:noFill/>
                </a:ln>
                <a:solidFill>
                  <a:schemeClr val="tx1"/>
                </a:solidFill>
                <a:latin typeface="Arial" panose="020B0604020202020204" pitchFamily="34" charset="0"/>
                <a:ea typeface="+mn-ea"/>
                <a:cs typeface="Arial" panose="020B0604020202020204" pitchFamily="34" charset="0"/>
              </a:defRPr>
            </a:pPr>
            <a:endParaRPr lang="es-PE"/>
          </a:p>
        </c:txPr>
        <c:crossAx val="637043256"/>
        <c:crosses val="autoZero"/>
        <c:auto val="1"/>
        <c:lblAlgn val="ctr"/>
        <c:lblOffset val="100"/>
        <c:noMultiLvlLbl val="0"/>
      </c:catAx>
      <c:valAx>
        <c:axId val="637043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crossAx val="637047848"/>
        <c:crosses val="autoZero"/>
        <c:crossBetween val="midCat"/>
      </c:valAx>
      <c:spPr>
        <a:noFill/>
        <a:ln>
          <a:noFill/>
        </a:ln>
        <a:effectLst/>
      </c:spPr>
    </c:plotArea>
    <c:legend>
      <c:legendPos val="b"/>
      <c:layout>
        <c:manualLayout>
          <c:xMode val="edge"/>
          <c:yMode val="edge"/>
          <c:x val="0.2195209734409331"/>
          <c:y val="0.10083219016986136"/>
          <c:w val="0.61956327087797214"/>
          <c:h val="0.10711447939052278"/>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es-P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1"/>
          </a:solidFill>
        </a:defRPr>
      </a:pPr>
      <a:endParaRPr lang="es-PE"/>
    </a:p>
  </c:txPr>
  <c:printSettings>
    <c:headerFooter>
      <c:oddFooter>&amp;L&amp;"Calibri Light,Regular"&amp;10COES SINAC, 2017&amp;C&amp;"Calibri Light,Regular"&amp;10 1&amp;R&amp;"Calibri Light,Regular"&amp;10Dirección Ejecutiva
Sub Dirección de Gestión de Información</c:oddFooter>
    </c:headerFooter>
    <c:pageMargins b="0.75" l="0.7" r="0.7" t="0.75" header="0.3" footer="0.3"/>
    <c:pageSetup orientation="portrait"/>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r>
              <a:rPr lang="es-PE" sz="800">
                <a:latin typeface="Arial" panose="020B0604020202020204" pitchFamily="34" charset="0"/>
                <a:cs typeface="Arial" panose="020B0604020202020204" pitchFamily="34" charset="0"/>
              </a:rPr>
              <a:t>Ingreso de potencia efectiva en el SEIN</a:t>
            </a:r>
          </a:p>
        </c:rich>
      </c:tx>
      <c:layout>
        <c:manualLayout>
          <c:xMode val="edge"/>
          <c:yMode val="edge"/>
          <c:x val="0.35045055502834938"/>
          <c:y val="2.7864834184467373E-2"/>
        </c:manualLayout>
      </c:layout>
      <c:overlay val="0"/>
      <c:spPr>
        <a:noFill/>
        <a:ln>
          <a:noFill/>
        </a:ln>
        <a:effectLst/>
      </c:spPr>
      <c:txPr>
        <a:bodyPr rot="0" spcFirstLastPara="1" vertOverflow="ellipsis" vert="horz" wrap="square" anchor="ctr" anchorCtr="1"/>
        <a:lstStyle/>
        <a:p>
          <a:pPr>
            <a:defRPr sz="800" b="0" i="0" u="none" strike="noStrike" kern="1200" spc="0" baseline="0">
              <a:solidFill>
                <a:schemeClr val="tx1"/>
              </a:solidFill>
              <a:latin typeface="Arial" panose="020B0604020202020204" pitchFamily="34" charset="0"/>
              <a:ea typeface="+mn-ea"/>
              <a:cs typeface="Arial" panose="020B0604020202020204" pitchFamily="34" charset="0"/>
            </a:defRPr>
          </a:pPr>
          <a:endParaRPr lang="es-PE"/>
        </a:p>
      </c:txPr>
    </c:title>
    <c:autoTitleDeleted val="0"/>
    <c:plotArea>
      <c:layout>
        <c:manualLayout>
          <c:layoutTarget val="inner"/>
          <c:xMode val="edge"/>
          <c:yMode val="edge"/>
          <c:x val="0.10529257481320894"/>
          <c:y val="0.15201999765845001"/>
          <c:w val="0.85531354444917607"/>
          <c:h val="0.66960073004778409"/>
        </c:manualLayout>
      </c:layout>
      <c:barChart>
        <c:barDir val="col"/>
        <c:grouping val="clustered"/>
        <c:varyColors val="0"/>
        <c:ser>
          <c:idx val="0"/>
          <c:order val="0"/>
          <c:tx>
            <c:strRef>
              <c:f>'2. Oferta de generación'!$L$9:$L$13</c:f>
              <c:strCache>
                <c:ptCount val="5"/>
                <c:pt idx="0">
                  <c:v>Central Solar</c:v>
                </c:pt>
                <c:pt idx="1">
                  <c:v>Central Hidroeléctrica</c:v>
                </c:pt>
                <c:pt idx="2">
                  <c:v>Turbina de Vapor</c:v>
                </c:pt>
                <c:pt idx="3">
                  <c:v>Central Eólica</c:v>
                </c:pt>
                <c:pt idx="4">
                  <c:v>Central a Biogás</c:v>
                </c:pt>
              </c:strCache>
            </c:strRef>
          </c:tx>
          <c:spPr>
            <a:solidFill>
              <a:schemeClr val="accent1"/>
            </a:solidFill>
            <a:ln>
              <a:noFill/>
            </a:ln>
            <a:effectLst/>
          </c:spPr>
          <c:invertIfNegative val="0"/>
          <c:dLbls>
            <c:delete val="1"/>
          </c:dLbls>
          <c:cat>
            <c:strRef>
              <c:f>'2. Oferta de generación'!$L$9:$L$13</c:f>
              <c:strCache>
                <c:ptCount val="5"/>
                <c:pt idx="0">
                  <c:v>Central Solar</c:v>
                </c:pt>
                <c:pt idx="1">
                  <c:v>Central Hidroeléctrica</c:v>
                </c:pt>
                <c:pt idx="2">
                  <c:v>Turbina de Vapor</c:v>
                </c:pt>
                <c:pt idx="3">
                  <c:v>Central Eólica</c:v>
                </c:pt>
                <c:pt idx="4">
                  <c:v>Central a Biogás</c:v>
                </c:pt>
              </c:strCache>
            </c:strRef>
          </c:cat>
          <c:val>
            <c:numRef>
              <c:f>'2. Oferta de generación'!$M$9:$M$13</c:f>
              <c:numCache>
                <c:formatCode>General</c:formatCode>
                <c:ptCount val="5"/>
                <c:pt idx="1">
                  <c:v>20</c:v>
                </c:pt>
                <c:pt idx="2">
                  <c:v>0</c:v>
                </c:pt>
                <c:pt idx="3">
                  <c:v>0</c:v>
                </c:pt>
                <c:pt idx="4">
                  <c:v>2.4</c:v>
                </c:pt>
              </c:numCache>
            </c:numRef>
          </c:val>
          <c:extLst>
            <c:ext xmlns:c16="http://schemas.microsoft.com/office/drawing/2014/chart" uri="{C3380CC4-5D6E-409C-BE32-E72D297353CC}">
              <c16:uniqueId val="{00000000-0EAF-4A51-B4A1-B2457F36CE6D}"/>
            </c:ext>
          </c:extLst>
        </c:ser>
        <c:dLbls>
          <c:dLblPos val="outEnd"/>
          <c:showLegendKey val="0"/>
          <c:showVal val="1"/>
          <c:showCatName val="0"/>
          <c:showSerName val="0"/>
          <c:showPercent val="0"/>
          <c:showBubbleSize val="0"/>
        </c:dLbls>
        <c:gapWidth val="219"/>
        <c:overlap val="27"/>
        <c:axId val="1007844968"/>
        <c:axId val="1007850544"/>
      </c:barChart>
      <c:catAx>
        <c:axId val="1007844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50544"/>
        <c:crosses val="autoZero"/>
        <c:auto val="1"/>
        <c:lblAlgn val="ctr"/>
        <c:lblOffset val="100"/>
        <c:noMultiLvlLbl val="0"/>
      </c:catAx>
      <c:valAx>
        <c:axId val="100785054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1007844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tx1"/>
          </a:solidFill>
        </a:defRPr>
      </a:pPr>
      <a:endParaRPr lang="es-PE"/>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7495880356141E-2"/>
          <c:y val="8.9140691524104934E-2"/>
          <c:w val="0.89572618708198593"/>
          <c:h val="0.85015332874999883"/>
        </c:manualLayout>
      </c:layout>
      <c:barChart>
        <c:barDir val="col"/>
        <c:grouping val="clustered"/>
        <c:varyColors val="0"/>
        <c:ser>
          <c:idx val="2"/>
          <c:order val="0"/>
          <c:tx>
            <c:strRef>
              <c:f>'3. Tipo Generación'!$J$7</c:f>
              <c:strCache>
                <c:ptCount val="1"/>
                <c:pt idx="0">
                  <c:v>2018</c:v>
                </c:pt>
              </c:strCache>
            </c:strRef>
          </c:tx>
          <c:spPr>
            <a:solidFill>
              <a:schemeClr val="accent6">
                <a:lumMod val="75000"/>
              </a:schemeClr>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Generación'!$J$8:$J$11</c:f>
              <c:numCache>
                <c:formatCode>_(* #,##0.00_);_(* \(#,##0.00\);_(* "-"??_);_(@_)</c:formatCode>
                <c:ptCount val="4"/>
                <c:pt idx="0">
                  <c:v>24328.458695435002</c:v>
                </c:pt>
                <c:pt idx="1">
                  <c:v>15906.4315954875</c:v>
                </c:pt>
                <c:pt idx="2">
                  <c:v>1214.5383555075</c:v>
                </c:pt>
                <c:pt idx="3">
                  <c:v>591.86199672000009</c:v>
                </c:pt>
              </c:numCache>
            </c:numRef>
          </c:val>
          <c:extLst>
            <c:ext xmlns:c16="http://schemas.microsoft.com/office/drawing/2014/chart" uri="{C3380CC4-5D6E-409C-BE32-E72D297353CC}">
              <c16:uniqueId val="{00000000-B28A-4809-9B11-B965E453D149}"/>
            </c:ext>
          </c:extLst>
        </c:ser>
        <c:ser>
          <c:idx val="1"/>
          <c:order val="1"/>
          <c:tx>
            <c:strRef>
              <c:f>'3. Tipo Generación'!$H$7</c:f>
              <c:strCache>
                <c:ptCount val="1"/>
                <c:pt idx="0">
                  <c:v>2019</c:v>
                </c:pt>
              </c:strCache>
            </c:strRef>
          </c:tx>
          <c:spPr>
            <a:solidFill>
              <a:srgbClr val="FF6600"/>
            </a:solidFill>
            <a:ln>
              <a:noFill/>
            </a:ln>
            <a:effectLst/>
          </c:spPr>
          <c:invertIfNegative val="0"/>
          <c:cat>
            <c:strRef>
              <c:f>'3. Tipo Generación'!$A$8:$A$11</c:f>
              <c:strCache>
                <c:ptCount val="4"/>
                <c:pt idx="0">
                  <c:v>Hidroeléctrica</c:v>
                </c:pt>
                <c:pt idx="1">
                  <c:v>Termoeléctrica</c:v>
                </c:pt>
                <c:pt idx="2">
                  <c:v>Eólica</c:v>
                </c:pt>
                <c:pt idx="3">
                  <c:v>Solar</c:v>
                </c:pt>
              </c:strCache>
            </c:strRef>
          </c:cat>
          <c:val>
            <c:numRef>
              <c:f>'3. Tipo Generación'!$H$8:$H$11</c:f>
              <c:numCache>
                <c:formatCode>_(* #,##0.00_);_(* \(#,##0.00\);_(* "-"??_);_(@_)</c:formatCode>
                <c:ptCount val="4"/>
                <c:pt idx="0">
                  <c:v>24502.641660175006</c:v>
                </c:pt>
                <c:pt idx="1">
                  <c:v>17401.832639089997</c:v>
                </c:pt>
                <c:pt idx="2">
                  <c:v>1386.6491204849999</c:v>
                </c:pt>
                <c:pt idx="3">
                  <c:v>609.06993416249986</c:v>
                </c:pt>
              </c:numCache>
            </c:numRef>
          </c:val>
          <c:extLst>
            <c:ext xmlns:c16="http://schemas.microsoft.com/office/drawing/2014/chart" uri="{C3380CC4-5D6E-409C-BE32-E72D297353CC}">
              <c16:uniqueId val="{00000001-B28A-4809-9B11-B965E453D149}"/>
            </c:ext>
          </c:extLst>
        </c:ser>
        <c:ser>
          <c:idx val="0"/>
          <c:order val="2"/>
          <c:tx>
            <c:strRef>
              <c:f>'3. Tipo Generación'!$G$7</c:f>
              <c:strCache>
                <c:ptCount val="1"/>
                <c:pt idx="0">
                  <c:v>2020</c:v>
                </c:pt>
              </c:strCache>
            </c:strRef>
          </c:tx>
          <c:spPr>
            <a:solidFill>
              <a:schemeClr val="accent1"/>
            </a:solidFill>
            <a:ln>
              <a:noFill/>
            </a:ln>
            <a:effectLst/>
          </c:spPr>
          <c:invertIfNegative val="0"/>
          <c:dPt>
            <c:idx val="0"/>
            <c:invertIfNegative val="0"/>
            <c:bubble3D val="0"/>
            <c:spPr>
              <a:solidFill>
                <a:srgbClr val="0077A5"/>
              </a:solidFill>
              <a:ln>
                <a:noFill/>
              </a:ln>
              <a:effectLst/>
            </c:spPr>
            <c:extLst>
              <c:ext xmlns:c16="http://schemas.microsoft.com/office/drawing/2014/chart" uri="{C3380CC4-5D6E-409C-BE32-E72D297353CC}">
                <c16:uniqueId val="{00000000-A76A-4A83-99B3-CAA0183B085B}"/>
              </c:ext>
            </c:extLst>
          </c:dPt>
          <c:dPt>
            <c:idx val="1"/>
            <c:invertIfNegative val="0"/>
            <c:bubble3D val="0"/>
            <c:spPr>
              <a:solidFill>
                <a:srgbClr val="0077A5"/>
              </a:solidFill>
              <a:ln>
                <a:noFill/>
              </a:ln>
              <a:effectLst/>
            </c:spPr>
            <c:extLst>
              <c:ext xmlns:c16="http://schemas.microsoft.com/office/drawing/2014/chart" uri="{C3380CC4-5D6E-409C-BE32-E72D297353CC}">
                <c16:uniqueId val="{00000001-A76A-4A83-99B3-CAA0183B085B}"/>
              </c:ext>
            </c:extLst>
          </c:dPt>
          <c:dPt>
            <c:idx val="2"/>
            <c:invertIfNegative val="0"/>
            <c:bubble3D val="0"/>
            <c:spPr>
              <a:solidFill>
                <a:srgbClr val="0077A5"/>
              </a:solidFill>
              <a:ln>
                <a:noFill/>
              </a:ln>
              <a:effectLst/>
            </c:spPr>
            <c:extLst>
              <c:ext xmlns:c16="http://schemas.microsoft.com/office/drawing/2014/chart" uri="{C3380CC4-5D6E-409C-BE32-E72D297353CC}">
                <c16:uniqueId val="{00000002-A76A-4A83-99B3-CAA0183B085B}"/>
              </c:ext>
            </c:extLst>
          </c:dPt>
          <c:dPt>
            <c:idx val="3"/>
            <c:invertIfNegative val="0"/>
            <c:bubble3D val="0"/>
            <c:spPr>
              <a:solidFill>
                <a:srgbClr val="0077A5"/>
              </a:solidFill>
              <a:ln>
                <a:noFill/>
              </a:ln>
              <a:effectLst/>
            </c:spPr>
            <c:extLst>
              <c:ext xmlns:c16="http://schemas.microsoft.com/office/drawing/2014/chart" uri="{C3380CC4-5D6E-409C-BE32-E72D297353CC}">
                <c16:uniqueId val="{00000003-A76A-4A83-99B3-CAA0183B085B}"/>
              </c:ext>
            </c:extLst>
          </c:dPt>
          <c:cat>
            <c:strRef>
              <c:f>'3. Tipo Generación'!$A$8:$A$11</c:f>
              <c:strCache>
                <c:ptCount val="4"/>
                <c:pt idx="0">
                  <c:v>Hidroeléctrica</c:v>
                </c:pt>
                <c:pt idx="1">
                  <c:v>Termoeléctrica</c:v>
                </c:pt>
                <c:pt idx="2">
                  <c:v>Eólica</c:v>
                </c:pt>
                <c:pt idx="3">
                  <c:v>Solar</c:v>
                </c:pt>
              </c:strCache>
            </c:strRef>
          </c:cat>
          <c:val>
            <c:numRef>
              <c:f>'3. Tipo Generación'!$G$8:$G$11</c:f>
              <c:numCache>
                <c:formatCode>_(* #,##0.00_);_(* \(#,##0.00\);_(* "-"??_);_(@_)</c:formatCode>
                <c:ptCount val="4"/>
                <c:pt idx="0">
                  <c:v>24799.318567299997</c:v>
                </c:pt>
                <c:pt idx="1">
                  <c:v>13296.695786569999</c:v>
                </c:pt>
                <c:pt idx="2">
                  <c:v>1499.30211882</c:v>
                </c:pt>
                <c:pt idx="3">
                  <c:v>622.69887022499995</c:v>
                </c:pt>
              </c:numCache>
            </c:numRef>
          </c:val>
          <c:extLst>
            <c:ext xmlns:c16="http://schemas.microsoft.com/office/drawing/2014/chart" uri="{C3380CC4-5D6E-409C-BE32-E72D297353CC}">
              <c16:uniqueId val="{00000002-B28A-4809-9B11-B965E453D149}"/>
            </c:ext>
          </c:extLst>
        </c:ser>
        <c:dLbls>
          <c:showLegendKey val="0"/>
          <c:showVal val="0"/>
          <c:showCatName val="0"/>
          <c:showSerName val="0"/>
          <c:showPercent val="0"/>
          <c:showBubbleSize val="0"/>
        </c:dLbls>
        <c:gapWidth val="173"/>
        <c:overlap val="-13"/>
        <c:axId val="367905408"/>
        <c:axId val="367907200"/>
      </c:barChart>
      <c:catAx>
        <c:axId val="367905408"/>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7200"/>
        <c:crosses val="autoZero"/>
        <c:auto val="1"/>
        <c:lblAlgn val="ctr"/>
        <c:lblOffset val="100"/>
        <c:noMultiLvlLbl val="0"/>
      </c:catAx>
      <c:valAx>
        <c:axId val="367907200"/>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t>GWh</a:t>
                </a:r>
              </a:p>
            </c:rich>
          </c:tx>
          <c:layout>
            <c:manualLayout>
              <c:xMode val="edge"/>
              <c:yMode val="edge"/>
              <c:x val="2.3853742971314758E-2"/>
              <c:y val="1.1469669699920757E-2"/>
            </c:manualLayout>
          </c:layout>
          <c:overlay val="0"/>
          <c:spPr>
            <a:noFill/>
            <a:ln>
              <a:noFill/>
            </a:ln>
            <a:effectLst/>
          </c:spPr>
          <c:txPr>
            <a:bodyPr rot="0" spcFirstLastPara="1" vertOverflow="ellipsis"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Arial" panose="020B0604020202020204" pitchFamily="34" charset="0"/>
                <a:ea typeface="+mn-ea"/>
                <a:cs typeface="Arial" panose="020B0604020202020204" pitchFamily="34" charset="0"/>
              </a:defRPr>
            </a:pPr>
            <a:endParaRPr lang="es-PE"/>
          </a:p>
        </c:txPr>
        <c:crossAx val="367905408"/>
        <c:crosses val="autoZero"/>
        <c:crossBetween val="between"/>
      </c:valAx>
      <c:spPr>
        <a:noFill/>
        <a:ln>
          <a:noFill/>
        </a:ln>
        <a:effectLst/>
      </c:spPr>
    </c:plotArea>
    <c:legend>
      <c:legendPos val="b"/>
      <c:layout>
        <c:manualLayout>
          <c:xMode val="edge"/>
          <c:yMode val="edge"/>
          <c:x val="0.39023091239000557"/>
          <c:y val="1.2612005047235198E-4"/>
          <c:w val="0.25616409967075665"/>
          <c:h val="5.077248408615585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s-PE"/>
        </a:p>
      </c:txPr>
    </c:legend>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s-PE"/>
    </a:p>
  </c:txPr>
  <c:printSettings>
    <c:headerFooter>
      <c:oddHeader>&amp;L&amp;"Calibri Light,Regular"&amp;10 &amp;C&amp;"Calibri Light,Regular"&amp;10 &amp;R&amp;"Tahoma,Negrita"&amp;10Informe de la Operación Mensual - Setiembre 2017
INFSGI-MES-09-2017
05/10/2017
Versión: 01</c:oddHeader>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0.1832804695818826"/>
          <c:y val="7.7621376306849579E-2"/>
          <c:w val="0.76401459895262769"/>
          <c:h val="0.83611760080114705"/>
        </c:manualLayout>
      </c:layout>
      <c:barChart>
        <c:barDir val="bar"/>
        <c:grouping val="clustered"/>
        <c:varyColors val="0"/>
        <c:ser>
          <c:idx val="0"/>
          <c:order val="0"/>
          <c:tx>
            <c:strRef>
              <c:f>'4. Tipo Recurso'!$G$5</c:f>
              <c:strCache>
                <c:ptCount val="1"/>
                <c:pt idx="0">
                  <c:v>2020</c:v>
                </c:pt>
              </c:strCache>
            </c:strRef>
          </c:tx>
          <c:spPr>
            <a:solidFill>
              <a:srgbClr val="0077A5"/>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Recurso'!$G$6:$G$18</c:f>
              <c:numCache>
                <c:formatCode>_(* #,##0.00_);_(* \(#,##0.00\);_(* "-"??_);_(@_)</c:formatCode>
                <c:ptCount val="13"/>
                <c:pt idx="0">
                  <c:v>24799.318567299997</c:v>
                </c:pt>
                <c:pt idx="1">
                  <c:v>12488.7053275325</c:v>
                </c:pt>
                <c:pt idx="2">
                  <c:v>491.21259426499995</c:v>
                </c:pt>
                <c:pt idx="3">
                  <c:v>29.2439301625</c:v>
                </c:pt>
                <c:pt idx="4">
                  <c:v>0</c:v>
                </c:pt>
                <c:pt idx="5">
                  <c:v>8.6402158400000015</c:v>
                </c:pt>
                <c:pt idx="6">
                  <c:v>6.2034666775000007</c:v>
                </c:pt>
                <c:pt idx="7">
                  <c:v>0</c:v>
                </c:pt>
                <c:pt idx="8">
                  <c:v>39.238971372499996</c:v>
                </c:pt>
                <c:pt idx="9">
                  <c:v>188.0186055275</c:v>
                </c:pt>
                <c:pt idx="10">
                  <c:v>45.4326751925</c:v>
                </c:pt>
                <c:pt idx="11">
                  <c:v>622.69887022499995</c:v>
                </c:pt>
                <c:pt idx="12">
                  <c:v>1499.30211882</c:v>
                </c:pt>
              </c:numCache>
            </c:numRef>
          </c:val>
          <c:extLst>
            <c:ext xmlns:c16="http://schemas.microsoft.com/office/drawing/2014/chart" uri="{C3380CC4-5D6E-409C-BE32-E72D297353CC}">
              <c16:uniqueId val="{00000000-8B13-4332-A726-2B109FF68BD4}"/>
            </c:ext>
          </c:extLst>
        </c:ser>
        <c:ser>
          <c:idx val="1"/>
          <c:order val="1"/>
          <c:tx>
            <c:strRef>
              <c:f>'4. Tipo Recurso'!$H$5</c:f>
              <c:strCache>
                <c:ptCount val="1"/>
                <c:pt idx="0">
                  <c:v>2019</c:v>
                </c:pt>
              </c:strCache>
            </c:strRef>
          </c:tx>
          <c:spPr>
            <a:solidFill>
              <a:srgbClr val="FF6600"/>
            </a:solidFill>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Recurso'!$H$6:$H$18</c:f>
              <c:numCache>
                <c:formatCode>_(* #,##0.00_);_(* \(#,##0.00\);_(* "-"??_);_(@_)</c:formatCode>
                <c:ptCount val="13"/>
                <c:pt idx="0">
                  <c:v>24502.641660175006</c:v>
                </c:pt>
                <c:pt idx="1">
                  <c:v>16201.574753174533</c:v>
                </c:pt>
                <c:pt idx="2">
                  <c:v>504.45053920499993</c:v>
                </c:pt>
                <c:pt idx="3">
                  <c:v>306.83560870750006</c:v>
                </c:pt>
                <c:pt idx="4">
                  <c:v>0</c:v>
                </c:pt>
                <c:pt idx="5">
                  <c:v>36.149195487499995</c:v>
                </c:pt>
                <c:pt idx="6">
                  <c:v>42.968439637499991</c:v>
                </c:pt>
                <c:pt idx="7">
                  <c:v>0.282469725</c:v>
                </c:pt>
                <c:pt idx="8">
                  <c:v>107.82988521546878</c:v>
                </c:pt>
                <c:pt idx="9">
                  <c:v>146.42427900750002</c:v>
                </c:pt>
                <c:pt idx="10">
                  <c:v>55.317468930000004</c:v>
                </c:pt>
                <c:pt idx="11">
                  <c:v>609.06993416249986</c:v>
                </c:pt>
                <c:pt idx="12">
                  <c:v>1386.6491204849999</c:v>
                </c:pt>
              </c:numCache>
            </c:numRef>
          </c:val>
          <c:extLst>
            <c:ext xmlns:c16="http://schemas.microsoft.com/office/drawing/2014/chart" uri="{C3380CC4-5D6E-409C-BE32-E72D297353CC}">
              <c16:uniqueId val="{00000001-8B13-4332-A726-2B109FF68BD4}"/>
            </c:ext>
          </c:extLst>
        </c:ser>
        <c:ser>
          <c:idx val="2"/>
          <c:order val="2"/>
          <c:tx>
            <c:strRef>
              <c:f>'4. Tipo Recurso'!$J$5</c:f>
              <c:strCache>
                <c:ptCount val="1"/>
                <c:pt idx="0">
                  <c:v>2018</c:v>
                </c:pt>
              </c:strCache>
            </c:strRef>
          </c:tx>
          <c:spPr>
            <a:solidFill>
              <a:schemeClr val="accent6">
                <a:lumMod val="75000"/>
              </a:schemeClr>
            </a:solidFill>
            <a:ln>
              <a:solidFill>
                <a:schemeClr val="accent3"/>
              </a:solidFill>
            </a:ln>
          </c:spPr>
          <c:invertIfNegative val="0"/>
          <c:cat>
            <c:strRef>
              <c:f>'4. Tipo Recurso'!$A$6:$A$18</c:f>
              <c:strCache>
                <c:ptCount val="13"/>
                <c:pt idx="0">
                  <c:v>Agua</c:v>
                </c:pt>
                <c:pt idx="1">
                  <c:v>G.N. de Camisea</c:v>
                </c:pt>
                <c:pt idx="2">
                  <c:v>G.N. de Malacas</c:v>
                </c:pt>
                <c:pt idx="3">
                  <c:v>G.N. de Aguaytía</c:v>
                </c:pt>
                <c:pt idx="4">
                  <c:v>G.N. de La Isla</c:v>
                </c:pt>
                <c:pt idx="5">
                  <c:v>Carbón</c:v>
                </c:pt>
                <c:pt idx="6">
                  <c:v>Residual 500</c:v>
                </c:pt>
                <c:pt idx="7">
                  <c:v>Residual 6</c:v>
                </c:pt>
                <c:pt idx="8">
                  <c:v>Diesel 2</c:v>
                </c:pt>
                <c:pt idx="9">
                  <c:v>Bagazo</c:v>
                </c:pt>
                <c:pt idx="10">
                  <c:v>Biogás</c:v>
                </c:pt>
                <c:pt idx="11">
                  <c:v>Solar</c:v>
                </c:pt>
                <c:pt idx="12">
                  <c:v>Eólico</c:v>
                </c:pt>
              </c:strCache>
            </c:strRef>
          </c:cat>
          <c:val>
            <c:numRef>
              <c:f>'4. Tipo Recurso'!$J$6:$J$18</c:f>
              <c:numCache>
                <c:formatCode>_(* #,##0.00_);_(* \(#,##0.00\);_(* "-"??_);_(@_)</c:formatCode>
                <c:ptCount val="13"/>
                <c:pt idx="0">
                  <c:v>24328.458695435002</c:v>
                </c:pt>
                <c:pt idx="1">
                  <c:v>14802.7579284525</c:v>
                </c:pt>
                <c:pt idx="2">
                  <c:v>485.12435876249998</c:v>
                </c:pt>
                <c:pt idx="3">
                  <c:v>348.28843219749996</c:v>
                </c:pt>
                <c:pt idx="4">
                  <c:v>0</c:v>
                </c:pt>
                <c:pt idx="5">
                  <c:v>43.120710160000002</c:v>
                </c:pt>
                <c:pt idx="6">
                  <c:v>5.0606056925000003</c:v>
                </c:pt>
                <c:pt idx="7">
                  <c:v>2.45941272</c:v>
                </c:pt>
                <c:pt idx="8">
                  <c:v>105.7426360475</c:v>
                </c:pt>
                <c:pt idx="9">
                  <c:v>74.671573012499991</c:v>
                </c:pt>
                <c:pt idx="10">
                  <c:v>39.205938442499992</c:v>
                </c:pt>
                <c:pt idx="11">
                  <c:v>591.86199672000009</c:v>
                </c:pt>
                <c:pt idx="12">
                  <c:v>1214.5383555075</c:v>
                </c:pt>
              </c:numCache>
            </c:numRef>
          </c:val>
          <c:extLst>
            <c:ext xmlns:c16="http://schemas.microsoft.com/office/drawing/2014/chart" uri="{C3380CC4-5D6E-409C-BE32-E72D297353CC}">
              <c16:uniqueId val="{00000002-8B13-4332-A726-2B109FF68BD4}"/>
            </c:ext>
          </c:extLst>
        </c:ser>
        <c:dLbls>
          <c:showLegendKey val="0"/>
          <c:showVal val="0"/>
          <c:showCatName val="0"/>
          <c:showSerName val="0"/>
          <c:showPercent val="0"/>
          <c:showBubbleSize val="0"/>
        </c:dLbls>
        <c:gapWidth val="150"/>
        <c:axId val="368025984"/>
        <c:axId val="368027520"/>
      </c:barChart>
      <c:catAx>
        <c:axId val="368025984"/>
        <c:scaling>
          <c:orientation val="minMax"/>
        </c:scaling>
        <c:delete val="0"/>
        <c:axPos val="l"/>
        <c:numFmt formatCode="General" sourceLinked="1"/>
        <c:majorTickMark val="out"/>
        <c:minorTickMark val="none"/>
        <c:tickLblPos val="nextTo"/>
        <c:txPr>
          <a:bodyPr/>
          <a:lstStyle/>
          <a:p>
            <a:pPr>
              <a:defRPr sz="900">
                <a:latin typeface="Arial" panose="020B0604020202020204" pitchFamily="34" charset="0"/>
                <a:cs typeface="Arial" panose="020B0604020202020204" pitchFamily="34" charset="0"/>
              </a:defRPr>
            </a:pPr>
            <a:endParaRPr lang="es-PE"/>
          </a:p>
        </c:txPr>
        <c:crossAx val="368027520"/>
        <c:crosses val="autoZero"/>
        <c:auto val="1"/>
        <c:lblAlgn val="ctr"/>
        <c:lblOffset val="100"/>
        <c:noMultiLvlLbl val="0"/>
      </c:catAx>
      <c:valAx>
        <c:axId val="368027520"/>
        <c:scaling>
          <c:orientation val="minMax"/>
          <c:min val="0"/>
        </c:scaling>
        <c:delete val="0"/>
        <c:axPos val="b"/>
        <c:majorGridlines/>
        <c:title>
          <c:tx>
            <c:rich>
              <a:bodyPr/>
              <a:lstStyle/>
              <a:p>
                <a:pPr>
                  <a:defRPr>
                    <a:latin typeface="Arial" panose="020B0604020202020204" pitchFamily="34" charset="0"/>
                    <a:cs typeface="Arial" panose="020B0604020202020204" pitchFamily="34" charset="0"/>
                  </a:defRPr>
                </a:pPr>
                <a:r>
                  <a:rPr lang="en-US">
                    <a:latin typeface="Arial" panose="020B0604020202020204" pitchFamily="34" charset="0"/>
                    <a:cs typeface="Arial" panose="020B0604020202020204" pitchFamily="34" charset="0"/>
                  </a:rPr>
                  <a:t>GWh</a:t>
                </a:r>
              </a:p>
            </c:rich>
          </c:tx>
          <c:layout>
            <c:manualLayout>
              <c:xMode val="edge"/>
              <c:yMode val="edge"/>
              <c:x val="0.9389790582044838"/>
              <c:y val="0.95564724134947265"/>
            </c:manualLayout>
          </c:layout>
          <c:overlay val="0"/>
        </c:title>
        <c:numFmt formatCode="#,##0" sourceLinked="0"/>
        <c:majorTickMark val="out"/>
        <c:minorTickMark val="none"/>
        <c:tickLblPos val="nextTo"/>
        <c:txPr>
          <a:bodyPr/>
          <a:lstStyle/>
          <a:p>
            <a:pPr>
              <a:defRPr sz="900" b="1">
                <a:latin typeface="Arial" panose="020B0604020202020204" pitchFamily="34" charset="0"/>
                <a:cs typeface="Arial" panose="020B0604020202020204" pitchFamily="34" charset="0"/>
              </a:defRPr>
            </a:pPr>
            <a:endParaRPr lang="es-PE"/>
          </a:p>
        </c:txPr>
        <c:crossAx val="368025984"/>
        <c:crosses val="autoZero"/>
        <c:crossBetween val="between"/>
      </c:valAx>
    </c:plotArea>
    <c:legend>
      <c:legendPos val="t"/>
      <c:layout>
        <c:manualLayout>
          <c:xMode val="edge"/>
          <c:yMode val="edge"/>
          <c:x val="0.39651786496190561"/>
          <c:y val="1.1901978764461594E-2"/>
          <c:w val="0.25905436707010593"/>
          <c:h val="5.2517370639502972E-2"/>
        </c:manualLayout>
      </c:layout>
      <c:overlay val="0"/>
      <c:txPr>
        <a:bodyPr/>
        <a:lstStyle/>
        <a:p>
          <a:pPr>
            <a:defRPr sz="105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Abril 2019
INFSGI-MES-04-2019
15/05/2019
Versión: 01</c:oddHeader>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0169822609424212E-2"/>
          <c:y val="0.15981770600585485"/>
          <c:w val="0.89896686973108009"/>
          <c:h val="0.71546629536770046"/>
        </c:manualLayout>
      </c:layout>
      <c:barChart>
        <c:barDir val="col"/>
        <c:grouping val="clustered"/>
        <c:varyColors val="0"/>
        <c:ser>
          <c:idx val="2"/>
          <c:order val="0"/>
          <c:tx>
            <c:strRef>
              <c:f>'5. RER'!$J$5</c:f>
              <c:strCache>
                <c:ptCount val="1"/>
                <c:pt idx="0">
                  <c:v>2018</c:v>
                </c:pt>
              </c:strCache>
            </c:strRef>
          </c:tx>
          <c:spPr>
            <a:solidFill>
              <a:schemeClr val="accent6"/>
            </a:solidFill>
          </c:spPr>
          <c:invertIfNegative val="0"/>
          <c:cat>
            <c:strRef>
              <c:f>'5. RER'!$A$6:$A$10</c:f>
              <c:strCache>
                <c:ptCount val="5"/>
                <c:pt idx="0">
                  <c:v>Agua</c:v>
                </c:pt>
                <c:pt idx="1">
                  <c:v>Eólica</c:v>
                </c:pt>
                <c:pt idx="2">
                  <c:v>Solar</c:v>
                </c:pt>
                <c:pt idx="3">
                  <c:v>Bagazo</c:v>
                </c:pt>
                <c:pt idx="4">
                  <c:v>Biogás</c:v>
                </c:pt>
              </c:strCache>
            </c:strRef>
          </c:cat>
          <c:val>
            <c:numRef>
              <c:f>'5. RER'!$J$6:$J$10</c:f>
              <c:numCache>
                <c:formatCode>_(* #,##0.00_);_(* \(#,##0.00\);_(* "-"??_);_(@_)</c:formatCode>
                <c:ptCount val="5"/>
                <c:pt idx="0">
                  <c:v>1009.3157406700001</c:v>
                </c:pt>
                <c:pt idx="1">
                  <c:v>1214.5383555075</c:v>
                </c:pt>
                <c:pt idx="2">
                  <c:v>591.86199672000009</c:v>
                </c:pt>
                <c:pt idx="3">
                  <c:v>74.671573012499991</c:v>
                </c:pt>
                <c:pt idx="4">
                  <c:v>39.205938442499992</c:v>
                </c:pt>
              </c:numCache>
            </c:numRef>
          </c:val>
          <c:extLst>
            <c:ext xmlns:c16="http://schemas.microsoft.com/office/drawing/2014/chart" uri="{C3380CC4-5D6E-409C-BE32-E72D297353CC}">
              <c16:uniqueId val="{00000000-A79F-4293-996B-D2B1954F3C70}"/>
            </c:ext>
          </c:extLst>
        </c:ser>
        <c:ser>
          <c:idx val="1"/>
          <c:order val="1"/>
          <c:tx>
            <c:strRef>
              <c:f>'5. RER'!$H$5</c:f>
              <c:strCache>
                <c:ptCount val="1"/>
                <c:pt idx="0">
                  <c:v>2019</c:v>
                </c:pt>
              </c:strCache>
            </c:strRef>
          </c:tx>
          <c:spPr>
            <a:solidFill>
              <a:srgbClr val="FF6600"/>
            </a:solidFill>
          </c:spPr>
          <c:invertIfNegative val="0"/>
          <c:cat>
            <c:strRef>
              <c:f>'5. RER'!$A$6:$A$10</c:f>
              <c:strCache>
                <c:ptCount val="5"/>
                <c:pt idx="0">
                  <c:v>Agua</c:v>
                </c:pt>
                <c:pt idx="1">
                  <c:v>Eólica</c:v>
                </c:pt>
                <c:pt idx="2">
                  <c:v>Solar</c:v>
                </c:pt>
                <c:pt idx="3">
                  <c:v>Bagazo</c:v>
                </c:pt>
                <c:pt idx="4">
                  <c:v>Biogás</c:v>
                </c:pt>
              </c:strCache>
            </c:strRef>
          </c:cat>
          <c:val>
            <c:numRef>
              <c:f>'5. RER'!$H$6:$H$10</c:f>
              <c:numCache>
                <c:formatCode>_(* #,##0.00_);_(* \(#,##0.00\);_(* "-"??_);_(@_)</c:formatCode>
                <c:ptCount val="5"/>
                <c:pt idx="0">
                  <c:v>1423.4923259350003</c:v>
                </c:pt>
                <c:pt idx="1">
                  <c:v>1386.6491204849999</c:v>
                </c:pt>
                <c:pt idx="2">
                  <c:v>609.06993416249986</c:v>
                </c:pt>
                <c:pt idx="3">
                  <c:v>146.42427900750002</c:v>
                </c:pt>
                <c:pt idx="4">
                  <c:v>55.317468930000004</c:v>
                </c:pt>
              </c:numCache>
            </c:numRef>
          </c:val>
          <c:extLst>
            <c:ext xmlns:c16="http://schemas.microsoft.com/office/drawing/2014/chart" uri="{C3380CC4-5D6E-409C-BE32-E72D297353CC}">
              <c16:uniqueId val="{00000001-A79F-4293-996B-D2B1954F3C70}"/>
            </c:ext>
          </c:extLst>
        </c:ser>
        <c:ser>
          <c:idx val="0"/>
          <c:order val="2"/>
          <c:tx>
            <c:strRef>
              <c:f>'5. RER'!$G$5</c:f>
              <c:strCache>
                <c:ptCount val="1"/>
                <c:pt idx="0">
                  <c:v>2020</c:v>
                </c:pt>
              </c:strCache>
            </c:strRef>
          </c:tx>
          <c:spPr>
            <a:solidFill>
              <a:srgbClr val="0077A5"/>
            </a:solidFill>
          </c:spPr>
          <c:invertIfNegative val="0"/>
          <c:cat>
            <c:strRef>
              <c:f>'5. RER'!$A$6:$A$10</c:f>
              <c:strCache>
                <c:ptCount val="5"/>
                <c:pt idx="0">
                  <c:v>Agua</c:v>
                </c:pt>
                <c:pt idx="1">
                  <c:v>Eólica</c:v>
                </c:pt>
                <c:pt idx="2">
                  <c:v>Solar</c:v>
                </c:pt>
                <c:pt idx="3">
                  <c:v>Bagazo</c:v>
                </c:pt>
                <c:pt idx="4">
                  <c:v>Biogás</c:v>
                </c:pt>
              </c:strCache>
            </c:strRef>
          </c:cat>
          <c:val>
            <c:numRef>
              <c:f>'5. RER'!$G$6:$G$10</c:f>
              <c:numCache>
                <c:formatCode>_(* #,##0.00_);_(* \(#,##0.00\);_(* "-"??_);_(@_)</c:formatCode>
                <c:ptCount val="5"/>
                <c:pt idx="0">
                  <c:v>1739.0385378549997</c:v>
                </c:pt>
                <c:pt idx="1">
                  <c:v>1499.30211882</c:v>
                </c:pt>
                <c:pt idx="2">
                  <c:v>622.69887022499995</c:v>
                </c:pt>
                <c:pt idx="3">
                  <c:v>188.0186055275</c:v>
                </c:pt>
                <c:pt idx="4">
                  <c:v>45.4326751925</c:v>
                </c:pt>
              </c:numCache>
            </c:numRef>
          </c:val>
          <c:extLst>
            <c:ext xmlns:c16="http://schemas.microsoft.com/office/drawing/2014/chart" uri="{C3380CC4-5D6E-409C-BE32-E72D297353CC}">
              <c16:uniqueId val="{00000002-A79F-4293-996B-D2B1954F3C70}"/>
            </c:ext>
          </c:extLst>
        </c:ser>
        <c:dLbls>
          <c:showLegendKey val="0"/>
          <c:showVal val="0"/>
          <c:showCatName val="0"/>
          <c:showSerName val="0"/>
          <c:showPercent val="0"/>
          <c:showBubbleSize val="0"/>
        </c:dLbls>
        <c:gapWidth val="196"/>
        <c:overlap val="20"/>
        <c:axId val="368167168"/>
        <c:axId val="368168960"/>
      </c:barChart>
      <c:catAx>
        <c:axId val="368167168"/>
        <c:scaling>
          <c:orientation val="minMax"/>
        </c:scaling>
        <c:delete val="0"/>
        <c:axPos val="b"/>
        <c:numFmt formatCode="General" sourceLinked="1"/>
        <c:majorTickMark val="out"/>
        <c:minorTickMark val="none"/>
        <c:tickLblPos val="nextTo"/>
        <c:crossAx val="368168960"/>
        <c:crosses val="autoZero"/>
        <c:auto val="1"/>
        <c:lblAlgn val="ctr"/>
        <c:lblOffset val="100"/>
        <c:noMultiLvlLbl val="0"/>
      </c:catAx>
      <c:valAx>
        <c:axId val="368168960"/>
        <c:scaling>
          <c:orientation val="minMax"/>
        </c:scaling>
        <c:delete val="0"/>
        <c:axPos val="l"/>
        <c:majorGridlines/>
        <c:title>
          <c:tx>
            <c:rich>
              <a:bodyPr rot="0" vert="horz"/>
              <a:lstStyle/>
              <a:p>
                <a:pPr>
                  <a:defRPr/>
                </a:pPr>
                <a:r>
                  <a:rPr lang="en-US"/>
                  <a:t>GWh</a:t>
                </a:r>
              </a:p>
            </c:rich>
          </c:tx>
          <c:layout>
            <c:manualLayout>
              <c:xMode val="edge"/>
              <c:yMode val="edge"/>
              <c:x val="1.0560866413705003E-2"/>
              <c:y val="2.1702075970000703E-2"/>
            </c:manualLayout>
          </c:layout>
          <c:overlay val="0"/>
        </c:title>
        <c:numFmt formatCode="0" sourceLinked="0"/>
        <c:majorTickMark val="out"/>
        <c:minorTickMark val="none"/>
        <c:tickLblPos val="nextTo"/>
        <c:crossAx val="368167168"/>
        <c:crosses val="autoZero"/>
        <c:crossBetween val="between"/>
      </c:valAx>
    </c:plotArea>
    <c:legend>
      <c:legendPos val="r"/>
      <c:layout>
        <c:manualLayout>
          <c:xMode val="edge"/>
          <c:yMode val="edge"/>
          <c:x val="0.37288911017826071"/>
          <c:y val="2.1675243701162555E-2"/>
          <c:w val="0.31285035118154897"/>
          <c:h val="0.12612239487768262"/>
        </c:manualLayout>
      </c:layout>
      <c:overlay val="0"/>
    </c:legend>
    <c:plotVisOnly val="1"/>
    <c:dispBlanksAs val="gap"/>
    <c:showDLblsOverMax val="0"/>
  </c:chart>
  <c:spPr>
    <a:ln>
      <a:noFill/>
    </a:ln>
  </c:spPr>
  <c:txPr>
    <a:bodyPr/>
    <a:lstStyle/>
    <a:p>
      <a:pPr>
        <a:defRPr>
          <a:solidFill>
            <a:schemeClr val="tx1"/>
          </a:solidFill>
        </a:defRPr>
      </a:pPr>
      <a:endParaRPr lang="es-PE"/>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1"/>
    <c:plotArea>
      <c:layout>
        <c:manualLayout>
          <c:layoutTarget val="inner"/>
          <c:xMode val="edge"/>
          <c:yMode val="edge"/>
          <c:x val="5.8003517946640056E-2"/>
          <c:y val="0.16211650676735231"/>
          <c:w val="0.8136715116269877"/>
          <c:h val="0.77936843901915587"/>
        </c:manualLayout>
      </c:layout>
      <c:ofPieChart>
        <c:ofPieType val="pie"/>
        <c:varyColors val="1"/>
        <c:ser>
          <c:idx val="0"/>
          <c:order val="0"/>
          <c:explosion val="19"/>
          <c:dPt>
            <c:idx val="1"/>
            <c:bubble3D val="0"/>
            <c:spPr>
              <a:solidFill>
                <a:schemeClr val="accent5">
                  <a:lumMod val="75000"/>
                </a:schemeClr>
              </a:solidFill>
            </c:spPr>
            <c:extLst>
              <c:ext xmlns:c16="http://schemas.microsoft.com/office/drawing/2014/chart" uri="{C3380CC4-5D6E-409C-BE32-E72D297353CC}">
                <c16:uniqueId val="{00000001-2F1D-4EB5-A827-BDF01424F97A}"/>
              </c:ext>
            </c:extLst>
          </c:dPt>
          <c:dPt>
            <c:idx val="2"/>
            <c:bubble3D val="0"/>
            <c:spPr>
              <a:solidFill>
                <a:srgbClr val="6DA6D9"/>
              </a:solidFill>
              <a:effectLst>
                <a:outerShdw blurRad="50800" dist="50800" dir="5400000" algn="ctr" rotWithShape="0">
                  <a:srgbClr val="6DA6D9"/>
                </a:outerShdw>
              </a:effectLst>
            </c:spPr>
            <c:extLst>
              <c:ext xmlns:c16="http://schemas.microsoft.com/office/drawing/2014/chart" uri="{C3380CC4-5D6E-409C-BE32-E72D297353CC}">
                <c16:uniqueId val="{00000002-2F1D-4EB5-A827-BDF01424F97A}"/>
              </c:ext>
            </c:extLst>
          </c:dPt>
          <c:dPt>
            <c:idx val="4"/>
            <c:bubble3D val="0"/>
            <c:spPr>
              <a:solidFill>
                <a:schemeClr val="accent2"/>
              </a:solidFill>
            </c:spPr>
            <c:extLst>
              <c:ext xmlns:c16="http://schemas.microsoft.com/office/drawing/2014/chart" uri="{C3380CC4-5D6E-409C-BE32-E72D297353CC}">
                <c16:uniqueId val="{00000004-2F1D-4EB5-A827-BDF01424F97A}"/>
              </c:ext>
            </c:extLst>
          </c:dPt>
          <c:dLbls>
            <c:dLbl>
              <c:idx val="0"/>
              <c:layout>
                <c:manualLayout>
                  <c:x val="9.5674938321666889E-2"/>
                  <c:y val="-0.11225051158682087"/>
                </c:manualLayout>
              </c:layout>
              <c:numFmt formatCode="0.000%" sourceLinked="0"/>
              <c:spPr>
                <a:noFill/>
                <a:ln>
                  <a:noFill/>
                </a:ln>
                <a:effectLst/>
              </c:spPr>
              <c:txPr>
                <a:bodyPr wrap="square" lIns="38100" tIns="19050" rIns="38100" bIns="19050" anchor="ctr">
                  <a:spAutoFit/>
                </a:bodyPr>
                <a:lstStyle/>
                <a:p>
                  <a:pPr>
                    <a:defRPr>
                      <a:solidFill>
                        <a:schemeClr val="bg1"/>
                      </a:solidFill>
                    </a:defRPr>
                  </a:pPr>
                  <a:endParaRPr lang="es-PE"/>
                </a:p>
              </c:txPr>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0-2F1D-4EB5-A827-BDF01424F97A}"/>
                </c:ext>
              </c:extLst>
            </c:dLbl>
            <c:dLbl>
              <c:idx val="1"/>
              <c:layout>
                <c:manualLayout>
                  <c:x val="7.7590956256493697E-3"/>
                  <c:y val="4.60484681412391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1-2F1D-4EB5-A827-BDF01424F97A}"/>
                </c:ext>
              </c:extLst>
            </c:dLbl>
            <c:dLbl>
              <c:idx val="2"/>
              <c:layout>
                <c:manualLayout>
                  <c:x val="-2.7916562201958622E-2"/>
                  <c:y val="6.609824574505136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2-2F1D-4EB5-A827-BDF01424F97A}"/>
                </c:ext>
              </c:extLst>
            </c:dLbl>
            <c:dLbl>
              <c:idx val="3"/>
              <c:layout>
                <c:manualLayout>
                  <c:x val="3.6476848347670635E-2"/>
                  <c:y val="-8.0468710290554732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3-2F1D-4EB5-A827-BDF01424F97A}"/>
                </c:ext>
              </c:extLst>
            </c:dLbl>
            <c:dLbl>
              <c:idx val="4"/>
              <c:layout>
                <c:manualLayout>
                  <c:x val="3.2344229687901509E-2"/>
                  <c:y val="-9.1242759521285188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4-2F1D-4EB5-A827-BDF01424F97A}"/>
                </c:ext>
              </c:extLst>
            </c:dLbl>
            <c:dLbl>
              <c:idx val="5"/>
              <c:layout>
                <c:manualLayout>
                  <c:x val="2.4699144443246022E-2"/>
                  <c:y val="9.2404526335539444E-2"/>
                </c:manualLayout>
              </c:layout>
              <c:dLblPos val="bestFit"/>
              <c:showLegendKey val="0"/>
              <c:showVal val="0"/>
              <c:showCatName val="1"/>
              <c:showSerName val="0"/>
              <c:showPercent val="1"/>
              <c:showBubbleSize val="0"/>
              <c:separator>
</c:separator>
              <c:extLst>
                <c:ext xmlns:c15="http://schemas.microsoft.com/office/drawing/2012/chart" uri="{CE6537A1-D6FC-4f65-9D91-7224C49458BB}"/>
                <c:ext xmlns:c16="http://schemas.microsoft.com/office/drawing/2014/chart" uri="{C3380CC4-5D6E-409C-BE32-E72D297353CC}">
                  <c16:uniqueId val="{00000005-2F1D-4EB5-A827-BDF01424F97A}"/>
                </c:ext>
              </c:extLst>
            </c:dLbl>
            <c:dLbl>
              <c:idx val="6"/>
              <c:layout>
                <c:manualLayout>
                  <c:x val="1.433460803211003E-2"/>
                  <c:y val="-1.9216194107669751E-2"/>
                </c:manualLayout>
              </c:layout>
              <c:tx>
                <c:rich>
                  <a:bodyPr wrap="square" lIns="38100" tIns="19050" rIns="38100" bIns="19050" anchor="ctr">
                    <a:noAutofit/>
                  </a:bodyPr>
                  <a:lstStyle/>
                  <a:p>
                    <a:pPr>
                      <a:defRPr sz="800">
                        <a:latin typeface="Arial" panose="020B0604020202020204" pitchFamily="34" charset="0"/>
                        <a:cs typeface="Arial" panose="020B0604020202020204" pitchFamily="34" charset="0"/>
                      </a:defRPr>
                    </a:pPr>
                    <a:r>
                      <a:rPr lang="en-US" sz="800">
                        <a:latin typeface="Arial" panose="020B0604020202020204" pitchFamily="34" charset="0"/>
                        <a:cs typeface="Arial" panose="020B0604020202020204" pitchFamily="34" charset="0"/>
                      </a:rPr>
                      <a:t>RER
9,229%</a:t>
                    </a:r>
                  </a:p>
                </c:rich>
              </c:tx>
              <c:numFmt formatCode="0.000%" sourceLinked="0"/>
              <c:spPr>
                <a:noFill/>
                <a:ln>
                  <a:noFill/>
                </a:ln>
                <a:effectLst/>
              </c:spPr>
              <c:dLblPos val="bestFit"/>
              <c:showLegendKey val="0"/>
              <c:showVal val="0"/>
              <c:showCatName val="1"/>
              <c:showSerName val="0"/>
              <c:showPercent val="1"/>
              <c:showBubbleSize val="0"/>
              <c:separator>
</c:separator>
              <c:extLst>
                <c:ext xmlns:c15="http://schemas.microsoft.com/office/drawing/2012/chart" uri="{CE6537A1-D6FC-4f65-9D91-7224C49458BB}">
                  <c15:layout>
                    <c:manualLayout>
                      <c:w val="0.1422590973380618"/>
                      <c:h val="0.11875069614067454"/>
                    </c:manualLayout>
                  </c15:layout>
                  <c15:showDataLabelsRange val="0"/>
                </c:ext>
                <c:ext xmlns:c16="http://schemas.microsoft.com/office/drawing/2014/chart" uri="{C3380CC4-5D6E-409C-BE32-E72D297353CC}">
                  <c16:uniqueId val="{00000006-2F1D-4EB5-A827-BDF01424F97A}"/>
                </c:ext>
              </c:extLst>
            </c:dLbl>
            <c:numFmt formatCode="0.000%" sourceLinked="0"/>
            <c:spPr>
              <a:noFill/>
              <a:ln>
                <a:noFill/>
              </a:ln>
              <a:effectLst/>
            </c:spPr>
            <c:dLblPos val="bestFit"/>
            <c:showLegendKey val="0"/>
            <c:showVal val="0"/>
            <c:showCatName val="1"/>
            <c:showSerName val="0"/>
            <c:showPercent val="1"/>
            <c:showBubbleSize val="0"/>
            <c:separator>
</c:separator>
            <c:showLeaderLines val="1"/>
            <c:extLst>
              <c:ext xmlns:c15="http://schemas.microsoft.com/office/drawing/2012/chart" uri="{CE6537A1-D6FC-4f65-9D91-7224C49458BB}"/>
            </c:extLst>
          </c:dLbls>
          <c:cat>
            <c:strRef>
              <c:f>('5. RER'!$C$39,'5. RER'!$A$6:$A$10)</c:f>
              <c:strCache>
                <c:ptCount val="6"/>
                <c:pt idx="0">
                  <c:v>  PRODUCCIÓN TOTAL  SEIN :</c:v>
                </c:pt>
                <c:pt idx="1">
                  <c:v>Agua</c:v>
                </c:pt>
                <c:pt idx="2">
                  <c:v>Eólica</c:v>
                </c:pt>
                <c:pt idx="3">
                  <c:v>Solar</c:v>
                </c:pt>
                <c:pt idx="4">
                  <c:v>Bagazo</c:v>
                </c:pt>
                <c:pt idx="5">
                  <c:v>Biogás</c:v>
                </c:pt>
              </c:strCache>
            </c:strRef>
          </c:cat>
          <c:val>
            <c:numRef>
              <c:f>('5. RER'!$M$39,'5. RER'!$D$6:$D$10)</c:f>
              <c:numCache>
                <c:formatCode>_(* #,##0.00_);_(* \(#,##0.00\);_(* "-"??_);_(@_)</c:formatCode>
                <c:ptCount val="6"/>
                <c:pt idx="0" formatCode="0.00">
                  <c:v>4052.6167936674997</c:v>
                </c:pt>
                <c:pt idx="1">
                  <c:v>126.61989448249999</c:v>
                </c:pt>
                <c:pt idx="2">
                  <c:v>172.07044422999999</c:v>
                </c:pt>
                <c:pt idx="3">
                  <c:v>76.332032090000013</c:v>
                </c:pt>
                <c:pt idx="4">
                  <c:v>30.453421917499998</c:v>
                </c:pt>
                <c:pt idx="5">
                  <c:v>6.5884644099999994</c:v>
                </c:pt>
              </c:numCache>
            </c:numRef>
          </c:val>
          <c:extLst>
            <c:ext xmlns:c16="http://schemas.microsoft.com/office/drawing/2014/chart" uri="{C3380CC4-5D6E-409C-BE32-E72D297353CC}">
              <c16:uniqueId val="{00000007-2F1D-4EB5-A827-BDF01424F97A}"/>
            </c:ext>
          </c:extLst>
        </c:ser>
        <c:dLbls>
          <c:dLblPos val="bestFit"/>
          <c:showLegendKey val="0"/>
          <c:showVal val="0"/>
          <c:showCatName val="1"/>
          <c:showSerName val="0"/>
          <c:showPercent val="1"/>
          <c:showBubbleSize val="0"/>
          <c:showLeaderLines val="1"/>
        </c:dLbls>
        <c:gapWidth val="150"/>
        <c:splitType val="pos"/>
        <c:splitPos val="5"/>
        <c:secondPieSize val="75"/>
        <c:serLines/>
      </c:ofPieChart>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manualLayout>
          <c:layoutTarget val="inner"/>
          <c:xMode val="edge"/>
          <c:yMode val="edge"/>
          <c:x val="7.0445560333237886E-2"/>
          <c:y val="0.15413722949669401"/>
          <c:w val="0.88169487839446614"/>
          <c:h val="0.36081847450671495"/>
        </c:manualLayout>
      </c:layout>
      <c:barChart>
        <c:barDir val="col"/>
        <c:grouping val="clustered"/>
        <c:varyColors val="0"/>
        <c:ser>
          <c:idx val="0"/>
          <c:order val="0"/>
          <c:tx>
            <c:strRef>
              <c:f>'6. FP RER'!$O$5</c:f>
              <c:strCache>
                <c:ptCount val="1"/>
                <c:pt idx="0">
                  <c:v>Producción (GWh)</c:v>
                </c:pt>
              </c:strCache>
            </c:strRef>
          </c:tx>
          <c:spPr>
            <a:solidFill>
              <a:srgbClr val="0077A5"/>
            </a:solidFill>
          </c:spPr>
          <c:invertIfNegative val="0"/>
          <c:cat>
            <c:strRef>
              <c:f>'6. FP RER'!$L$6:$L$35</c:f>
              <c:strCache>
                <c:ptCount val="30"/>
                <c:pt idx="0">
                  <c:v>C.H. CHANCAY</c:v>
                </c:pt>
                <c:pt idx="1">
                  <c:v>C.H. YARUCAYA</c:v>
                </c:pt>
                <c:pt idx="2">
                  <c:v>C.H. RENOVANDES H1</c:v>
                </c:pt>
                <c:pt idx="3">
                  <c:v>C.H. CARHUAC</c:v>
                </c:pt>
                <c:pt idx="4">
                  <c:v>C.H. RUCUY</c:v>
                </c:pt>
                <c:pt idx="5">
                  <c:v>C.H. 8 DE AGOSTO</c:v>
                </c:pt>
                <c:pt idx="6">
                  <c:v>C.H. CARHUAQUERO IV</c:v>
                </c:pt>
                <c:pt idx="7">
                  <c:v>C.H. LA JOYA</c:v>
                </c:pt>
                <c:pt idx="8">
                  <c:v>C.H. RUNATULLO III</c:v>
                </c:pt>
                <c:pt idx="9">
                  <c:v>C.H. ÁNGEL III</c:v>
                </c:pt>
                <c:pt idx="10">
                  <c:v>C.H. ÁNGEL II</c:v>
                </c:pt>
                <c:pt idx="11">
                  <c:v>C.H. POECHOS II</c:v>
                </c:pt>
                <c:pt idx="12">
                  <c:v>C.H. CANCHAYLLO</c:v>
                </c:pt>
                <c:pt idx="13">
                  <c:v>C.H. ÁNGEL I</c:v>
                </c:pt>
                <c:pt idx="14">
                  <c:v>C.H. ZAÑA</c:v>
                </c:pt>
                <c:pt idx="15">
                  <c:v>C.H. EL CARMEN</c:v>
                </c:pt>
                <c:pt idx="16">
                  <c:v>C.H. RUNATULLO II</c:v>
                </c:pt>
                <c:pt idx="17">
                  <c:v>C.H. MANTA I</c:v>
                </c:pt>
                <c:pt idx="18">
                  <c:v>C.H. LAS PIZARRAS</c:v>
                </c:pt>
                <c:pt idx="19">
                  <c:v>C.H. IMPERIAL</c:v>
                </c:pt>
                <c:pt idx="20">
                  <c:v>C.H. HUASAHUASI II</c:v>
                </c:pt>
                <c:pt idx="21">
                  <c:v>C.H. YANAPAMPA</c:v>
                </c:pt>
                <c:pt idx="22">
                  <c:v>C.H. HUASAHUASI I</c:v>
                </c:pt>
                <c:pt idx="23">
                  <c:v>C.H. POTRERO</c:v>
                </c:pt>
                <c:pt idx="24">
                  <c:v>C.H. CAÑA BRAVA</c:v>
                </c:pt>
                <c:pt idx="25">
                  <c:v>C.H. SANTA CRUZ II</c:v>
                </c:pt>
                <c:pt idx="26">
                  <c:v>C.H. SANTA CRUZ I</c:v>
                </c:pt>
                <c:pt idx="27">
                  <c:v>C.H. RONCADOR</c:v>
                </c:pt>
                <c:pt idx="28">
                  <c:v>C.H. HER 1</c:v>
                </c:pt>
                <c:pt idx="29">
                  <c:v>C.H. PURMACANA</c:v>
                </c:pt>
              </c:strCache>
            </c:strRef>
          </c:cat>
          <c:val>
            <c:numRef>
              <c:f>'6. FP RER'!$O$6:$O$35</c:f>
              <c:numCache>
                <c:formatCode>0.00</c:formatCode>
                <c:ptCount val="30"/>
                <c:pt idx="0">
                  <c:v>12.5197587175</c:v>
                </c:pt>
                <c:pt idx="1">
                  <c:v>11.371676297499999</c:v>
                </c:pt>
                <c:pt idx="2">
                  <c:v>11.088193905000001</c:v>
                </c:pt>
                <c:pt idx="3">
                  <c:v>10.023257812499999</c:v>
                </c:pt>
                <c:pt idx="4">
                  <c:v>8.2396298975000004</c:v>
                </c:pt>
                <c:pt idx="5">
                  <c:v>7.3072496974999996</c:v>
                </c:pt>
                <c:pt idx="6">
                  <c:v>5.3854130475000002</c:v>
                </c:pt>
                <c:pt idx="7">
                  <c:v>5.2229287400000004</c:v>
                </c:pt>
                <c:pt idx="8">
                  <c:v>4.6874477399999996</c:v>
                </c:pt>
                <c:pt idx="9">
                  <c:v>4.5572123700000002</c:v>
                </c:pt>
                <c:pt idx="10">
                  <c:v>4.4510389925000009</c:v>
                </c:pt>
                <c:pt idx="11">
                  <c:v>3.6396305450000002</c:v>
                </c:pt>
                <c:pt idx="12">
                  <c:v>3.6143528150000002</c:v>
                </c:pt>
                <c:pt idx="13">
                  <c:v>3.4416516974999998</c:v>
                </c:pt>
                <c:pt idx="14">
                  <c:v>3.3687812450000001</c:v>
                </c:pt>
                <c:pt idx="15">
                  <c:v>3.3319410624999999</c:v>
                </c:pt>
                <c:pt idx="16">
                  <c:v>3.2656924224999999</c:v>
                </c:pt>
                <c:pt idx="17">
                  <c:v>3.1487543974999999</c:v>
                </c:pt>
                <c:pt idx="18">
                  <c:v>2.9062781099999997</c:v>
                </c:pt>
                <c:pt idx="19">
                  <c:v>2.4344000000000001</c:v>
                </c:pt>
                <c:pt idx="20">
                  <c:v>2.0842034100000002</c:v>
                </c:pt>
                <c:pt idx="21">
                  <c:v>1.9741901425000001</c:v>
                </c:pt>
                <c:pt idx="22">
                  <c:v>1.8710944700000001</c:v>
                </c:pt>
                <c:pt idx="23">
                  <c:v>1.4728728600000001</c:v>
                </c:pt>
                <c:pt idx="24">
                  <c:v>1.3774029625000002</c:v>
                </c:pt>
                <c:pt idx="25">
                  <c:v>1.2064332449999999</c:v>
                </c:pt>
                <c:pt idx="26">
                  <c:v>0.9788913025</c:v>
                </c:pt>
                <c:pt idx="27">
                  <c:v>0.88774774249999999</c:v>
                </c:pt>
                <c:pt idx="28">
                  <c:v>0.43333938750000001</c:v>
                </c:pt>
                <c:pt idx="29">
                  <c:v>0.32842944749999997</c:v>
                </c:pt>
              </c:numCache>
            </c:numRef>
          </c:val>
          <c:extLst>
            <c:ext xmlns:c16="http://schemas.microsoft.com/office/drawing/2014/chart" uri="{C3380CC4-5D6E-409C-BE32-E72D297353CC}">
              <c16:uniqueId val="{00000000-8B01-40D4-963F-3A8E24E06936}"/>
            </c:ext>
          </c:extLst>
        </c:ser>
        <c:dLbls>
          <c:showLegendKey val="0"/>
          <c:showVal val="0"/>
          <c:showCatName val="0"/>
          <c:showSerName val="0"/>
          <c:showPercent val="0"/>
          <c:showBubbleSize val="0"/>
        </c:dLbls>
        <c:gapWidth val="170"/>
        <c:axId val="370133632"/>
        <c:axId val="370144000"/>
      </c:barChart>
      <c:lineChart>
        <c:grouping val="standard"/>
        <c:varyColors val="0"/>
        <c:ser>
          <c:idx val="1"/>
          <c:order val="1"/>
          <c:tx>
            <c:strRef>
              <c:f>'6. FP RER'!$P$5</c:f>
              <c:strCache>
                <c:ptCount val="1"/>
                <c:pt idx="0">
                  <c:v>Factor de planta</c:v>
                </c:pt>
              </c:strCache>
            </c:strRef>
          </c:tx>
          <c:spPr>
            <a:ln w="15875">
              <a:solidFill>
                <a:schemeClr val="accent5">
                  <a:lumMod val="75000"/>
                </a:schemeClr>
              </a:solidFill>
            </a:ln>
          </c:spPr>
          <c:marker>
            <c:symbol val="circle"/>
            <c:size val="5"/>
            <c:spPr>
              <a:solidFill>
                <a:srgbClr val="3399FF"/>
              </a:solidFill>
              <a:ln>
                <a:solidFill>
                  <a:schemeClr val="bg1"/>
                </a:solidFill>
              </a:ln>
            </c:spPr>
          </c:marker>
          <c:cat>
            <c:strRef>
              <c:f>'6. FP RER'!$L$6:$L$35</c:f>
              <c:strCache>
                <c:ptCount val="30"/>
                <c:pt idx="0">
                  <c:v>C.H. CHANCAY</c:v>
                </c:pt>
                <c:pt idx="1">
                  <c:v>C.H. YARUCAYA</c:v>
                </c:pt>
                <c:pt idx="2">
                  <c:v>C.H. RENOVANDES H1</c:v>
                </c:pt>
                <c:pt idx="3">
                  <c:v>C.H. CARHUAC</c:v>
                </c:pt>
                <c:pt idx="4">
                  <c:v>C.H. RUCUY</c:v>
                </c:pt>
                <c:pt idx="5">
                  <c:v>C.H. 8 DE AGOSTO</c:v>
                </c:pt>
                <c:pt idx="6">
                  <c:v>C.H. CARHUAQUERO IV</c:v>
                </c:pt>
                <c:pt idx="7">
                  <c:v>C.H. LA JOYA</c:v>
                </c:pt>
                <c:pt idx="8">
                  <c:v>C.H. RUNATULLO III</c:v>
                </c:pt>
                <c:pt idx="9">
                  <c:v>C.H. ÁNGEL III</c:v>
                </c:pt>
                <c:pt idx="10">
                  <c:v>C.H. ÁNGEL II</c:v>
                </c:pt>
                <c:pt idx="11">
                  <c:v>C.H. POECHOS II</c:v>
                </c:pt>
                <c:pt idx="12">
                  <c:v>C.H. CANCHAYLLO</c:v>
                </c:pt>
                <c:pt idx="13">
                  <c:v>C.H. ÁNGEL I</c:v>
                </c:pt>
                <c:pt idx="14">
                  <c:v>C.H. ZAÑA</c:v>
                </c:pt>
                <c:pt idx="15">
                  <c:v>C.H. EL CARMEN</c:v>
                </c:pt>
                <c:pt idx="16">
                  <c:v>C.H. RUNATULLO II</c:v>
                </c:pt>
                <c:pt idx="17">
                  <c:v>C.H. MANTA I</c:v>
                </c:pt>
                <c:pt idx="18">
                  <c:v>C.H. LAS PIZARRAS</c:v>
                </c:pt>
                <c:pt idx="19">
                  <c:v>C.H. IMPERIAL</c:v>
                </c:pt>
                <c:pt idx="20">
                  <c:v>C.H. HUASAHUASI II</c:v>
                </c:pt>
                <c:pt idx="21">
                  <c:v>C.H. YANAPAMPA</c:v>
                </c:pt>
                <c:pt idx="22">
                  <c:v>C.H. HUASAHUASI I</c:v>
                </c:pt>
                <c:pt idx="23">
                  <c:v>C.H. POTRERO</c:v>
                </c:pt>
                <c:pt idx="24">
                  <c:v>C.H. CAÑA BRAVA</c:v>
                </c:pt>
                <c:pt idx="25">
                  <c:v>C.H. SANTA CRUZ II</c:v>
                </c:pt>
                <c:pt idx="26">
                  <c:v>C.H. SANTA CRUZ I</c:v>
                </c:pt>
                <c:pt idx="27">
                  <c:v>C.H. RONCADOR</c:v>
                </c:pt>
                <c:pt idx="28">
                  <c:v>C.H. HER 1</c:v>
                </c:pt>
                <c:pt idx="29">
                  <c:v>C.H. PURMACANA</c:v>
                </c:pt>
              </c:strCache>
            </c:strRef>
          </c:cat>
          <c:val>
            <c:numRef>
              <c:f>'6. FP RER'!$P$6:$P$35</c:f>
              <c:numCache>
                <c:formatCode>0.00</c:formatCode>
                <c:ptCount val="30"/>
                <c:pt idx="0">
                  <c:v>0.84138163424059143</c:v>
                </c:pt>
                <c:pt idx="1">
                  <c:v>1.0189674101702508</c:v>
                </c:pt>
                <c:pt idx="2">
                  <c:v>0.76018803526914636</c:v>
                </c:pt>
                <c:pt idx="3">
                  <c:v>0.67360603578629019</c:v>
                </c:pt>
                <c:pt idx="4">
                  <c:v>0.55373856838037638</c:v>
                </c:pt>
                <c:pt idx="5">
                  <c:v>0.51692485126627052</c:v>
                </c:pt>
                <c:pt idx="6">
                  <c:v>0.72507847312204932</c:v>
                </c:pt>
                <c:pt idx="7">
                  <c:v>0.90639967859944337</c:v>
                </c:pt>
                <c:pt idx="8">
                  <c:v>0.31555308944560584</c:v>
                </c:pt>
                <c:pt idx="9">
                  <c:v>0.30383360335061443</c:v>
                </c:pt>
                <c:pt idx="10">
                  <c:v>0.2967549251485429</c:v>
                </c:pt>
                <c:pt idx="11">
                  <c:v>0.51139206972386519</c:v>
                </c:pt>
                <c:pt idx="12">
                  <c:v>0.93621142714012484</c:v>
                </c:pt>
                <c:pt idx="13">
                  <c:v>0.22945813182043648</c:v>
                </c:pt>
                <c:pt idx="14">
                  <c:v>0.34302513491772568</c:v>
                </c:pt>
                <c:pt idx="15">
                  <c:v>0.53314469126024067</c:v>
                </c:pt>
                <c:pt idx="16">
                  <c:v>0.21983129842331245</c:v>
                </c:pt>
                <c:pt idx="17">
                  <c:v>0.21160983854166665</c:v>
                </c:pt>
                <c:pt idx="18">
                  <c:v>0.20345778703914499</c:v>
                </c:pt>
                <c:pt idx="19">
                  <c:v>0.82543971007888206</c:v>
                </c:pt>
                <c:pt idx="20">
                  <c:v>0.27405093615288972</c:v>
                </c:pt>
                <c:pt idx="21">
                  <c:v>0.67756360724474862</c:v>
                </c:pt>
                <c:pt idx="22">
                  <c:v>0.25532100731401125</c:v>
                </c:pt>
                <c:pt idx="23">
                  <c:v>9.9480795104555056E-2</c:v>
                </c:pt>
                <c:pt idx="24">
                  <c:v>0.32651641408753868</c:v>
                </c:pt>
                <c:pt idx="25">
                  <c:v>0.21841999737121104</c:v>
                </c:pt>
                <c:pt idx="26">
                  <c:v>0.18909372179698775</c:v>
                </c:pt>
                <c:pt idx="27">
                  <c:v>0.34287624463138056</c:v>
                </c:pt>
                <c:pt idx="28">
                  <c:v>0.83206487615207381</c:v>
                </c:pt>
                <c:pt idx="29">
                  <c:v>0.25754809185267435</c:v>
                </c:pt>
              </c:numCache>
            </c:numRef>
          </c:val>
          <c:smooth val="0"/>
          <c:extLst>
            <c:ext xmlns:c16="http://schemas.microsoft.com/office/drawing/2014/chart" uri="{C3380CC4-5D6E-409C-BE32-E72D297353CC}">
              <c16:uniqueId val="{00000001-8B01-40D4-963F-3A8E24E06936}"/>
            </c:ext>
          </c:extLst>
        </c:ser>
        <c:dLbls>
          <c:showLegendKey val="0"/>
          <c:showVal val="0"/>
          <c:showCatName val="0"/>
          <c:showSerName val="0"/>
          <c:showPercent val="0"/>
          <c:showBubbleSize val="0"/>
        </c:dLbls>
        <c:marker val="1"/>
        <c:smooth val="0"/>
        <c:axId val="869532416"/>
        <c:axId val="370145920"/>
      </c:lineChart>
      <c:catAx>
        <c:axId val="370133632"/>
        <c:scaling>
          <c:orientation val="minMax"/>
        </c:scaling>
        <c:delete val="0"/>
        <c:axPos val="b"/>
        <c:numFmt formatCode="General" sourceLinked="1"/>
        <c:majorTickMark val="out"/>
        <c:minorTickMark val="none"/>
        <c:tickLblPos val="nextTo"/>
        <c:txPr>
          <a:bodyPr/>
          <a:lstStyle/>
          <a:p>
            <a:pPr>
              <a:defRPr sz="500">
                <a:latin typeface="Arial" panose="020B0604020202020204" pitchFamily="34" charset="0"/>
                <a:cs typeface="Arial" panose="020B0604020202020204" pitchFamily="34" charset="0"/>
              </a:defRPr>
            </a:pPr>
            <a:endParaRPr lang="es-PE"/>
          </a:p>
        </c:txPr>
        <c:crossAx val="370144000"/>
        <c:crosses val="autoZero"/>
        <c:auto val="1"/>
        <c:lblAlgn val="ctr"/>
        <c:lblOffset val="100"/>
        <c:noMultiLvlLbl val="0"/>
      </c:catAx>
      <c:valAx>
        <c:axId val="370144000"/>
        <c:scaling>
          <c:orientation val="minMax"/>
        </c:scaling>
        <c:delete val="0"/>
        <c:axPos val="l"/>
        <c:majorGridlines>
          <c:spPr>
            <a:ln cap="flat" cmpd="sng">
              <a:solidFill>
                <a:schemeClr val="accent1">
                  <a:lumMod val="60000"/>
                  <a:lumOff val="40000"/>
                </a:schemeClr>
              </a:solidFill>
              <a:prstDash val="dash"/>
            </a:ln>
          </c:spPr>
        </c:majorGridlines>
        <c:title>
          <c:tx>
            <c:rich>
              <a:bodyPr rot="0" vert="horz"/>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GWh</a:t>
                </a:r>
              </a:p>
            </c:rich>
          </c:tx>
          <c:layout>
            <c:manualLayout>
              <c:xMode val="edge"/>
              <c:yMode val="edge"/>
              <c:x val="2.9859745285053755E-2"/>
              <c:y val="4.6627181001233073E-2"/>
            </c:manualLayout>
          </c:layout>
          <c:overlay val="0"/>
        </c:title>
        <c:numFmt formatCode="0.0" sourceLinked="0"/>
        <c:majorTickMark val="out"/>
        <c:minorTickMark val="none"/>
        <c:tickLblPos val="nextTo"/>
        <c:txPr>
          <a:bodyPr/>
          <a:lstStyle/>
          <a:p>
            <a:pPr>
              <a:defRPr sz="800" b="1">
                <a:latin typeface="Arial" panose="020B0604020202020204" pitchFamily="34" charset="0"/>
                <a:cs typeface="Arial" panose="020B0604020202020204" pitchFamily="34" charset="0"/>
              </a:defRPr>
            </a:pPr>
            <a:endParaRPr lang="es-PE"/>
          </a:p>
        </c:txPr>
        <c:crossAx val="370133632"/>
        <c:crosses val="autoZero"/>
        <c:crossBetween val="between"/>
        <c:majorUnit val="4"/>
      </c:valAx>
      <c:valAx>
        <c:axId val="370145920"/>
        <c:scaling>
          <c:orientation val="minMax"/>
          <c:max val="1.1000000000000001"/>
          <c:min val="0"/>
        </c:scaling>
        <c:delete val="0"/>
        <c:axPos val="r"/>
        <c:title>
          <c:tx>
            <c:rich>
              <a:bodyPr rot="0" vert="horz"/>
              <a:lstStyle/>
              <a:p>
                <a:pPr>
                  <a:defRPr sz="700">
                    <a:latin typeface="Arial" panose="020B0604020202020204" pitchFamily="34" charset="0"/>
                    <a:cs typeface="Arial" panose="020B0604020202020204" pitchFamily="34" charset="0"/>
                  </a:defRPr>
                </a:pPr>
                <a:r>
                  <a:rPr lang="es-PA" sz="700">
                    <a:latin typeface="Arial" panose="020B0604020202020204" pitchFamily="34" charset="0"/>
                    <a:cs typeface="Arial" panose="020B0604020202020204" pitchFamily="34" charset="0"/>
                  </a:rPr>
                  <a:t>Factor</a:t>
                </a:r>
                <a:r>
                  <a:rPr lang="es-PA" sz="700" baseline="0">
                    <a:latin typeface="Arial" panose="020B0604020202020204" pitchFamily="34" charset="0"/>
                    <a:cs typeface="Arial" panose="020B0604020202020204" pitchFamily="34" charset="0"/>
                  </a:rPr>
                  <a:t> de Planta</a:t>
                </a:r>
                <a:endParaRPr lang="es-PA" sz="700">
                  <a:latin typeface="Arial" panose="020B0604020202020204" pitchFamily="34" charset="0"/>
                  <a:cs typeface="Arial" panose="020B0604020202020204" pitchFamily="34" charset="0"/>
                </a:endParaRPr>
              </a:p>
            </c:rich>
          </c:tx>
          <c:layout>
            <c:manualLayout>
              <c:xMode val="edge"/>
              <c:yMode val="edge"/>
              <c:x val="0.87248792094806138"/>
              <c:y val="3.8413287598408064E-2"/>
            </c:manualLayout>
          </c:layout>
          <c:overlay val="0"/>
        </c:title>
        <c:numFmt formatCode="0.0" sourceLinked="0"/>
        <c:majorTickMark val="out"/>
        <c:minorTickMark val="none"/>
        <c:tickLblPos val="nextTo"/>
        <c:txPr>
          <a:bodyPr/>
          <a:lstStyle/>
          <a:p>
            <a:pPr>
              <a:defRPr sz="800" b="1">
                <a:solidFill>
                  <a:schemeClr val="accent1"/>
                </a:solidFill>
                <a:latin typeface="Arial" panose="020B0604020202020204" pitchFamily="34" charset="0"/>
                <a:cs typeface="Arial" panose="020B0604020202020204" pitchFamily="34" charset="0"/>
              </a:defRPr>
            </a:pPr>
            <a:endParaRPr lang="es-PE"/>
          </a:p>
        </c:txPr>
        <c:crossAx val="869532416"/>
        <c:crosses val="max"/>
        <c:crossBetween val="between"/>
      </c:valAx>
      <c:catAx>
        <c:axId val="869532416"/>
        <c:scaling>
          <c:orientation val="minMax"/>
        </c:scaling>
        <c:delete val="1"/>
        <c:axPos val="b"/>
        <c:title>
          <c:tx>
            <c:rich>
              <a:bodyPr/>
              <a:lstStyle/>
              <a:p>
                <a:pPr>
                  <a:defRPr sz="800">
                    <a:latin typeface="Arial" panose="020B0604020202020204" pitchFamily="34" charset="0"/>
                    <a:cs typeface="Arial" panose="020B0604020202020204" pitchFamily="34" charset="0"/>
                  </a:defRPr>
                </a:pPr>
                <a:r>
                  <a:rPr lang="es-PA" sz="800">
                    <a:latin typeface="Arial" panose="020B0604020202020204" pitchFamily="34" charset="0"/>
                    <a:cs typeface="Arial" panose="020B0604020202020204" pitchFamily="34" charset="0"/>
                  </a:rPr>
                  <a:t>CENTRALES HIDROELÉCTRICAS</a:t>
                </a:r>
              </a:p>
            </c:rich>
          </c:tx>
          <c:layout>
            <c:manualLayout>
              <c:xMode val="edge"/>
              <c:yMode val="edge"/>
              <c:x val="0.39416759945853497"/>
              <c:y val="5.6277315714210099E-3"/>
            </c:manualLayout>
          </c:layout>
          <c:overlay val="0"/>
        </c:title>
        <c:numFmt formatCode="General" sourceLinked="1"/>
        <c:majorTickMark val="out"/>
        <c:minorTickMark val="none"/>
        <c:tickLblPos val="nextTo"/>
        <c:crossAx val="370145920"/>
        <c:crosses val="autoZero"/>
        <c:auto val="1"/>
        <c:lblAlgn val="ctr"/>
        <c:lblOffset val="100"/>
        <c:noMultiLvlLbl val="0"/>
      </c:catAx>
    </c:plotArea>
    <c:legend>
      <c:legendPos val="r"/>
      <c:layout>
        <c:manualLayout>
          <c:xMode val="edge"/>
          <c:yMode val="edge"/>
          <c:x val="0.20275069950399024"/>
          <c:y val="7.9777015214302111E-2"/>
          <c:w val="0.63910137634191533"/>
          <c:h val="8.1723030889469792E-2"/>
        </c:manualLayout>
      </c:layout>
      <c:overlay val="0"/>
      <c:spPr>
        <a:noFill/>
      </c:spPr>
      <c:txPr>
        <a:bodyPr/>
        <a:lstStyle/>
        <a:p>
          <a:pPr>
            <a:defRPr sz="800">
              <a:latin typeface="Arial" panose="020B0604020202020204" pitchFamily="34" charset="0"/>
              <a:cs typeface="Arial" panose="020B0604020202020204" pitchFamily="34" charset="0"/>
            </a:defRPr>
          </a:pPr>
          <a:endParaRPr lang="es-PE"/>
        </a:p>
      </c:txPr>
    </c:legend>
    <c:plotVisOnly val="1"/>
    <c:dispBlanksAs val="gap"/>
    <c:showDLblsOverMax val="0"/>
  </c:chart>
  <c:spPr>
    <a:ln>
      <a:noFill/>
    </a:ln>
  </c:spPr>
  <c:printSettings>
    <c:headerFooter>
      <c:oddHeader>&amp;R&amp;7Informe de la Operación Mensual - Febrero 2018
INFSGI-MES-02-2018
08/03/2018
Versión: 01</c:oddHeader>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0.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23.xml"/><Relationship Id="rId2" Type="http://schemas.openxmlformats.org/officeDocument/2006/relationships/chart" Target="../charts/chart22.xml"/><Relationship Id="rId1" Type="http://schemas.openxmlformats.org/officeDocument/2006/relationships/chart" Target="../charts/chart21.xml"/></Relationships>
</file>

<file path=xl/drawings/_rels/drawing1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image" Target="../media/image3.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18.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0.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oneCell">
    <xdr:from>
      <xdr:col>0</xdr:col>
      <xdr:colOff>95251</xdr:colOff>
      <xdr:row>0</xdr:row>
      <xdr:rowOff>119062</xdr:rowOff>
    </xdr:from>
    <xdr:to>
      <xdr:col>11</xdr:col>
      <xdr:colOff>825915</xdr:colOff>
      <xdr:row>8</xdr:row>
      <xdr:rowOff>63182</xdr:rowOff>
    </xdr:to>
    <xdr:pic>
      <xdr:nvPicPr>
        <xdr:cNvPr id="7" name="Imagen 1">
          <a:extLst>
            <a:ext uri="{FF2B5EF4-FFF2-40B4-BE49-F238E27FC236}">
              <a16:creationId xmlns:a16="http://schemas.microsoft.com/office/drawing/2014/main" id="{EAF91BBF-A8A8-40E7-91E6-59A345370F78}"/>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1" y="119062"/>
          <a:ext cx="7124838" cy="1070555"/>
        </a:xfrm>
        <a:prstGeom prst="rect">
          <a:avLst/>
        </a:prstGeom>
      </xdr:spPr>
    </xdr:pic>
    <xdr:clientData/>
  </xdr:twoCellAnchor>
  <xdr:twoCellAnchor editAs="oneCell">
    <xdr:from>
      <xdr:col>0</xdr:col>
      <xdr:colOff>199056</xdr:colOff>
      <xdr:row>56</xdr:row>
      <xdr:rowOff>93085</xdr:rowOff>
    </xdr:from>
    <xdr:to>
      <xdr:col>4</xdr:col>
      <xdr:colOff>221888</xdr:colOff>
      <xdr:row>64</xdr:row>
      <xdr:rowOff>76237</xdr:rowOff>
    </xdr:to>
    <xdr:pic>
      <xdr:nvPicPr>
        <xdr:cNvPr id="8" name="Imagen 2">
          <a:extLst>
            <a:ext uri="{FF2B5EF4-FFF2-40B4-BE49-F238E27FC236}">
              <a16:creationId xmlns:a16="http://schemas.microsoft.com/office/drawing/2014/main" id="{9F70DBBB-B250-4103-8680-77028133B234}"/>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99056" y="8197994"/>
          <a:ext cx="2170287" cy="1091516"/>
        </a:xfrm>
        <a:prstGeom prst="rect">
          <a:avLst/>
        </a:prstGeom>
      </xdr:spPr>
    </xdr:pic>
    <xdr:clientData/>
  </xdr:twoCellAnchor>
  <xdr:twoCellAnchor>
    <xdr:from>
      <xdr:col>0</xdr:col>
      <xdr:colOff>229466</xdr:colOff>
      <xdr:row>63</xdr:row>
      <xdr:rowOff>11907</xdr:rowOff>
    </xdr:from>
    <xdr:to>
      <xdr:col>11</xdr:col>
      <xdr:colOff>1073727</xdr:colOff>
      <xdr:row>69</xdr:row>
      <xdr:rowOff>71596</xdr:rowOff>
    </xdr:to>
    <xdr:sp macro="" textlink="">
      <xdr:nvSpPr>
        <xdr:cNvPr id="9" name="Cuadro de texto 152">
          <a:extLst>
            <a:ext uri="{FF2B5EF4-FFF2-40B4-BE49-F238E27FC236}">
              <a16:creationId xmlns:a16="http://schemas.microsoft.com/office/drawing/2014/main" id="{1967E96E-BB07-4374-B745-587D35821563}"/>
            </a:ext>
          </a:extLst>
        </xdr:cNvPr>
        <xdr:cNvSpPr txBox="1"/>
      </xdr:nvSpPr>
      <xdr:spPr>
        <a:xfrm>
          <a:off x="229466" y="9086634"/>
          <a:ext cx="7044170"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spcAft>
              <a:spcPts val="0"/>
            </a:spcAft>
          </a:pPr>
          <a:r>
            <a:rPr lang="es-PE" sz="1400">
              <a:solidFill>
                <a:srgbClr val="1F2532"/>
              </a:solidFill>
              <a:effectLst/>
              <a:ea typeface="Times New Roman" panose="02020603050405020304" pitchFamily="18" charset="0"/>
              <a:cs typeface="Times New Roman" panose="02020603050405020304" pitchFamily="18" charset="0"/>
            </a:rPr>
            <a:t>Lima, 12 de noviembre</a:t>
          </a:r>
          <a:r>
            <a:rPr lang="es-PE" sz="1400" baseline="0">
              <a:solidFill>
                <a:srgbClr val="1F2532"/>
              </a:solidFill>
              <a:effectLst/>
              <a:ea typeface="Times New Roman" panose="02020603050405020304" pitchFamily="18" charset="0"/>
              <a:cs typeface="Times New Roman" panose="02020603050405020304" pitchFamily="18" charset="0"/>
            </a:rPr>
            <a:t> </a:t>
          </a:r>
          <a:r>
            <a:rPr lang="es-PE" sz="1400">
              <a:solidFill>
                <a:srgbClr val="1F2532"/>
              </a:solidFill>
              <a:effectLst/>
              <a:ea typeface="Times New Roman" panose="02020603050405020304" pitchFamily="18" charset="0"/>
              <a:cs typeface="Times New Roman" panose="02020603050405020304" pitchFamily="18" charset="0"/>
            </a:rPr>
            <a:t>de 2020</a:t>
          </a:r>
          <a:endParaRPr lang="es-PE" sz="1100">
            <a:effectLst/>
            <a:ea typeface="Times New Roman" panose="02020603050405020304" pitchFamily="18" charset="0"/>
            <a:cs typeface="Times New Roman" panose="02020603050405020304" pitchFamily="18" charset="0"/>
          </a:endParaRPr>
        </a:p>
        <a:p>
          <a:pPr algn="r">
            <a:spcAft>
              <a:spcPts val="0"/>
            </a:spcAft>
          </a:pP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twoCellAnchor>
    <xdr:from>
      <xdr:col>0</xdr:col>
      <xdr:colOff>0</xdr:colOff>
      <xdr:row>19</xdr:row>
      <xdr:rowOff>107156</xdr:rowOff>
    </xdr:from>
    <xdr:to>
      <xdr:col>11</xdr:col>
      <xdr:colOff>923925</xdr:colOff>
      <xdr:row>45</xdr:row>
      <xdr:rowOff>37306</xdr:rowOff>
    </xdr:to>
    <xdr:sp macro="" textlink="">
      <xdr:nvSpPr>
        <xdr:cNvPr id="10" name="Cuadro de texto 154">
          <a:extLst>
            <a:ext uri="{FF2B5EF4-FFF2-40B4-BE49-F238E27FC236}">
              <a16:creationId xmlns:a16="http://schemas.microsoft.com/office/drawing/2014/main" id="{F1CDB2F2-0DEF-4FE0-B8FB-31E831862350}"/>
            </a:ext>
          </a:extLst>
        </xdr:cNvPr>
        <xdr:cNvSpPr txBox="1"/>
      </xdr:nvSpPr>
      <xdr:spPr>
        <a:xfrm>
          <a:off x="0" y="2821781"/>
          <a:ext cx="7115175" cy="364490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lnSpc>
              <a:spcPct val="115000"/>
            </a:lnSpc>
            <a:spcAft>
              <a:spcPts val="1000"/>
            </a:spcAft>
          </a:pPr>
          <a:r>
            <a:rPr lang="es-PE" sz="4000">
              <a:solidFill>
                <a:srgbClr val="0077A5"/>
              </a:solidFill>
              <a:effectLst/>
              <a:ea typeface="Calibri" panose="020F0502020204030204" pitchFamily="34" charset="0"/>
              <a:cs typeface="Arial" panose="020B0604020202020204" pitchFamily="34" charset="0"/>
            </a:rPr>
            <a:t>INFORME MENSUAL DE OPERACIÓN   </a:t>
          </a:r>
          <a:endParaRPr lang="es-PE" sz="1400">
            <a:effectLst/>
            <a:ea typeface="Calibri" panose="020F0502020204030204" pitchFamily="34" charset="0"/>
            <a:cs typeface="Times New Roman" panose="02020603050405020304" pitchFamily="18" charset="0"/>
          </a:endParaRPr>
        </a:p>
        <a:p>
          <a:pPr algn="r">
            <a:lnSpc>
              <a:spcPct val="115000"/>
            </a:lnSpc>
            <a:spcAft>
              <a:spcPts val="1000"/>
            </a:spcAft>
          </a:pPr>
          <a:r>
            <a:rPr lang="es-PE" sz="2800" b="1" baseline="0">
              <a:solidFill>
                <a:srgbClr val="1F2532"/>
              </a:solidFill>
              <a:effectLst/>
              <a:ea typeface="Calibri" panose="020F0502020204030204" pitchFamily="34" charset="0"/>
              <a:cs typeface="Arial" panose="020B0604020202020204" pitchFamily="34" charset="0"/>
            </a:rPr>
            <a:t>Octubre </a:t>
          </a:r>
          <a:r>
            <a:rPr lang="es-PE" sz="2800" b="1">
              <a:solidFill>
                <a:srgbClr val="1F2532"/>
              </a:solidFill>
              <a:effectLst/>
              <a:ea typeface="Calibri" panose="020F0502020204030204" pitchFamily="34" charset="0"/>
              <a:cs typeface="Arial" panose="020B0604020202020204" pitchFamily="34" charset="0"/>
            </a:rPr>
            <a:t>2020</a:t>
          </a:r>
          <a:endParaRPr lang="es-PE" sz="1600" b="1">
            <a:effectLst/>
            <a:ea typeface="Calibri" panose="020F0502020204030204" pitchFamily="34" charset="0"/>
            <a:cs typeface="Times New Roman" panose="02020603050405020304" pitchFamily="18" charset="0"/>
          </a:endParaRPr>
        </a:p>
        <a:p>
          <a:pPr algn="r">
            <a:lnSpc>
              <a:spcPct val="115000"/>
            </a:lnSpc>
            <a:spcAft>
              <a:spcPts val="1000"/>
            </a:spcAft>
          </a:pPr>
          <a:r>
            <a:rPr lang="es-PE" sz="3200">
              <a:solidFill>
                <a:srgbClr val="4F81BD"/>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a:p>
          <a:pPr algn="r">
            <a:lnSpc>
              <a:spcPct val="115000"/>
            </a:lnSpc>
            <a:spcAft>
              <a:spcPts val="1000"/>
            </a:spcAft>
          </a:pPr>
          <a:r>
            <a:rPr lang="es-PE" sz="1800" cap="small">
              <a:solidFill>
                <a:srgbClr val="404040"/>
              </a:solidFill>
              <a:effectLst/>
              <a:ea typeface="Calibri" panose="020F0502020204030204" pitchFamily="34" charset="0"/>
              <a:cs typeface="Times New Roman" panose="02020603050405020304" pitchFamily="18" charset="0"/>
            </a:rPr>
            <a:t> </a:t>
          </a:r>
          <a:endParaRPr lang="es-PE" sz="1100">
            <a:effectLst/>
            <a:ea typeface="Calibri" panose="020F0502020204030204" pitchFamily="34" charset="0"/>
            <a:cs typeface="Times New Roman" panose="02020603050405020304" pitchFamily="18" charset="0"/>
          </a:endParaRPr>
        </a:p>
      </xdr:txBody>
    </xdr:sp>
    <xdr:clientData/>
  </xdr:twoCellAnchor>
  <xdr:twoCellAnchor>
    <xdr:from>
      <xdr:col>3</xdr:col>
      <xdr:colOff>51954</xdr:colOff>
      <xdr:row>10</xdr:row>
      <xdr:rowOff>103908</xdr:rowOff>
    </xdr:from>
    <xdr:to>
      <xdr:col>11</xdr:col>
      <xdr:colOff>865909</xdr:colOff>
      <xdr:row>14</xdr:row>
      <xdr:rowOff>163598</xdr:rowOff>
    </xdr:to>
    <xdr:sp macro="" textlink="">
      <xdr:nvSpPr>
        <xdr:cNvPr id="11" name="Cuadro de texto 152">
          <a:extLst>
            <a:ext uri="{FF2B5EF4-FFF2-40B4-BE49-F238E27FC236}">
              <a16:creationId xmlns:a16="http://schemas.microsoft.com/office/drawing/2014/main" id="{FBC17519-0973-4EFC-8796-EF206022A705}"/>
            </a:ext>
          </a:extLst>
        </xdr:cNvPr>
        <xdr:cNvSpPr txBox="1"/>
      </xdr:nvSpPr>
      <xdr:spPr>
        <a:xfrm>
          <a:off x="1662545" y="1489363"/>
          <a:ext cx="5403273" cy="890962"/>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1600200" tIns="0" rIns="685800" bIns="0" numCol="1" spcCol="0" rtlCol="0" fromWordArt="0" anchor="b" anchorCtr="0" forceAA="0" compatLnSpc="1">
          <a:prstTxWarp prst="textNoShape">
            <a:avLst/>
          </a:prstTxWarp>
          <a:noAutofit/>
        </a:bodyPr>
        <a:lstStyle/>
        <a:p>
          <a:pPr algn="r"/>
          <a:r>
            <a:rPr lang="es-PE" sz="1100" b="1" cap="all">
              <a:solidFill>
                <a:schemeClr val="dk1"/>
              </a:solidFill>
              <a:effectLst/>
              <a:latin typeface="+mn-lt"/>
              <a:ea typeface="+mn-ea"/>
              <a:cs typeface="+mn-cs"/>
            </a:rPr>
            <a:t>dirección EJECUTIVA</a:t>
          </a:r>
          <a:endParaRPr lang="es-PE" sz="1100">
            <a:solidFill>
              <a:schemeClr val="dk1"/>
            </a:solidFill>
            <a:effectLst/>
            <a:latin typeface="+mn-lt"/>
            <a:ea typeface="+mn-ea"/>
            <a:cs typeface="+mn-cs"/>
          </a:endParaRPr>
        </a:p>
        <a:p>
          <a:pPr algn="r"/>
          <a:r>
            <a:rPr lang="es-PE" sz="1100" b="1" cap="all">
              <a:solidFill>
                <a:schemeClr val="dk1"/>
              </a:solidFill>
              <a:effectLst/>
              <a:latin typeface="+mn-lt"/>
              <a:ea typeface="+mn-ea"/>
              <a:cs typeface="+mn-cs"/>
            </a:rPr>
            <a:t>SUB DIRECCIÓN DE GESTIÓN DE LA INFORMACIÓN</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 </a:t>
          </a:r>
          <a:endParaRPr lang="es-PE" sz="1100">
            <a:solidFill>
              <a:schemeClr val="dk1"/>
            </a:solidFill>
            <a:effectLst/>
            <a:latin typeface="+mn-lt"/>
            <a:ea typeface="+mn-ea"/>
            <a:cs typeface="+mn-cs"/>
          </a:endParaRPr>
        </a:p>
        <a:p>
          <a:pPr algn="r" fontAlgn="auto"/>
          <a:r>
            <a:rPr lang="es-PE" sz="1100" b="1">
              <a:solidFill>
                <a:schemeClr val="dk1"/>
              </a:solidFill>
              <a:effectLst/>
              <a:latin typeface="+mn-lt"/>
              <a:ea typeface="+mn-ea"/>
              <a:cs typeface="+mn-cs"/>
            </a:rPr>
            <a:t>INFSGI-MES-10-2020</a:t>
          </a:r>
          <a:r>
            <a:rPr lang="es-PE" sz="900">
              <a:solidFill>
                <a:srgbClr val="595959"/>
              </a:solidFill>
              <a:effectLst/>
              <a:ea typeface="Times New Roman" panose="02020603050405020304" pitchFamily="18" charset="0"/>
              <a:cs typeface="Times New Roman" panose="02020603050405020304" pitchFamily="18" charset="0"/>
            </a:rPr>
            <a:t> </a:t>
          </a:r>
          <a:endParaRPr lang="es-PE" sz="1100">
            <a:effectLst/>
            <a:ea typeface="Times New Roman" panose="02020603050405020304" pitchFamily="18" charset="0"/>
            <a:cs typeface="Times New Roman" panose="02020603050405020304" pitchFamily="18"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4</xdr:col>
      <xdr:colOff>194827</xdr:colOff>
      <xdr:row>3</xdr:row>
      <xdr:rowOff>12128</xdr:rowOff>
    </xdr:from>
    <xdr:to>
      <xdr:col>9</xdr:col>
      <xdr:colOff>571500</xdr:colOff>
      <xdr:row>66</xdr:row>
      <xdr:rowOff>105104</xdr:rowOff>
    </xdr:to>
    <xdr:graphicFrame macro="">
      <xdr:nvGraphicFramePr>
        <xdr:cNvPr id="2" name="Chart 1">
          <a:extLst>
            <a:ext uri="{FF2B5EF4-FFF2-40B4-BE49-F238E27FC236}">
              <a16:creationId xmlns:a16="http://schemas.microsoft.com/office/drawing/2014/main" id="{2F5930BE-0083-443A-8DB5-8B6199ECAB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104775</xdr:colOff>
      <xdr:row>33</xdr:row>
      <xdr:rowOff>38100</xdr:rowOff>
    </xdr:from>
    <xdr:to>
      <xdr:col>8</xdr:col>
      <xdr:colOff>401081</xdr:colOff>
      <xdr:row>56</xdr:row>
      <xdr:rowOff>132522</xdr:rowOff>
    </xdr:to>
    <xdr:graphicFrame macro="">
      <xdr:nvGraphicFramePr>
        <xdr:cNvPr id="3" name="Chart 2">
          <a:extLst>
            <a:ext uri="{FF2B5EF4-FFF2-40B4-BE49-F238E27FC236}">
              <a16:creationId xmlns:a16="http://schemas.microsoft.com/office/drawing/2014/main" id="{5451F5E3-CEFB-41AE-B79A-D1167BCD2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97971</xdr:colOff>
      <xdr:row>2</xdr:row>
      <xdr:rowOff>70757</xdr:rowOff>
    </xdr:from>
    <xdr:to>
      <xdr:col>11</xdr:col>
      <xdr:colOff>466395</xdr:colOff>
      <xdr:row>24</xdr:row>
      <xdr:rowOff>47668</xdr:rowOff>
    </xdr:to>
    <xdr:graphicFrame macro="">
      <xdr:nvGraphicFramePr>
        <xdr:cNvPr id="2" name="Chart 1">
          <a:extLst>
            <a:ext uri="{FF2B5EF4-FFF2-40B4-BE49-F238E27FC236}">
              <a16:creationId xmlns:a16="http://schemas.microsoft.com/office/drawing/2014/main" id="{8FFE46AF-84B4-4D5A-9910-BC94653F72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151176</xdr:colOff>
      <xdr:row>29</xdr:row>
      <xdr:rowOff>87404</xdr:rowOff>
    </xdr:from>
    <xdr:to>
      <xdr:col>11</xdr:col>
      <xdr:colOff>439347</xdr:colOff>
      <xdr:row>61</xdr:row>
      <xdr:rowOff>141192</xdr:rowOff>
    </xdr:to>
    <xdr:graphicFrame macro="">
      <xdr:nvGraphicFramePr>
        <xdr:cNvPr id="3" name="Chart 2">
          <a:extLst>
            <a:ext uri="{FF2B5EF4-FFF2-40B4-BE49-F238E27FC236}">
              <a16:creationId xmlns:a16="http://schemas.microsoft.com/office/drawing/2014/main" id="{D0FF1D78-BCA7-4532-BE35-999AA6FF8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66261</xdr:colOff>
      <xdr:row>35</xdr:row>
      <xdr:rowOff>112797</xdr:rowOff>
    </xdr:from>
    <xdr:to>
      <xdr:col>8</xdr:col>
      <xdr:colOff>285750</xdr:colOff>
      <xdr:row>59</xdr:row>
      <xdr:rowOff>123825</xdr:rowOff>
    </xdr:to>
    <xdr:graphicFrame macro="">
      <xdr:nvGraphicFramePr>
        <xdr:cNvPr id="2" name="Chart 1">
          <a:extLst>
            <a:ext uri="{FF2B5EF4-FFF2-40B4-BE49-F238E27FC236}">
              <a16:creationId xmlns:a16="http://schemas.microsoft.com/office/drawing/2014/main" id="{C66BFF51-9BC1-4A38-821D-3A2F883B63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0</xdr:col>
      <xdr:colOff>95250</xdr:colOff>
      <xdr:row>0</xdr:row>
      <xdr:rowOff>66261</xdr:rowOff>
    </xdr:from>
    <xdr:to>
      <xdr:col>11</xdr:col>
      <xdr:colOff>468923</xdr:colOff>
      <xdr:row>17</xdr:row>
      <xdr:rowOff>6350</xdr:rowOff>
    </xdr:to>
    <xdr:graphicFrame macro="">
      <xdr:nvGraphicFramePr>
        <xdr:cNvPr id="2" name="Chart 1">
          <a:extLst>
            <a:ext uri="{FF2B5EF4-FFF2-40B4-BE49-F238E27FC236}">
              <a16:creationId xmlns:a16="http://schemas.microsoft.com/office/drawing/2014/main" id="{211C5E77-3749-484C-A561-0669B35009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74543</xdr:colOff>
      <xdr:row>19</xdr:row>
      <xdr:rowOff>69271</xdr:rowOff>
    </xdr:from>
    <xdr:to>
      <xdr:col>11</xdr:col>
      <xdr:colOff>446942</xdr:colOff>
      <xdr:row>38</xdr:row>
      <xdr:rowOff>41413</xdr:rowOff>
    </xdr:to>
    <xdr:graphicFrame macro="">
      <xdr:nvGraphicFramePr>
        <xdr:cNvPr id="3" name="Chart 2">
          <a:extLst>
            <a:ext uri="{FF2B5EF4-FFF2-40B4-BE49-F238E27FC236}">
              <a16:creationId xmlns:a16="http://schemas.microsoft.com/office/drawing/2014/main" id="{B64A4EE7-D3B7-4CF8-87F2-A7B220EC7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36635</xdr:colOff>
      <xdr:row>42</xdr:row>
      <xdr:rowOff>137220</xdr:rowOff>
    </xdr:from>
    <xdr:to>
      <xdr:col>11</xdr:col>
      <xdr:colOff>508000</xdr:colOff>
      <xdr:row>63</xdr:row>
      <xdr:rowOff>25167</xdr:rowOff>
    </xdr:to>
    <xdr:graphicFrame macro="">
      <xdr:nvGraphicFramePr>
        <xdr:cNvPr id="4" name="Chart 3">
          <a:extLst>
            <a:ext uri="{FF2B5EF4-FFF2-40B4-BE49-F238E27FC236}">
              <a16:creationId xmlns:a16="http://schemas.microsoft.com/office/drawing/2014/main" id="{13ABC38A-D6C7-42A8-8759-22211189A3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0</xdr:col>
      <xdr:colOff>137362</xdr:colOff>
      <xdr:row>10</xdr:row>
      <xdr:rowOff>50018</xdr:rowOff>
    </xdr:from>
    <xdr:to>
      <xdr:col>8</xdr:col>
      <xdr:colOff>446558</xdr:colOff>
      <xdr:row>19</xdr:row>
      <xdr:rowOff>82033</xdr:rowOff>
    </xdr:to>
    <xdr:graphicFrame macro="">
      <xdr:nvGraphicFramePr>
        <xdr:cNvPr id="2" name="Chart 1065">
          <a:extLst>
            <a:ext uri="{FF2B5EF4-FFF2-40B4-BE49-F238E27FC236}">
              <a16:creationId xmlns:a16="http://schemas.microsoft.com/office/drawing/2014/main" id="{E8187250-3A3D-4AED-BB7C-6120545264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153286</xdr:colOff>
      <xdr:row>28</xdr:row>
      <xdr:rowOff>118242</xdr:rowOff>
    </xdr:from>
    <xdr:to>
      <xdr:col>8</xdr:col>
      <xdr:colOff>395655</xdr:colOff>
      <xdr:row>38</xdr:row>
      <xdr:rowOff>132139</xdr:rowOff>
    </xdr:to>
    <xdr:graphicFrame macro="">
      <xdr:nvGraphicFramePr>
        <xdr:cNvPr id="3" name="Chart 1065">
          <a:extLst>
            <a:ext uri="{FF2B5EF4-FFF2-40B4-BE49-F238E27FC236}">
              <a16:creationId xmlns:a16="http://schemas.microsoft.com/office/drawing/2014/main" id="{0FDF652A-6C7D-44D3-85CC-32E9CD132B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107781</xdr:colOff>
      <xdr:row>47</xdr:row>
      <xdr:rowOff>134399</xdr:rowOff>
    </xdr:from>
    <xdr:to>
      <xdr:col>8</xdr:col>
      <xdr:colOff>361293</xdr:colOff>
      <xdr:row>56</xdr:row>
      <xdr:rowOff>153362</xdr:rowOff>
    </xdr:to>
    <xdr:graphicFrame macro="">
      <xdr:nvGraphicFramePr>
        <xdr:cNvPr id="4" name="Chart 1065">
          <a:extLst>
            <a:ext uri="{FF2B5EF4-FFF2-40B4-BE49-F238E27FC236}">
              <a16:creationId xmlns:a16="http://schemas.microsoft.com/office/drawing/2014/main" id="{8C6989A4-FEED-4356-BE4D-3A2EEF4FE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34461</xdr:colOff>
      <xdr:row>2</xdr:row>
      <xdr:rowOff>124457</xdr:rowOff>
    </xdr:from>
    <xdr:to>
      <xdr:col>11</xdr:col>
      <xdr:colOff>581309</xdr:colOff>
      <xdr:row>62</xdr:row>
      <xdr:rowOff>7935</xdr:rowOff>
    </xdr:to>
    <xdr:pic>
      <xdr:nvPicPr>
        <xdr:cNvPr id="2" name="Picture 1">
          <a:extLst>
            <a:ext uri="{FF2B5EF4-FFF2-40B4-BE49-F238E27FC236}">
              <a16:creationId xmlns:a16="http://schemas.microsoft.com/office/drawing/2014/main" id="{C9AB8E3E-E9A4-4F73-8C60-2384F9544643}"/>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8997" r="608" b="2063"/>
        <a:stretch/>
      </xdr:blipFill>
      <xdr:spPr>
        <a:xfrm>
          <a:off x="34461" y="600707"/>
          <a:ext cx="6553551" cy="8688150"/>
        </a:xfrm>
        <a:prstGeom prst="rect">
          <a:avLst/>
        </a:prstGeom>
      </xdr:spPr>
    </xdr:pic>
    <xdr:clientData/>
  </xdr:twoCellAnchor>
  <xdr:twoCellAnchor>
    <xdr:from>
      <xdr:col>3</xdr:col>
      <xdr:colOff>414443</xdr:colOff>
      <xdr:row>21</xdr:row>
      <xdr:rowOff>130630</xdr:rowOff>
    </xdr:from>
    <xdr:to>
      <xdr:col>5</xdr:col>
      <xdr:colOff>272143</xdr:colOff>
      <xdr:row>24</xdr:row>
      <xdr:rowOff>99393</xdr:rowOff>
    </xdr:to>
    <xdr:sp macro="" textlink="'14. CMg'!N12">
      <xdr:nvSpPr>
        <xdr:cNvPr id="3" name="Speech Bubble: Rectangle with Corners Rounded 2">
          <a:extLst>
            <a:ext uri="{FF2B5EF4-FFF2-40B4-BE49-F238E27FC236}">
              <a16:creationId xmlns:a16="http://schemas.microsoft.com/office/drawing/2014/main" id="{67ABAB67-39A4-44E5-9DAE-25ACE73024F6}"/>
            </a:ext>
          </a:extLst>
        </xdr:cNvPr>
        <xdr:cNvSpPr/>
      </xdr:nvSpPr>
      <xdr:spPr>
        <a:xfrm>
          <a:off x="1981986" y="3292930"/>
          <a:ext cx="902728" cy="393306"/>
        </a:xfrm>
        <a:prstGeom prst="wedgeRoundRectCallout">
          <a:avLst>
            <a:gd name="adj1" fmla="val -32348"/>
            <a:gd name="adj2" fmla="val 9102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381A084-1A72-4AC5-BA94-9B74043A2443}" type="TxLink">
            <a:rPr lang="en-US" sz="500" b="1" i="0" u="none" strike="noStrike">
              <a:solidFill>
                <a:srgbClr val="000000"/>
              </a:solidFill>
              <a:latin typeface="Arial"/>
              <a:cs typeface="Arial"/>
            </a:rPr>
            <a:pPr algn="ctr"/>
            <a:t>CAJAMARCA 220
(17,68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442947</xdr:colOff>
      <xdr:row>18</xdr:row>
      <xdr:rowOff>141514</xdr:rowOff>
    </xdr:from>
    <xdr:to>
      <xdr:col>4</xdr:col>
      <xdr:colOff>370115</xdr:colOff>
      <xdr:row>21</xdr:row>
      <xdr:rowOff>80346</xdr:rowOff>
    </xdr:to>
    <xdr:sp macro="" textlink="'14. CMg'!N9">
      <xdr:nvSpPr>
        <xdr:cNvPr id="4" name="Speech Bubble: Rectangle with Corners Rounded 3">
          <a:extLst>
            <a:ext uri="{FF2B5EF4-FFF2-40B4-BE49-F238E27FC236}">
              <a16:creationId xmlns:a16="http://schemas.microsoft.com/office/drawing/2014/main" id="{F7E1CCDF-ADA1-4E54-A308-226B760916B3}"/>
            </a:ext>
          </a:extLst>
        </xdr:cNvPr>
        <xdr:cNvSpPr/>
      </xdr:nvSpPr>
      <xdr:spPr>
        <a:xfrm>
          <a:off x="1512990" y="2885525"/>
          <a:ext cx="997210" cy="364417"/>
        </a:xfrm>
        <a:prstGeom prst="wedgeRoundRectCallout">
          <a:avLst>
            <a:gd name="adj1" fmla="val -37274"/>
            <a:gd name="adj2" fmla="val 16064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98D1ECC-8516-41FB-98A8-2875E7F9AC23}" type="TxLink">
            <a:rPr lang="en-US" sz="500" b="1" i="0" u="none" strike="noStrike">
              <a:solidFill>
                <a:srgbClr val="000000"/>
              </a:solidFill>
              <a:latin typeface="Arial"/>
              <a:cs typeface="Arial"/>
            </a:rPr>
            <a:pPr algn="ctr"/>
            <a:t>CHICLAYO 220
(17,88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361789</xdr:colOff>
      <xdr:row>29</xdr:row>
      <xdr:rowOff>70135</xdr:rowOff>
    </xdr:from>
    <xdr:to>
      <xdr:col>6</xdr:col>
      <xdr:colOff>320737</xdr:colOff>
      <xdr:row>31</xdr:row>
      <xdr:rowOff>121043</xdr:rowOff>
    </xdr:to>
    <xdr:sp macro="" textlink="'14. CMg'!N11">
      <xdr:nvSpPr>
        <xdr:cNvPr id="5" name="Speech Bubble: Rectangle with Corners Rounded 4">
          <a:extLst>
            <a:ext uri="{FF2B5EF4-FFF2-40B4-BE49-F238E27FC236}">
              <a16:creationId xmlns:a16="http://schemas.microsoft.com/office/drawing/2014/main" id="{7F107DF1-6675-479F-9205-BD7BB155E82A}"/>
            </a:ext>
          </a:extLst>
        </xdr:cNvPr>
        <xdr:cNvSpPr/>
      </xdr:nvSpPr>
      <xdr:spPr>
        <a:xfrm>
          <a:off x="2491925" y="4404010"/>
          <a:ext cx="1024017" cy="336658"/>
        </a:xfrm>
        <a:prstGeom prst="wedgeRoundRectCallout">
          <a:avLst>
            <a:gd name="adj1" fmla="val -78232"/>
            <a:gd name="adj2" fmla="val 4383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FA62392E-9A20-472B-BD2A-E82AFA93819D}" type="TxLink">
            <a:rPr lang="en-US" sz="500" b="1" i="0" u="none" strike="noStrike">
              <a:solidFill>
                <a:srgbClr val="000000"/>
              </a:solidFill>
              <a:latin typeface="Arial"/>
              <a:cs typeface="Arial"/>
            </a:rPr>
            <a:pPr algn="ctr"/>
            <a:t>CHIMBOTE1 138
(17,33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121763</xdr:colOff>
      <xdr:row>14</xdr:row>
      <xdr:rowOff>95106</xdr:rowOff>
    </xdr:from>
    <xdr:to>
      <xdr:col>4</xdr:col>
      <xdr:colOff>115831</xdr:colOff>
      <xdr:row>17</xdr:row>
      <xdr:rowOff>59872</xdr:rowOff>
    </xdr:to>
    <xdr:sp macro="" textlink="'14. CMg'!N8">
      <xdr:nvSpPr>
        <xdr:cNvPr id="6" name="Speech Bubble: Rectangle with Corners Rounded 5">
          <a:extLst>
            <a:ext uri="{FF2B5EF4-FFF2-40B4-BE49-F238E27FC236}">
              <a16:creationId xmlns:a16="http://schemas.microsoft.com/office/drawing/2014/main" id="{A53B9E1D-484A-43D5-BAF4-E98D416072C4}"/>
            </a:ext>
          </a:extLst>
        </xdr:cNvPr>
        <xdr:cNvSpPr/>
      </xdr:nvSpPr>
      <xdr:spPr>
        <a:xfrm>
          <a:off x="1193326" y="2285856"/>
          <a:ext cx="1065630" cy="393391"/>
        </a:xfrm>
        <a:prstGeom prst="wedgeRoundRectCallout">
          <a:avLst>
            <a:gd name="adj1" fmla="val -34297"/>
            <a:gd name="adj2" fmla="val 12184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0F147908-089F-4FCF-A9B2-4E8063AD9F30}" type="TxLink">
            <a:rPr lang="en-US" sz="500" b="1" i="0" u="none" strike="noStrike">
              <a:solidFill>
                <a:srgbClr val="000000"/>
              </a:solidFill>
              <a:latin typeface="Arial"/>
              <a:ea typeface="+mn-ea"/>
              <a:cs typeface="Arial"/>
            </a:rPr>
            <a:pPr marL="0" indent="0" algn="ctr"/>
            <a:t>PIURA OESTE 220
 (17,98 USD/MWh)</a:t>
          </a:fld>
          <a:endParaRPr lang="es-PE" sz="500" b="1" i="0" u="none" strike="noStrike">
            <a:solidFill>
              <a:srgbClr val="000000"/>
            </a:solidFill>
            <a:latin typeface="Arial"/>
            <a:ea typeface="+mn-ea"/>
            <a:cs typeface="Arial"/>
          </a:endParaRPr>
        </a:p>
      </xdr:txBody>
    </xdr:sp>
    <xdr:clientData/>
  </xdr:twoCellAnchor>
  <xdr:twoCellAnchor>
    <xdr:from>
      <xdr:col>7</xdr:col>
      <xdr:colOff>338419</xdr:colOff>
      <xdr:row>50</xdr:row>
      <xdr:rowOff>159054</xdr:rowOff>
    </xdr:from>
    <xdr:to>
      <xdr:col>9</xdr:col>
      <xdr:colOff>295819</xdr:colOff>
      <xdr:row>53</xdr:row>
      <xdr:rowOff>42347</xdr:rowOff>
    </xdr:to>
    <xdr:sp macro="" textlink="'14. CMg'!N28">
      <xdr:nvSpPr>
        <xdr:cNvPr id="7" name="Speech Bubble: Rectangle with Corners Rounded 6">
          <a:extLst>
            <a:ext uri="{FF2B5EF4-FFF2-40B4-BE49-F238E27FC236}">
              <a16:creationId xmlns:a16="http://schemas.microsoft.com/office/drawing/2014/main" id="{5B131BF2-B42E-4648-88BA-91844EE79775}"/>
            </a:ext>
          </a:extLst>
        </xdr:cNvPr>
        <xdr:cNvSpPr/>
      </xdr:nvSpPr>
      <xdr:spPr>
        <a:xfrm>
          <a:off x="4072219" y="7447040"/>
          <a:ext cx="1024200" cy="373150"/>
        </a:xfrm>
        <a:prstGeom prst="wedgeRoundRectCallout">
          <a:avLst>
            <a:gd name="adj1" fmla="val -33286"/>
            <a:gd name="adj2" fmla="val -14382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8F31B15-E60D-4B2D-92E6-05D357DCD552}" type="TxLink">
            <a:rPr lang="en-US" sz="500" b="1" i="0" u="none" strike="noStrike">
              <a:solidFill>
                <a:srgbClr val="000000"/>
              </a:solidFill>
              <a:latin typeface="Arial"/>
              <a:cs typeface="Arial"/>
            </a:rPr>
            <a:pPr algn="ctr"/>
            <a:t>COTARUSE 220
(16,79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8</xdr:col>
      <xdr:colOff>168518</xdr:colOff>
      <xdr:row>39</xdr:row>
      <xdr:rowOff>98134</xdr:rowOff>
    </xdr:from>
    <xdr:to>
      <xdr:col>10</xdr:col>
      <xdr:colOff>172645</xdr:colOff>
      <xdr:row>42</xdr:row>
      <xdr:rowOff>64241</xdr:rowOff>
    </xdr:to>
    <xdr:sp macro="" textlink="'14. CMg'!N27">
      <xdr:nvSpPr>
        <xdr:cNvPr id="8" name="Speech Bubble: Rectangle with Corners Rounded 7">
          <a:extLst>
            <a:ext uri="{FF2B5EF4-FFF2-40B4-BE49-F238E27FC236}">
              <a16:creationId xmlns:a16="http://schemas.microsoft.com/office/drawing/2014/main" id="{E15CC929-7D11-4FCD-8DE3-6C1F78BFE84B}"/>
            </a:ext>
          </a:extLst>
        </xdr:cNvPr>
        <xdr:cNvSpPr/>
      </xdr:nvSpPr>
      <xdr:spPr>
        <a:xfrm>
          <a:off x="4435718" y="5807691"/>
          <a:ext cx="1070927" cy="390650"/>
        </a:xfrm>
        <a:prstGeom prst="wedgeRoundRectCallout">
          <a:avLst>
            <a:gd name="adj1" fmla="val -14617"/>
            <a:gd name="adj2" fmla="val 169676"/>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40BD4262-5E9D-47EB-AAE0-6E960888513E}" type="TxLink">
            <a:rPr lang="en-US" sz="500" b="1" i="0" u="none" strike="noStrike">
              <a:solidFill>
                <a:srgbClr val="000000"/>
              </a:solidFill>
              <a:latin typeface="Arial"/>
              <a:cs typeface="Arial"/>
            </a:rPr>
            <a:pPr algn="ctr"/>
            <a:t>DOLORESPATA 138
(16,95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4</xdr:col>
      <xdr:colOff>258871</xdr:colOff>
      <xdr:row>25</xdr:row>
      <xdr:rowOff>42153</xdr:rowOff>
    </xdr:from>
    <xdr:to>
      <xdr:col>6</xdr:col>
      <xdr:colOff>193164</xdr:colOff>
      <xdr:row>28</xdr:row>
      <xdr:rowOff>5710</xdr:rowOff>
    </xdr:to>
    <xdr:sp macro="" textlink="'14. CMg'!N10">
      <xdr:nvSpPr>
        <xdr:cNvPr id="9" name="Speech Bubble: Rectangle with Corners Rounded 8">
          <a:extLst>
            <a:ext uri="{FF2B5EF4-FFF2-40B4-BE49-F238E27FC236}">
              <a16:creationId xmlns:a16="http://schemas.microsoft.com/office/drawing/2014/main" id="{81DBB3E9-57C8-4A46-BABA-6E70D45779C2}"/>
            </a:ext>
          </a:extLst>
        </xdr:cNvPr>
        <xdr:cNvSpPr/>
      </xdr:nvSpPr>
      <xdr:spPr>
        <a:xfrm>
          <a:off x="2398956" y="3779196"/>
          <a:ext cx="1004336" cy="389142"/>
        </a:xfrm>
        <a:prstGeom prst="wedgeRoundRectCallout">
          <a:avLst>
            <a:gd name="adj1" fmla="val -86585"/>
            <a:gd name="adj2" fmla="val 7080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6D1E97A-C909-4AFF-9C4D-D908C0F1EE90}" type="TxLink">
            <a:rPr lang="en-US" sz="500" b="1" i="0" u="none" strike="noStrike">
              <a:solidFill>
                <a:srgbClr val="000000"/>
              </a:solidFill>
              <a:latin typeface="Arial"/>
              <a:cs typeface="Arial"/>
            </a:rPr>
            <a:pPr algn="ctr"/>
            <a:t>TRUJILLO 220
(17,48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49091</xdr:colOff>
      <xdr:row>54</xdr:row>
      <xdr:rowOff>16565</xdr:rowOff>
    </xdr:from>
    <xdr:to>
      <xdr:col>11</xdr:col>
      <xdr:colOff>350491</xdr:colOff>
      <xdr:row>56</xdr:row>
      <xdr:rowOff>97971</xdr:rowOff>
    </xdr:to>
    <xdr:sp macro="" textlink="'14. CMg'!N24">
      <xdr:nvSpPr>
        <xdr:cNvPr id="10" name="Speech Bubble: Rectangle with Corners Rounded 9">
          <a:extLst>
            <a:ext uri="{FF2B5EF4-FFF2-40B4-BE49-F238E27FC236}">
              <a16:creationId xmlns:a16="http://schemas.microsoft.com/office/drawing/2014/main" id="{214E5C4F-8D43-43A7-97E1-9AA2BF3C8650}"/>
            </a:ext>
          </a:extLst>
        </xdr:cNvPr>
        <xdr:cNvSpPr/>
      </xdr:nvSpPr>
      <xdr:spPr>
        <a:xfrm>
          <a:off x="5363038" y="8132868"/>
          <a:ext cx="948098" cy="402248"/>
        </a:xfrm>
        <a:prstGeom prst="wedgeRoundRectCallout">
          <a:avLst>
            <a:gd name="adj1" fmla="val -37839"/>
            <a:gd name="adj2" fmla="val -11619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D18D87A-D77D-4977-9BAC-E9BCC9C77DEF}" type="TxLink">
            <a:rPr lang="en-US" sz="500" b="1" i="0" u="none" strike="noStrike">
              <a:solidFill>
                <a:srgbClr val="000000"/>
              </a:solidFill>
              <a:latin typeface="Arial"/>
              <a:cs typeface="Arial"/>
            </a:rPr>
            <a:pPr algn="ctr"/>
            <a:t>PUNO 138
(17,48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3</xdr:col>
      <xdr:colOff>69468</xdr:colOff>
      <xdr:row>35</xdr:row>
      <xdr:rowOff>76200</xdr:rowOff>
    </xdr:from>
    <xdr:to>
      <xdr:col>5</xdr:col>
      <xdr:colOff>59415</xdr:colOff>
      <xdr:row>38</xdr:row>
      <xdr:rowOff>55645</xdr:rowOff>
    </xdr:to>
    <xdr:sp macro="" textlink="'14. CMg'!N16">
      <xdr:nvSpPr>
        <xdr:cNvPr id="11" name="Speech Bubble: Rectangle with Corners Rounded 10">
          <a:extLst>
            <a:ext uri="{FF2B5EF4-FFF2-40B4-BE49-F238E27FC236}">
              <a16:creationId xmlns:a16="http://schemas.microsoft.com/office/drawing/2014/main" id="{FB40B33F-6FC6-4838-AB5E-5A41CB90CC9A}"/>
            </a:ext>
          </a:extLst>
        </xdr:cNvPr>
        <xdr:cNvSpPr/>
      </xdr:nvSpPr>
      <xdr:spPr>
        <a:xfrm>
          <a:off x="1663652" y="5355055"/>
          <a:ext cx="1052737" cy="415590"/>
        </a:xfrm>
        <a:prstGeom prst="wedgeRoundRectCallout">
          <a:avLst>
            <a:gd name="adj1" fmla="val 60712"/>
            <a:gd name="adj2" fmla="val 1375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976BDE4A-2122-465A-A177-E448596434B5}" type="TxLink">
            <a:rPr lang="en-US" sz="500" b="1" i="0" u="none" strike="noStrike">
              <a:solidFill>
                <a:srgbClr val="000000"/>
              </a:solidFill>
              <a:latin typeface="Arial"/>
              <a:cs typeface="Arial"/>
            </a:rPr>
            <a:pPr algn="ctr"/>
            <a:t>CARABAYLLO 220
(16,65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7</xdr:col>
      <xdr:colOff>234291</xdr:colOff>
      <xdr:row>54</xdr:row>
      <xdr:rowOff>122605</xdr:rowOff>
    </xdr:from>
    <xdr:to>
      <xdr:col>9</xdr:col>
      <xdr:colOff>122430</xdr:colOff>
      <xdr:row>57</xdr:row>
      <xdr:rowOff>48986</xdr:rowOff>
    </xdr:to>
    <xdr:sp macro="" textlink="'14. CMg'!N25">
      <xdr:nvSpPr>
        <xdr:cNvPr id="12" name="Speech Bubble: Rectangle with Corners Rounded 11">
          <a:extLst>
            <a:ext uri="{FF2B5EF4-FFF2-40B4-BE49-F238E27FC236}">
              <a16:creationId xmlns:a16="http://schemas.microsoft.com/office/drawing/2014/main" id="{8CCF5F66-5A05-41DF-BC1F-9362F6230CF6}"/>
            </a:ext>
          </a:extLst>
        </xdr:cNvPr>
        <xdr:cNvSpPr/>
      </xdr:nvSpPr>
      <xdr:spPr>
        <a:xfrm>
          <a:off x="3962030" y="8114946"/>
          <a:ext cx="953207" cy="406960"/>
        </a:xfrm>
        <a:prstGeom prst="wedgeRoundRectCallout">
          <a:avLst>
            <a:gd name="adj1" fmla="val 52217"/>
            <a:gd name="adj2" fmla="val -7673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E0F3895-4B39-491F-807B-919B73922889}" type="TxLink">
            <a:rPr lang="en-US" sz="500" b="1" i="0" u="none" strike="noStrike">
              <a:solidFill>
                <a:srgbClr val="000000"/>
              </a:solidFill>
              <a:latin typeface="Arial"/>
              <a:cs typeface="Arial"/>
            </a:rPr>
            <a:pPr algn="ctr"/>
            <a:t>SOCABAYA 220
(17,38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10</xdr:col>
      <xdr:colOff>213268</xdr:colOff>
      <xdr:row>41</xdr:row>
      <xdr:rowOff>82984</xdr:rowOff>
    </xdr:from>
    <xdr:to>
      <xdr:col>11</xdr:col>
      <xdr:colOff>556852</xdr:colOff>
      <xdr:row>44</xdr:row>
      <xdr:rowOff>40095</xdr:rowOff>
    </xdr:to>
    <xdr:sp macro="" textlink="'14. CMg'!N29">
      <xdr:nvSpPr>
        <xdr:cNvPr id="13" name="Speech Bubble: Rectangle with Corners Rounded 12">
          <a:extLst>
            <a:ext uri="{FF2B5EF4-FFF2-40B4-BE49-F238E27FC236}">
              <a16:creationId xmlns:a16="http://schemas.microsoft.com/office/drawing/2014/main" id="{30CE3C2D-191C-4775-AF75-832FFF2CFEF8}"/>
            </a:ext>
          </a:extLst>
        </xdr:cNvPr>
        <xdr:cNvSpPr/>
      </xdr:nvSpPr>
      <xdr:spPr>
        <a:xfrm>
          <a:off x="5538609" y="6131359"/>
          <a:ext cx="993016" cy="385736"/>
        </a:xfrm>
        <a:prstGeom prst="wedgeRoundRectCallout">
          <a:avLst>
            <a:gd name="adj1" fmla="val -51607"/>
            <a:gd name="adj2" fmla="val 124167"/>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3B445C51-4CB5-4987-A94F-D7BC1CE968D5}" type="TxLink">
            <a:rPr lang="en-US" sz="500" b="1" i="0" u="none" strike="noStrike">
              <a:solidFill>
                <a:srgbClr val="000000"/>
              </a:solidFill>
              <a:latin typeface="Arial"/>
              <a:cs typeface="Arial"/>
            </a:rPr>
            <a:pPr algn="ctr"/>
            <a:t>SAN GABAN 138
(16,27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2</xdr:col>
      <xdr:colOff>468086</xdr:colOff>
      <xdr:row>42</xdr:row>
      <xdr:rowOff>70812</xdr:rowOff>
    </xdr:from>
    <xdr:to>
      <xdr:col>5</xdr:col>
      <xdr:colOff>48986</xdr:colOff>
      <xdr:row>45</xdr:row>
      <xdr:rowOff>54428</xdr:rowOff>
    </xdr:to>
    <xdr:sp macro="" textlink="'14. CMg'!N14">
      <xdr:nvSpPr>
        <xdr:cNvPr id="14" name="Speech Bubble: Rectangle with Corners Rounded 13">
          <a:extLst>
            <a:ext uri="{FF2B5EF4-FFF2-40B4-BE49-F238E27FC236}">
              <a16:creationId xmlns:a16="http://schemas.microsoft.com/office/drawing/2014/main" id="{47625F7A-47D1-4724-B8A8-84A0A48C443C}"/>
            </a:ext>
          </a:extLst>
        </xdr:cNvPr>
        <xdr:cNvSpPr/>
      </xdr:nvSpPr>
      <xdr:spPr>
        <a:xfrm>
          <a:off x="1534886" y="6204912"/>
          <a:ext cx="1181100" cy="408159"/>
        </a:xfrm>
        <a:prstGeom prst="wedgeRoundRectCallout">
          <a:avLst>
            <a:gd name="adj1" fmla="val 71802"/>
            <a:gd name="adj2" fmla="val -8449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314A294-1317-4E03-A84A-216F81C49F6F}" type="TxLink">
            <a:rPr lang="en-US" sz="500" b="1" i="0" u="none" strike="noStrike">
              <a:solidFill>
                <a:srgbClr val="000000"/>
              </a:solidFill>
              <a:latin typeface="Arial"/>
              <a:cs typeface="Arial"/>
            </a:rPr>
            <a:pPr algn="ctr"/>
            <a:t>CHAVARRIA 220
(16,66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347226</xdr:colOff>
      <xdr:row>47</xdr:row>
      <xdr:rowOff>128091</xdr:rowOff>
    </xdr:from>
    <xdr:to>
      <xdr:col>7</xdr:col>
      <xdr:colOff>326427</xdr:colOff>
      <xdr:row>50</xdr:row>
      <xdr:rowOff>110750</xdr:rowOff>
    </xdr:to>
    <xdr:sp macro="" textlink="'14. CMg'!N15">
      <xdr:nvSpPr>
        <xdr:cNvPr id="15" name="Speech Bubble: Rectangle with Corners Rounded 14">
          <a:extLst>
            <a:ext uri="{FF2B5EF4-FFF2-40B4-BE49-F238E27FC236}">
              <a16:creationId xmlns:a16="http://schemas.microsoft.com/office/drawing/2014/main" id="{5A330F5B-AED0-4843-B1D1-58F2E3DC719E}"/>
            </a:ext>
          </a:extLst>
        </xdr:cNvPr>
        <xdr:cNvSpPr/>
      </xdr:nvSpPr>
      <xdr:spPr>
        <a:xfrm>
          <a:off x="3022332" y="6986091"/>
          <a:ext cx="1049244" cy="428510"/>
        </a:xfrm>
        <a:prstGeom prst="wedgeRoundRectCallout">
          <a:avLst>
            <a:gd name="adj1" fmla="val -32067"/>
            <a:gd name="adj2" fmla="val -102154"/>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09A59747-6588-404F-9B22-9064BA69CE71}" type="TxLink">
            <a:rPr lang="en-US" sz="500" b="1" i="0" u="none" strike="noStrike">
              <a:solidFill>
                <a:srgbClr val="000000"/>
              </a:solidFill>
              <a:latin typeface="Arial"/>
              <a:cs typeface="Arial"/>
            </a:rPr>
            <a:pPr algn="ctr"/>
            <a:t>INDEPENDENCIA 220
(16,59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246968</xdr:colOff>
      <xdr:row>34</xdr:row>
      <xdr:rowOff>67019</xdr:rowOff>
    </xdr:from>
    <xdr:to>
      <xdr:col>7</xdr:col>
      <xdr:colOff>156559</xdr:colOff>
      <xdr:row>36</xdr:row>
      <xdr:rowOff>115613</xdr:rowOff>
    </xdr:to>
    <xdr:sp macro="" textlink="'14. CMg'!N20">
      <xdr:nvSpPr>
        <xdr:cNvPr id="16" name="Speech Bubble: Rectangle with Corners Rounded 15">
          <a:extLst>
            <a:ext uri="{FF2B5EF4-FFF2-40B4-BE49-F238E27FC236}">
              <a16:creationId xmlns:a16="http://schemas.microsoft.com/office/drawing/2014/main" id="{1C10942E-A8A6-4538-833C-3B2343922F45}"/>
            </a:ext>
          </a:extLst>
        </xdr:cNvPr>
        <xdr:cNvSpPr/>
      </xdr:nvSpPr>
      <xdr:spPr>
        <a:xfrm>
          <a:off x="2909638" y="5115269"/>
          <a:ext cx="974660" cy="334344"/>
        </a:xfrm>
        <a:prstGeom prst="wedgeRoundRectCallout">
          <a:avLst>
            <a:gd name="adj1" fmla="val -25939"/>
            <a:gd name="adj2" fmla="val 106312"/>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4AA8072-7137-4D47-AEDE-E06480877674}" type="TxLink">
            <a:rPr lang="en-US" sz="500" b="1" i="0" u="none" strike="noStrike">
              <a:solidFill>
                <a:srgbClr val="000000"/>
              </a:solidFill>
              <a:latin typeface="Arial"/>
              <a:cs typeface="Arial"/>
            </a:rPr>
            <a:pPr algn="ctr"/>
            <a:t>OROYA NUEVA 50
(16,24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9</xdr:col>
      <xdr:colOff>517617</xdr:colOff>
      <xdr:row>48</xdr:row>
      <xdr:rowOff>106165</xdr:rowOff>
    </xdr:from>
    <xdr:to>
      <xdr:col>11</xdr:col>
      <xdr:colOff>375273</xdr:colOff>
      <xdr:row>51</xdr:row>
      <xdr:rowOff>34102</xdr:rowOff>
    </xdr:to>
    <xdr:sp macro="" textlink="'14. CMg'!N23">
      <xdr:nvSpPr>
        <xdr:cNvPr id="17" name="Speech Bubble: Rectangle with Corners Rounded 16">
          <a:extLst>
            <a:ext uri="{FF2B5EF4-FFF2-40B4-BE49-F238E27FC236}">
              <a16:creationId xmlns:a16="http://schemas.microsoft.com/office/drawing/2014/main" id="{D917D739-100B-404C-94D6-B3F72462476F}"/>
            </a:ext>
          </a:extLst>
        </xdr:cNvPr>
        <xdr:cNvSpPr/>
      </xdr:nvSpPr>
      <xdr:spPr>
        <a:xfrm>
          <a:off x="5318217" y="7089351"/>
          <a:ext cx="1038756" cy="396022"/>
        </a:xfrm>
        <a:prstGeom prst="wedgeRoundRectCallout">
          <a:avLst>
            <a:gd name="adj1" fmla="val -79222"/>
            <a:gd name="adj2" fmla="val -11405"/>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E735125C-FA35-4AC1-8D5E-D882ED7FB41A}" type="TxLink">
            <a:rPr lang="en-US" sz="500" b="1" i="0" u="none" strike="noStrike">
              <a:solidFill>
                <a:srgbClr val="000000"/>
              </a:solidFill>
              <a:effectLst/>
              <a:latin typeface="Arial"/>
              <a:cs typeface="Arial"/>
            </a:rPr>
            <a:pPr algn="ctr"/>
            <a:t>TINTAYA NUEVA 220
(17,97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twoCellAnchor>
    <xdr:from>
      <xdr:col>6</xdr:col>
      <xdr:colOff>234911</xdr:colOff>
      <xdr:row>38</xdr:row>
      <xdr:rowOff>30353</xdr:rowOff>
    </xdr:from>
    <xdr:to>
      <xdr:col>8</xdr:col>
      <xdr:colOff>143457</xdr:colOff>
      <xdr:row>41</xdr:row>
      <xdr:rowOff>34883</xdr:rowOff>
    </xdr:to>
    <xdr:sp macro="" textlink="'14. CMg'!N19">
      <xdr:nvSpPr>
        <xdr:cNvPr id="18" name="Speech Bubble: Rectangle with Corners Rounded 17">
          <a:extLst>
            <a:ext uri="{FF2B5EF4-FFF2-40B4-BE49-F238E27FC236}">
              <a16:creationId xmlns:a16="http://schemas.microsoft.com/office/drawing/2014/main" id="{818FA3CD-5379-4AAE-BF6C-E9A70842C4FE}"/>
            </a:ext>
          </a:extLst>
        </xdr:cNvPr>
        <xdr:cNvSpPr/>
      </xdr:nvSpPr>
      <xdr:spPr>
        <a:xfrm>
          <a:off x="3430116" y="5650103"/>
          <a:ext cx="973614" cy="433155"/>
        </a:xfrm>
        <a:prstGeom prst="wedgeRoundRectCallout">
          <a:avLst>
            <a:gd name="adj1" fmla="val -76929"/>
            <a:gd name="adj2" fmla="val 673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77F15ACB-FB53-4BE7-819D-63AD2A64F485}" type="TxLink">
            <a:rPr lang="en-US" sz="500" b="1" i="0" u="none" strike="noStrike">
              <a:solidFill>
                <a:srgbClr val="000000"/>
              </a:solidFill>
              <a:latin typeface="Arial"/>
              <a:cs typeface="Arial"/>
            </a:rPr>
            <a:pPr algn="ctr"/>
            <a:t>POMACOCHA 220
(16,33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5</xdr:col>
      <xdr:colOff>407176</xdr:colOff>
      <xdr:row>41</xdr:row>
      <xdr:rowOff>118773</xdr:rowOff>
    </xdr:from>
    <xdr:to>
      <xdr:col>7</xdr:col>
      <xdr:colOff>428710</xdr:colOff>
      <xdr:row>44</xdr:row>
      <xdr:rowOff>76199</xdr:rowOff>
    </xdr:to>
    <xdr:sp macro="" textlink="'14. CMg'!N18">
      <xdr:nvSpPr>
        <xdr:cNvPr id="19" name="Speech Bubble: Rectangle with Corners Rounded 18">
          <a:extLst>
            <a:ext uri="{FF2B5EF4-FFF2-40B4-BE49-F238E27FC236}">
              <a16:creationId xmlns:a16="http://schemas.microsoft.com/office/drawing/2014/main" id="{B4617003-880D-404F-948F-ADC35BF849CD}"/>
            </a:ext>
          </a:extLst>
        </xdr:cNvPr>
        <xdr:cNvSpPr/>
      </xdr:nvSpPr>
      <xdr:spPr>
        <a:xfrm>
          <a:off x="3074176" y="6111359"/>
          <a:ext cx="1088334" cy="381969"/>
        </a:xfrm>
        <a:prstGeom prst="wedgeRoundRectCallout">
          <a:avLst>
            <a:gd name="adj1" fmla="val -69378"/>
            <a:gd name="adj2" fmla="val -58750"/>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DFEEF0-56D0-4014-8832-81D0F2D8219F}" type="TxLink">
            <a:rPr lang="en-US" sz="500" b="1" i="0" u="none" strike="noStrike">
              <a:solidFill>
                <a:srgbClr val="000000"/>
              </a:solidFill>
              <a:latin typeface="Arial"/>
              <a:cs typeface="Arial"/>
            </a:rPr>
            <a:pPr algn="ctr"/>
            <a:t>SAN JUAN 220
(16,47 USD/MWh)</a:t>
          </a:fld>
          <a:endParaRPr lang="es-PE" sz="600" b="1">
            <a:solidFill>
              <a:schemeClr val="tx1"/>
            </a:solidFill>
            <a:latin typeface="Arial" panose="020B0604020202020204" pitchFamily="34" charset="0"/>
            <a:cs typeface="Arial" panose="020B0604020202020204" pitchFamily="34" charset="0"/>
          </a:endParaRPr>
        </a:p>
      </xdr:txBody>
    </xdr:sp>
    <xdr:clientData/>
  </xdr:twoCellAnchor>
  <xdr:twoCellAnchor>
    <xdr:from>
      <xdr:col>2</xdr:col>
      <xdr:colOff>440872</xdr:colOff>
      <xdr:row>39</xdr:row>
      <xdr:rowOff>0</xdr:rowOff>
    </xdr:from>
    <xdr:to>
      <xdr:col>4</xdr:col>
      <xdr:colOff>321722</xdr:colOff>
      <xdr:row>41</xdr:row>
      <xdr:rowOff>101870</xdr:rowOff>
    </xdr:to>
    <xdr:sp macro="" textlink="'14. CMg'!N17">
      <xdr:nvSpPr>
        <xdr:cNvPr id="20" name="Speech Bubble: Rectangle with Corners Rounded 19">
          <a:extLst>
            <a:ext uri="{FF2B5EF4-FFF2-40B4-BE49-F238E27FC236}">
              <a16:creationId xmlns:a16="http://schemas.microsoft.com/office/drawing/2014/main" id="{C83DD751-0681-415C-9E7E-8C2D931E5A06}"/>
            </a:ext>
          </a:extLst>
        </xdr:cNvPr>
        <xdr:cNvSpPr/>
      </xdr:nvSpPr>
      <xdr:spPr>
        <a:xfrm>
          <a:off x="1485901" y="5709557"/>
          <a:ext cx="925878" cy="384899"/>
        </a:xfrm>
        <a:prstGeom prst="wedgeRoundRectCallout">
          <a:avLst>
            <a:gd name="adj1" fmla="val 90691"/>
            <a:gd name="adj2" fmla="val 31191"/>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B068C4B9-73E1-405C-8F26-A40D377650A7}" type="TxLink">
            <a:rPr lang="en-US" sz="500" b="1" i="0" u="none" strike="noStrike">
              <a:solidFill>
                <a:srgbClr val="000000"/>
              </a:solidFill>
              <a:latin typeface="Arial"/>
              <a:cs typeface="Arial"/>
            </a:rPr>
            <a:pPr algn="ctr"/>
            <a:t>SANTA ROSA 220
(16,6 USD/MWh)</a:t>
          </a:fld>
          <a:endParaRPr lang="es-PE" sz="600" b="1">
            <a:solidFill>
              <a:sysClr val="windowText" lastClr="000000"/>
            </a:solidFill>
            <a:latin typeface="Arial" panose="020B0604020202020204" pitchFamily="34" charset="0"/>
            <a:cs typeface="Arial" panose="020B0604020202020204" pitchFamily="34" charset="0"/>
          </a:endParaRPr>
        </a:p>
      </xdr:txBody>
    </xdr:sp>
    <xdr:clientData/>
  </xdr:twoCellAnchor>
  <xdr:twoCellAnchor>
    <xdr:from>
      <xdr:col>8</xdr:col>
      <xdr:colOff>230658</xdr:colOff>
      <xdr:row>58</xdr:row>
      <xdr:rowOff>12464</xdr:rowOff>
    </xdr:from>
    <xdr:to>
      <xdr:col>10</xdr:col>
      <xdr:colOff>192558</xdr:colOff>
      <xdr:row>60</xdr:row>
      <xdr:rowOff>60708</xdr:rowOff>
    </xdr:to>
    <xdr:sp macro="" textlink="'14. CMg'!N26">
      <xdr:nvSpPr>
        <xdr:cNvPr id="21" name="Speech Bubble: Rectangle with Corners Rounded 20">
          <a:extLst>
            <a:ext uri="{FF2B5EF4-FFF2-40B4-BE49-F238E27FC236}">
              <a16:creationId xmlns:a16="http://schemas.microsoft.com/office/drawing/2014/main" id="{55C09E2F-29F9-44C5-A62D-6A862EAA379B}"/>
            </a:ext>
          </a:extLst>
        </xdr:cNvPr>
        <xdr:cNvSpPr/>
      </xdr:nvSpPr>
      <xdr:spPr>
        <a:xfrm>
          <a:off x="4490931" y="8645578"/>
          <a:ext cx="1026968" cy="368630"/>
        </a:xfrm>
        <a:prstGeom prst="wedgeRoundRectCallout">
          <a:avLst>
            <a:gd name="adj1" fmla="val 14845"/>
            <a:gd name="adj2" fmla="val -135118"/>
            <a:gd name="adj3" fmla="val 16667"/>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CD0609F6-276D-4614-A22B-944B727A0920}" type="TxLink">
            <a:rPr lang="en-US" sz="500" b="1" i="0" u="none" strike="noStrike">
              <a:solidFill>
                <a:srgbClr val="000000"/>
              </a:solidFill>
              <a:effectLst/>
              <a:latin typeface="Arial"/>
              <a:cs typeface="Arial"/>
            </a:rPr>
            <a:pPr algn="ctr"/>
            <a:t>MOQUEGUA 138
(17,31 USD/MWh)</a:t>
          </a:fld>
          <a:endParaRPr lang="es-PE" sz="600" b="1">
            <a:solidFill>
              <a:sysClr val="windowText" lastClr="000000"/>
            </a:solidFill>
            <a:effectLst/>
            <a:latin typeface="Arial" panose="020B0604020202020204" pitchFamily="34" charset="0"/>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126628</xdr:colOff>
      <xdr:row>14</xdr:row>
      <xdr:rowOff>124238</xdr:rowOff>
    </xdr:from>
    <xdr:to>
      <xdr:col>7</xdr:col>
      <xdr:colOff>430696</xdr:colOff>
      <xdr:row>52</xdr:row>
      <xdr:rowOff>99391</xdr:rowOff>
    </xdr:to>
    <xdr:graphicFrame macro="">
      <xdr:nvGraphicFramePr>
        <xdr:cNvPr id="5" name="Chart 4">
          <a:extLst>
            <a:ext uri="{FF2B5EF4-FFF2-40B4-BE49-F238E27FC236}">
              <a16:creationId xmlns:a16="http://schemas.microsoft.com/office/drawing/2014/main" id="{E469304E-5D4F-4141-9D56-FCE3FAE349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41932</xdr:colOff>
      <xdr:row>17</xdr:row>
      <xdr:rowOff>62670</xdr:rowOff>
    </xdr:from>
    <xdr:to>
      <xdr:col>3</xdr:col>
      <xdr:colOff>153604</xdr:colOff>
      <xdr:row>32</xdr:row>
      <xdr:rowOff>79093</xdr:rowOff>
    </xdr:to>
    <xdr:graphicFrame macro="">
      <xdr:nvGraphicFramePr>
        <xdr:cNvPr id="2" name="Chart 1">
          <a:extLst>
            <a:ext uri="{FF2B5EF4-FFF2-40B4-BE49-F238E27FC236}">
              <a16:creationId xmlns:a16="http://schemas.microsoft.com/office/drawing/2014/main" id="{F4029751-7DE8-414A-875E-C2C000CE12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773906</xdr:colOff>
      <xdr:row>37</xdr:row>
      <xdr:rowOff>5953</xdr:rowOff>
    </xdr:from>
    <xdr:to>
      <xdr:col>8</xdr:col>
      <xdr:colOff>71437</xdr:colOff>
      <xdr:row>51</xdr:row>
      <xdr:rowOff>83344</xdr:rowOff>
    </xdr:to>
    <xdr:graphicFrame macro="">
      <xdr:nvGraphicFramePr>
        <xdr:cNvPr id="4" name="Chart 3">
          <a:extLst>
            <a:ext uri="{FF2B5EF4-FFF2-40B4-BE49-F238E27FC236}">
              <a16:creationId xmlns:a16="http://schemas.microsoft.com/office/drawing/2014/main" id="{8433BC88-9C7F-4026-9B49-A3EBE81A37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184546</xdr:colOff>
      <xdr:row>16</xdr:row>
      <xdr:rowOff>54428</xdr:rowOff>
    </xdr:from>
    <xdr:to>
      <xdr:col>9</xdr:col>
      <xdr:colOff>571499</xdr:colOff>
      <xdr:row>33</xdr:row>
      <xdr:rowOff>43542</xdr:rowOff>
    </xdr:to>
    <xdr:graphicFrame macro="">
      <xdr:nvGraphicFramePr>
        <xdr:cNvPr id="6" name="Chart 5">
          <a:extLst>
            <a:ext uri="{FF2B5EF4-FFF2-40B4-BE49-F238E27FC236}">
              <a16:creationId xmlns:a16="http://schemas.microsoft.com/office/drawing/2014/main" id="{4732340D-8A1E-408D-BDF2-C4737F0ED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0.0228</cdr:x>
      <cdr:y>0.04391</cdr:y>
    </cdr:from>
    <cdr:to>
      <cdr:x>0.23013</cdr:x>
      <cdr:y>0.17113</cdr:y>
    </cdr:to>
    <cdr:sp macro="" textlink="">
      <cdr:nvSpPr>
        <cdr:cNvPr id="2" name="TextBox 1">
          <a:extLst xmlns:a="http://schemas.openxmlformats.org/drawingml/2006/main">
            <a:ext uri="{FF2B5EF4-FFF2-40B4-BE49-F238E27FC236}">
              <a16:creationId xmlns:a16="http://schemas.microsoft.com/office/drawing/2014/main" id="{DFF3655C-9740-40A5-8ADE-51C4A4D5E004}"/>
            </a:ext>
          </a:extLst>
        </cdr:cNvPr>
        <cdr:cNvSpPr txBox="1"/>
      </cdr:nvSpPr>
      <cdr:spPr>
        <a:xfrm xmlns:a="http://schemas.openxmlformats.org/drawingml/2006/main">
          <a:off x="76409" y="106169"/>
          <a:ext cx="694889" cy="307617"/>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600" b="1" i="0" baseline="0">
              <a:effectLst/>
              <a:latin typeface="Arial" panose="020B0604020202020204" pitchFamily="34" charset="0"/>
              <a:ea typeface="+mn-ea"/>
              <a:cs typeface="Arial" panose="020B0604020202020204" pitchFamily="34" charset="0"/>
            </a:rPr>
            <a:t>N° DE FALLAS</a:t>
          </a:r>
          <a:endParaRPr lang="es-PE" sz="600">
            <a:effectLst/>
            <a:latin typeface="Arial" panose="020B0604020202020204" pitchFamily="34" charset="0"/>
            <a:cs typeface="Arial" panose="020B0604020202020204" pitchFamily="34" charset="0"/>
          </a:endParaRPr>
        </a:p>
        <a:p xmlns:a="http://schemas.openxmlformats.org/drawingml/2006/main">
          <a:endParaRPr lang="es-PE" sz="600">
            <a:latin typeface="Arial" panose="020B0604020202020204" pitchFamily="34" charset="0"/>
            <a:cs typeface="Arial" panose="020B0604020202020204" pitchFamily="34" charset="0"/>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27110</xdr:colOff>
      <xdr:row>20</xdr:row>
      <xdr:rowOff>21248</xdr:rowOff>
    </xdr:from>
    <xdr:to>
      <xdr:col>12</xdr:col>
      <xdr:colOff>494740</xdr:colOff>
      <xdr:row>45</xdr:row>
      <xdr:rowOff>28575</xdr:rowOff>
    </xdr:to>
    <xdr:graphicFrame macro="">
      <xdr:nvGraphicFramePr>
        <xdr:cNvPr id="10" name="Chart 9">
          <a:extLst>
            <a:ext uri="{FF2B5EF4-FFF2-40B4-BE49-F238E27FC236}">
              <a16:creationId xmlns:a16="http://schemas.microsoft.com/office/drawing/2014/main" id="{17A003BE-4956-463C-B2C4-7D66C09CA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344364</xdr:colOff>
      <xdr:row>20</xdr:row>
      <xdr:rowOff>28574</xdr:rowOff>
    </xdr:from>
    <xdr:to>
      <xdr:col>12</xdr:col>
      <xdr:colOff>493058</xdr:colOff>
      <xdr:row>44</xdr:row>
      <xdr:rowOff>117231</xdr:rowOff>
    </xdr:to>
    <xdr:graphicFrame macro="">
      <xdr:nvGraphicFramePr>
        <xdr:cNvPr id="11" name="Chart 10">
          <a:extLst>
            <a:ext uri="{FF2B5EF4-FFF2-40B4-BE49-F238E27FC236}">
              <a16:creationId xmlns:a16="http://schemas.microsoft.com/office/drawing/2014/main" id="{F6636C7C-238C-4BD3-926C-30956C72EC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0</xdr:col>
      <xdr:colOff>28575</xdr:colOff>
      <xdr:row>2</xdr:row>
      <xdr:rowOff>0</xdr:rowOff>
    </xdr:from>
    <xdr:to>
      <xdr:col>10</xdr:col>
      <xdr:colOff>485775</xdr:colOff>
      <xdr:row>47</xdr:row>
      <xdr:rowOff>133350</xdr:rowOff>
    </xdr:to>
    <xdr:sp macro="" textlink="">
      <xdr:nvSpPr>
        <xdr:cNvPr id="2" name="Text Box 2">
          <a:extLst>
            <a:ext uri="{FF2B5EF4-FFF2-40B4-BE49-F238E27FC236}">
              <a16:creationId xmlns:a16="http://schemas.microsoft.com/office/drawing/2014/main" id="{358BA265-FAD0-4375-B2AA-90BDC8FD5408}"/>
            </a:ext>
          </a:extLst>
        </xdr:cNvPr>
        <xdr:cNvSpPr txBox="1">
          <a:spLocks noChangeArrowheads="1"/>
        </xdr:cNvSpPr>
      </xdr:nvSpPr>
      <xdr:spPr bwMode="auto">
        <a:xfrm>
          <a:off x="28575" y="285750"/>
          <a:ext cx="5791200" cy="6581775"/>
        </a:xfrm>
        <a:prstGeom prst="rect">
          <a:avLst/>
        </a:prstGeom>
        <a:solidFill>
          <a:schemeClr val="bg1">
            <a:alpha val="50196"/>
          </a:schemeClr>
        </a:solidFill>
        <a:ln w="9525">
          <a:solidFill>
            <a:schemeClr val="bg1"/>
          </a:solidFill>
          <a:miter lim="800000"/>
          <a:headEnd/>
          <a:tailEnd/>
        </a:ln>
      </xdr:spPr>
      <xdr:txBody>
        <a:bodyPr rot="0" vert="horz" wrap="square" lIns="91440" tIns="45720" rIns="91440" bIns="45720" anchor="t" anchorCtr="0">
          <a:noAutofit/>
        </a:bodyPr>
        <a:lstStyle/>
        <a:p>
          <a:pPr lvl="1" algn="l">
            <a:lnSpc>
              <a:spcPct val="100000"/>
            </a:lnSpc>
            <a:spcAft>
              <a:spcPts val="0"/>
            </a:spcAft>
          </a:pPr>
          <a:r>
            <a:rPr lang="en-GB" sz="1200" b="1">
              <a:effectLst/>
              <a:latin typeface="Arial" panose="020B0604020202020204" pitchFamily="34" charset="0"/>
              <a:ea typeface="Calibri"/>
              <a:cs typeface="Arial" panose="020B0604020202020204" pitchFamily="34" charset="0"/>
            </a:rPr>
            <a:t>Director Ejecutivo (e)</a:t>
          </a:r>
        </a:p>
        <a:p>
          <a:pPr lvl="1"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Leonardo Dejo Prado</a:t>
          </a:r>
        </a:p>
        <a:p>
          <a:pPr lvl="1" algn="l">
            <a:lnSpc>
              <a:spcPct val="100000"/>
            </a:lnSpc>
            <a:spcAft>
              <a:spcPts val="0"/>
            </a:spcAft>
          </a:pPr>
          <a:endParaRPr lang="it-IT" sz="105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it-IT" sz="1100" b="0">
              <a:effectLst/>
              <a:latin typeface="Arial" panose="020B0604020202020204" pitchFamily="34" charset="0"/>
              <a:ea typeface="Calibri"/>
              <a:cs typeface="Arial" panose="020B0604020202020204" pitchFamily="34" charset="0"/>
            </a:rPr>
            <a:t>Revisado y Aprobado</a:t>
          </a:r>
          <a:r>
            <a:rPr lang="it-IT" sz="1100" b="0" baseline="0">
              <a:effectLst/>
              <a:latin typeface="Arial" panose="020B0604020202020204" pitchFamily="34" charset="0"/>
              <a:ea typeface="Calibri"/>
              <a:cs typeface="Arial" panose="020B0604020202020204" pitchFamily="34" charset="0"/>
            </a:rPr>
            <a:t> por:</a:t>
          </a:r>
          <a:endParaRPr lang="en-GB" sz="1100" b="0">
            <a:effectLst/>
            <a:latin typeface="Arial" panose="020B0604020202020204" pitchFamily="34" charset="0"/>
            <a:ea typeface="Calibri"/>
            <a:cs typeface="Arial" panose="020B0604020202020204" pitchFamily="34" charset="0"/>
          </a:endParaRPr>
        </a:p>
        <a:p>
          <a:pPr lvl="1" algn="l">
            <a:lnSpc>
              <a:spcPct val="100000"/>
            </a:lnSpc>
            <a:spcAft>
              <a:spcPts val="0"/>
            </a:spcAft>
          </a:pPr>
          <a:r>
            <a:rPr lang="es-PE" sz="1200" b="1">
              <a:effectLst/>
              <a:latin typeface="Arial" panose="020B0604020202020204" pitchFamily="34" charset="0"/>
              <a:ea typeface="Calibri"/>
              <a:cs typeface="Arial" panose="020B0604020202020204" pitchFamily="34" charset="0"/>
            </a:rPr>
            <a:t>Sub Director de Gestión de la Información</a:t>
          </a:r>
          <a:endParaRPr lang="en-GB" sz="1200">
            <a:effectLst/>
            <a:latin typeface="Arial" panose="020B0604020202020204" pitchFamily="34" charset="0"/>
            <a:ea typeface="Calibri"/>
            <a:cs typeface="Arial" panose="020B0604020202020204" pitchFamily="34" charset="0"/>
          </a:endParaRPr>
        </a:p>
        <a:p>
          <a:pPr marL="457200" lvl="1" indent="0" algn="l">
            <a:lnSpc>
              <a:spcPct val="100000"/>
            </a:lnSpc>
            <a:spcAft>
              <a:spcPts val="0"/>
            </a:spcAft>
          </a:pPr>
          <a:r>
            <a:rPr lang="en-US" sz="1200">
              <a:effectLst/>
              <a:latin typeface="Arial" panose="020B0604020202020204" pitchFamily="34" charset="0"/>
              <a:ea typeface="Wingdings-Regular"/>
              <a:cs typeface="Arial" panose="020B0604020202020204" pitchFamily="34" charset="0"/>
            </a:rPr>
            <a:t>Ing. Jorge Izquierdo Ríos</a:t>
          </a:r>
        </a:p>
        <a:p>
          <a:pPr marL="457200" lvl="1" indent="0" algn="l">
            <a:lnSpc>
              <a:spcPct val="100000"/>
            </a:lnSpc>
            <a:spcAft>
              <a:spcPts val="0"/>
            </a:spcAft>
          </a:pPr>
          <a:endParaRPr lang="en-US" sz="1050">
            <a:effectLst/>
            <a:latin typeface="Arial" panose="020B0604020202020204" pitchFamily="34" charset="0"/>
            <a:ea typeface="Wingdings-Regular"/>
            <a:cs typeface="Arial" panose="020B0604020202020204" pitchFamily="34" charset="0"/>
          </a:endParaRPr>
        </a:p>
        <a:p>
          <a:pPr marL="457200" lvl="1" indent="0" algn="l">
            <a:lnSpc>
              <a:spcPct val="100000"/>
            </a:lnSpc>
            <a:spcAft>
              <a:spcPts val="0"/>
            </a:spcAft>
          </a:pPr>
          <a:r>
            <a:rPr lang="en-US" sz="1100">
              <a:effectLst/>
              <a:latin typeface="Arial" panose="020B0604020202020204" pitchFamily="34" charset="0"/>
              <a:ea typeface="Wingdings-Regular"/>
              <a:cs typeface="Arial" panose="020B0604020202020204" pitchFamily="34" charset="0"/>
            </a:rPr>
            <a:t>Elaborado por:</a:t>
          </a:r>
        </a:p>
        <a:p>
          <a:pPr marL="457200" lvl="1" indent="0" algn="l">
            <a:lnSpc>
              <a:spcPct val="100000"/>
            </a:lnSpc>
            <a:spcAft>
              <a:spcPts val="0"/>
            </a:spcAft>
          </a:pPr>
          <a:r>
            <a:rPr lang="en-US" sz="1200" b="1">
              <a:effectLst/>
              <a:latin typeface="Arial" panose="020B0604020202020204" pitchFamily="34" charset="0"/>
              <a:ea typeface="Wingdings-Regular"/>
              <a:cs typeface="Arial" panose="020B0604020202020204" pitchFamily="34" charset="0"/>
            </a:rPr>
            <a:t>Analista</a:t>
          </a:r>
          <a:r>
            <a:rPr lang="en-US" sz="1200" b="1" baseline="0">
              <a:effectLst/>
              <a:latin typeface="Arial" panose="020B0604020202020204" pitchFamily="34" charset="0"/>
              <a:ea typeface="Wingdings-Regular"/>
              <a:cs typeface="Arial" panose="020B0604020202020204" pitchFamily="34" charset="0"/>
            </a:rPr>
            <a:t> de Gestión de la Información</a:t>
          </a:r>
          <a:endParaRPr lang="en-US" sz="1200" b="1">
            <a:effectLst/>
            <a:latin typeface="Arial" panose="020B0604020202020204" pitchFamily="34" charset="0"/>
            <a:ea typeface="Wingdings-Regular"/>
            <a:cs typeface="Arial" panose="020B0604020202020204" pitchFamily="34" charset="0"/>
          </a:endParaRPr>
        </a:p>
        <a:p>
          <a:pPr marL="457200" marR="0" lvl="1" indent="0" algn="l" defTabSz="914400" eaLnBrk="1" fontAlgn="auto" latinLnBrk="0" hangingPunct="1">
            <a:lnSpc>
              <a:spcPct val="100000"/>
            </a:lnSpc>
            <a:spcBef>
              <a:spcPts val="0"/>
            </a:spcBef>
            <a:spcAft>
              <a:spcPts val="0"/>
            </a:spcAft>
            <a:buClrTx/>
            <a:buSzTx/>
            <a:buFontTx/>
            <a:buNone/>
            <a:tabLst/>
            <a:defRPr/>
          </a:pPr>
          <a:r>
            <a:rPr lang="en-US" sz="1200">
              <a:effectLst/>
              <a:latin typeface="Arial" panose="020B0604020202020204" pitchFamily="34" charset="0"/>
              <a:ea typeface="+mn-ea"/>
              <a:cs typeface="Arial" panose="020B0604020202020204" pitchFamily="34" charset="0"/>
            </a:rPr>
            <a:t>Ing. </a:t>
          </a:r>
          <a:r>
            <a:rPr lang="es-PE" sz="1200">
              <a:effectLst/>
              <a:latin typeface="Arial" panose="020B0604020202020204" pitchFamily="34" charset="0"/>
              <a:ea typeface="+mn-ea"/>
              <a:cs typeface="Arial" panose="020B0604020202020204" pitchFamily="34" charset="0"/>
            </a:rPr>
            <a:t>Ricardo Varas</a:t>
          </a:r>
          <a:endParaRPr lang="es-PE" sz="1200" baseline="0">
            <a:effectLst/>
            <a:latin typeface="Arial" panose="020B0604020202020204" pitchFamily="34" charset="0"/>
            <a:ea typeface="+mn-ea"/>
            <a:cs typeface="Arial" panose="020B0604020202020204" pitchFamily="34" charset="0"/>
          </a:endParaRPr>
        </a:p>
        <a:p>
          <a:pPr marL="457200" marR="0" lvl="1" indent="0" algn="l" defTabSz="914400" eaLnBrk="1" fontAlgn="auto" latinLnBrk="0" hangingPunct="1">
            <a:lnSpc>
              <a:spcPts val="2000"/>
            </a:lnSpc>
            <a:spcBef>
              <a:spcPts val="0"/>
            </a:spcBef>
            <a:spcAft>
              <a:spcPts val="0"/>
            </a:spcAft>
            <a:buClrTx/>
            <a:buSzTx/>
            <a:buFontTx/>
            <a:buNone/>
            <a:tabLst/>
            <a:defRPr/>
          </a:pPr>
          <a:endParaRPr lang="en-GB" sz="1800">
            <a:effectLst/>
            <a:latin typeface="Arial" panose="020B0604020202020204" pitchFamily="34" charset="0"/>
            <a:ea typeface="Calibri"/>
            <a:cs typeface="Arial" panose="020B0604020202020204" pitchFamily="34" charset="0"/>
          </a:endParaRPr>
        </a:p>
        <a:p>
          <a:pPr marL="457200" lvl="1" indent="0" algn="l">
            <a:lnSpc>
              <a:spcPts val="1900"/>
            </a:lnSpc>
            <a:spcAft>
              <a:spcPts val="0"/>
            </a:spcAft>
          </a:pPr>
          <a:r>
            <a:rPr lang="en-GB" sz="1200" b="1">
              <a:effectLst/>
              <a:latin typeface="Arial" panose="020B0604020202020204" pitchFamily="34" charset="0"/>
              <a:ea typeface="Calibri"/>
              <a:cs typeface="Arial" panose="020B0604020202020204" pitchFamily="34" charset="0"/>
            </a:rPr>
            <a:t>Contactos: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COES</a:t>
          </a: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Sub Dirección de Gestión de Información</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Calle Manuel Roaud y Paz Soldán 364</a:t>
          </a:r>
          <a:endParaRPr lang="en-GB" sz="1100">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San Isidro - Lima </a:t>
          </a:r>
        </a:p>
        <a:p>
          <a:pPr marL="457200" lvl="1" indent="0" algn="l">
            <a:lnSpc>
              <a:spcPts val="1400"/>
            </a:lnSpc>
            <a:spcAft>
              <a:spcPts val="0"/>
            </a:spcAft>
          </a:pPr>
          <a:r>
            <a:rPr lang="es-PE" sz="1100">
              <a:effectLst/>
              <a:latin typeface="Arial" panose="020B0604020202020204" pitchFamily="34" charset="0"/>
              <a:ea typeface="Wingdings-Regular"/>
              <a:cs typeface="Arial" panose="020B0604020202020204" pitchFamily="34" charset="0"/>
            </a:rPr>
            <a:t>Perú</a:t>
          </a:r>
          <a:endParaRPr lang="en-GB" sz="1100">
            <a:effectLst/>
            <a:latin typeface="Arial" panose="020B0604020202020204" pitchFamily="34" charset="0"/>
            <a:ea typeface="Wingdings-Regular"/>
            <a:cs typeface="Arial" panose="020B0604020202020204" pitchFamily="34" charset="0"/>
          </a:endParaRPr>
        </a:p>
        <a:p>
          <a:pPr lvl="1" algn="l">
            <a:lnSpc>
              <a:spcPts val="1500"/>
            </a:lnSpc>
            <a:spcAft>
              <a:spcPts val="0"/>
            </a:spcAft>
          </a:pPr>
          <a:r>
            <a:rPr lang="en-GB" sz="1100">
              <a:effectLst/>
              <a:latin typeface="Arial" panose="020B0604020202020204" pitchFamily="34" charset="0"/>
              <a:ea typeface="Wingdings-Regular"/>
              <a:cs typeface="Arial" panose="020B0604020202020204" pitchFamily="34" charset="0"/>
            </a:rPr>
            <a:t> </a:t>
          </a:r>
          <a:r>
            <a:rPr lang="es-ES_tradnl" sz="1100">
              <a:effectLst/>
              <a:latin typeface="Arial" panose="020B0604020202020204" pitchFamily="34" charset="0"/>
              <a:ea typeface="Calibri"/>
              <a:cs typeface="Arial" panose="020B0604020202020204" pitchFamily="34" charset="0"/>
            </a:rPr>
            <a:t>+51 (1) </a:t>
          </a:r>
          <a:r>
            <a:rPr lang="es-PE" sz="1100">
              <a:effectLst/>
              <a:latin typeface="Arial" panose="020B0604020202020204" pitchFamily="34" charset="0"/>
              <a:ea typeface="Calibri"/>
              <a:cs typeface="Arial" panose="020B0604020202020204" pitchFamily="34" charset="0"/>
            </a:rPr>
            <a:t>611</a:t>
          </a:r>
          <a:r>
            <a:rPr lang="es-PE" sz="1100" baseline="0">
              <a:effectLst/>
              <a:latin typeface="Arial" panose="020B0604020202020204" pitchFamily="34" charset="0"/>
              <a:ea typeface="Calibri"/>
              <a:cs typeface="Arial" panose="020B0604020202020204" pitchFamily="34" charset="0"/>
            </a:rPr>
            <a:t> - 8585 </a:t>
          </a:r>
        </a:p>
        <a:p>
          <a:pPr lvl="1" algn="l">
            <a:lnSpc>
              <a:spcPts val="1500"/>
            </a:lnSpc>
            <a:spcAft>
              <a:spcPts val="0"/>
            </a:spcAft>
          </a:pPr>
          <a:r>
            <a:rPr lang="es-PE" sz="1100" baseline="0">
              <a:effectLst/>
              <a:latin typeface="Arial" panose="020B0604020202020204" pitchFamily="34" charset="0"/>
              <a:ea typeface="Calibri"/>
              <a:cs typeface="Arial" panose="020B0604020202020204" pitchFamily="34" charset="0"/>
            </a:rPr>
            <a:t>Anexo: 6</a:t>
          </a:r>
          <a:r>
            <a:rPr lang="es-ES" sz="1100" baseline="0">
              <a:effectLst/>
              <a:latin typeface="Arial" panose="020B0604020202020204" pitchFamily="34" charset="0"/>
              <a:ea typeface="Calibri"/>
              <a:cs typeface="Arial" panose="020B0604020202020204" pitchFamily="34" charset="0"/>
            </a:rPr>
            <a:t>55</a:t>
          </a:r>
          <a:endParaRPr lang="en-GB" sz="1100">
            <a:effectLst/>
            <a:latin typeface="Arial" panose="020B0604020202020204" pitchFamily="34" charset="0"/>
            <a:ea typeface="Calibri"/>
            <a:cs typeface="Arial" panose="020B0604020202020204" pitchFamily="34" charset="0"/>
          </a:endParaRPr>
        </a:p>
        <a:p>
          <a:pPr lvl="1" algn="l">
            <a:lnSpc>
              <a:spcPts val="1400"/>
            </a:lnSpc>
            <a:spcAft>
              <a:spcPts val="0"/>
            </a:spcAft>
          </a:pPr>
          <a:r>
            <a:rPr lang="es-PE" sz="1100" u="none">
              <a:effectLst/>
              <a:latin typeface="Arial" panose="020B0604020202020204" pitchFamily="34" charset="0"/>
              <a:ea typeface="Wingdings-Regular"/>
              <a:cs typeface="Arial" panose="020B0604020202020204" pitchFamily="34" charset="0"/>
            </a:rPr>
            <a:t>sgi</a:t>
          </a:r>
          <a:r>
            <a:rPr lang="en-GB" sz="1100" u="none">
              <a:effectLst/>
              <a:latin typeface="Arial" panose="020B0604020202020204" pitchFamily="34" charset="0"/>
              <a:ea typeface="+mn-ea"/>
              <a:cs typeface="Arial" panose="020B0604020202020204" pitchFamily="34" charset="0"/>
            </a:rPr>
            <a:t>@</a:t>
          </a:r>
          <a:r>
            <a:rPr lang="es-PE" sz="1100" u="none">
              <a:effectLst/>
              <a:latin typeface="Arial" panose="020B0604020202020204" pitchFamily="34" charset="0"/>
              <a:ea typeface="Wingdings-Regular"/>
              <a:cs typeface="Arial" panose="020B0604020202020204" pitchFamily="34" charset="0"/>
            </a:rPr>
            <a:t>coes.org.pe </a:t>
          </a:r>
          <a:endParaRPr lang="en-GB" sz="1100" u="none">
            <a:effectLst/>
            <a:latin typeface="Arial" panose="020B0604020202020204" pitchFamily="34" charset="0"/>
            <a:ea typeface="Calibri"/>
            <a:cs typeface="Arial" panose="020B0604020202020204" pitchFamily="34" charset="0"/>
          </a:endParaRPr>
        </a:p>
        <a:p>
          <a:pPr lvl="1" algn="l">
            <a:lnSpc>
              <a:spcPts val="2000"/>
            </a:lnSpc>
            <a:spcAft>
              <a:spcPts val="0"/>
            </a:spcAft>
          </a:pPr>
          <a:r>
            <a:rPr lang="es-ES_tradnl" sz="1200" b="1">
              <a:effectLst/>
              <a:latin typeface="Arial" panose="020B0604020202020204" pitchFamily="34" charset="0"/>
              <a:ea typeface="Calibri"/>
              <a:cs typeface="Arial" panose="020B0604020202020204" pitchFamily="34" charset="0"/>
            </a:rPr>
            <a:t> </a:t>
          </a:r>
        </a:p>
        <a:p>
          <a:pPr lvl="1" algn="l">
            <a:lnSpc>
              <a:spcPts val="1900"/>
            </a:lnSpc>
            <a:spcAft>
              <a:spcPts val="0"/>
            </a:spcAft>
          </a:pPr>
          <a:endParaRPr lang="es-ES_tradnl" sz="1100" b="0">
            <a:effectLst/>
            <a:latin typeface="Arial" panose="020B0604020202020204" pitchFamily="34" charset="0"/>
            <a:ea typeface="Calibri"/>
            <a:cs typeface="Arial" panose="020B0604020202020204" pitchFamily="34" charset="0"/>
          </a:endParaRPr>
        </a:p>
        <a:p>
          <a:pPr lvl="1" algn="l">
            <a:lnSpc>
              <a:spcPts val="1900"/>
            </a:lnSpc>
            <a:spcAft>
              <a:spcPts val="0"/>
            </a:spcAft>
          </a:pPr>
          <a:r>
            <a:rPr lang="es-ES_tradnl" sz="1100" b="0">
              <a:effectLst/>
              <a:latin typeface="Arial" panose="020B0604020202020204" pitchFamily="34" charset="0"/>
              <a:ea typeface="Calibri"/>
              <a:cs typeface="Arial" panose="020B0604020202020204" pitchFamily="34" charset="0"/>
            </a:rPr>
            <a:t>Atención al Cliente:</a:t>
          </a:r>
          <a:endParaRPr lang="en-GB" sz="1100" b="0">
            <a:effectLst/>
            <a:latin typeface="Arial" panose="020B0604020202020204" pitchFamily="34" charset="0"/>
            <a:ea typeface="Calibri"/>
            <a:cs typeface="Arial" panose="020B0604020202020204" pitchFamily="34" charset="0"/>
          </a:endParaRPr>
        </a:p>
        <a:p>
          <a:pPr marL="457200" lvl="1" indent="0" algn="l">
            <a:lnSpc>
              <a:spcPts val="1400"/>
            </a:lnSpc>
            <a:spcAft>
              <a:spcPts val="0"/>
            </a:spcAft>
          </a:pPr>
          <a:r>
            <a:rPr lang="en-GB" sz="1100">
              <a:effectLst/>
              <a:latin typeface="Arial" panose="020B0604020202020204" pitchFamily="34" charset="0"/>
              <a:ea typeface="Wingdings-Regular"/>
              <a:cs typeface="Arial" panose="020B0604020202020204" pitchFamily="34" charset="0"/>
            </a:rPr>
            <a:t>+51 (1)611-8585 Anexo 620</a:t>
          </a:r>
        </a:p>
        <a:p>
          <a:pPr marL="457200" lvl="1" indent="0" algn="l">
            <a:lnSpc>
              <a:spcPts val="1400"/>
            </a:lnSpc>
            <a:spcAft>
              <a:spcPts val="0"/>
            </a:spcAft>
          </a:pPr>
          <a:r>
            <a:rPr lang="en-GB" sz="1100" i="0" u="none">
              <a:effectLst/>
              <a:latin typeface="Arial" panose="020B0604020202020204" pitchFamily="34" charset="0"/>
              <a:ea typeface="Wingdings-Regular"/>
              <a:cs typeface="Arial" panose="020B0604020202020204" pitchFamily="34" charset="0"/>
            </a:rPr>
            <a:t>Suscripciones: http://www.coes.org.pe/Portal/publicaciones/suscripcion/index</a:t>
          </a:r>
        </a:p>
        <a:p>
          <a:pPr marL="457200" lvl="1" indent="0" algn="l">
            <a:lnSpc>
              <a:spcPts val="1400"/>
            </a:lnSpc>
            <a:spcAft>
              <a:spcPts val="0"/>
            </a:spcAft>
          </a:pPr>
          <a:endParaRPr lang="en-GB" sz="1050" b="0" u="sng">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a:solidFill>
                <a:sysClr val="windowText" lastClr="000000"/>
              </a:solidFill>
              <a:effectLst/>
              <a:latin typeface="Arial" panose="020B0604020202020204" pitchFamily="34" charset="0"/>
              <a:ea typeface="Wingdings-Regular"/>
              <a:cs typeface="Arial" panose="020B0604020202020204" pitchFamily="34" charset="0"/>
            </a:rPr>
            <a:t>Este documento puede ser descargado</a:t>
          </a: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 desde:</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1" baseline="0">
              <a:effectLst/>
              <a:latin typeface="+mn-lt"/>
              <a:ea typeface="+mn-ea"/>
              <a:cs typeface="+mn-cs"/>
            </a:rPr>
            <a:t> </a:t>
          </a:r>
          <a:r>
            <a:rPr lang="en-GB" sz="1100">
              <a:effectLst/>
              <a:latin typeface="+mn-lt"/>
              <a:ea typeface="+mn-ea"/>
              <a:cs typeface="+mn-cs"/>
            </a:rPr>
            <a:t>http://www.coes.org.pe/Portal/PostOperacion/Informes/EvaluacionMensual </a:t>
          </a:r>
          <a:endParaRPr lang="es-PE">
            <a:effectLst/>
          </a:endParaRP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a:p>
          <a:pPr marL="457200" lvl="1" indent="0" algn="l">
            <a:lnSpc>
              <a:spcPts val="1400"/>
            </a:lnSpc>
            <a:spcAft>
              <a:spcPts val="0"/>
            </a:spcAft>
          </a:pPr>
          <a:r>
            <a:rPr lang="en-GB" sz="1100" b="1" baseline="0">
              <a:solidFill>
                <a:sysClr val="windowText" lastClr="000000"/>
              </a:solidFill>
              <a:effectLst/>
              <a:latin typeface="Arial" panose="020B0604020202020204" pitchFamily="34" charset="0"/>
              <a:ea typeface="Wingdings-Regular"/>
              <a:cs typeface="Arial" panose="020B0604020202020204" pitchFamily="34" charset="0"/>
            </a:rPr>
            <a:t>Puede visitar nuestros Indicadores BI, con data histórica del SEIN en:</a:t>
          </a:r>
        </a:p>
        <a:p>
          <a:pPr marL="457200" marR="0" lvl="1" indent="0" algn="l" defTabSz="914400" eaLnBrk="1" fontAlgn="auto" latinLnBrk="0" hangingPunct="1">
            <a:lnSpc>
              <a:spcPts val="1400"/>
            </a:lnSpc>
            <a:spcBef>
              <a:spcPts val="0"/>
            </a:spcBef>
            <a:spcAft>
              <a:spcPts val="0"/>
            </a:spcAft>
            <a:buClrTx/>
            <a:buSzTx/>
            <a:buFontTx/>
            <a:buNone/>
            <a:tabLst/>
            <a:defRPr/>
          </a:pPr>
          <a:r>
            <a:rPr lang="en-GB" sz="1100" b="0" baseline="0">
              <a:effectLst/>
              <a:latin typeface="+mn-lt"/>
              <a:ea typeface="+mn-ea"/>
              <a:cs typeface="+mn-cs"/>
            </a:rPr>
            <a:t>https://www.coes.org.pe/Portal/portalinformacion/VisorPowerBI</a:t>
          </a:r>
        </a:p>
        <a:p>
          <a:pPr marL="457200" lvl="1" indent="0" algn="l">
            <a:lnSpc>
              <a:spcPts val="1400"/>
            </a:lnSpc>
            <a:spcAft>
              <a:spcPts val="0"/>
            </a:spcAft>
          </a:pPr>
          <a:endParaRPr lang="en-GB" sz="1100" b="1" baseline="0">
            <a:solidFill>
              <a:sysClr val="windowText" lastClr="000000"/>
            </a:solidFill>
            <a:effectLst/>
            <a:latin typeface="Arial" panose="020B0604020202020204" pitchFamily="34" charset="0"/>
            <a:ea typeface="Wingdings-Regular"/>
            <a:cs typeface="Arial" panose="020B0604020202020204" pitchFamily="34" charset="0"/>
          </a:endParaRPr>
        </a:p>
      </xdr:txBody>
    </xdr:sp>
    <xdr:clientData/>
  </xdr:twoCellAnchor>
  <xdr:twoCellAnchor editAs="oneCell">
    <xdr:from>
      <xdr:col>3</xdr:col>
      <xdr:colOff>110728</xdr:colOff>
      <xdr:row>49</xdr:row>
      <xdr:rowOff>46434</xdr:rowOff>
    </xdr:from>
    <xdr:to>
      <xdr:col>6</xdr:col>
      <xdr:colOff>245719</xdr:colOff>
      <xdr:row>61</xdr:row>
      <xdr:rowOff>1699</xdr:rowOff>
    </xdr:to>
    <xdr:pic>
      <xdr:nvPicPr>
        <xdr:cNvPr id="4" name="Picture 3">
          <a:extLst>
            <a:ext uri="{FF2B5EF4-FFF2-40B4-BE49-F238E27FC236}">
              <a16:creationId xmlns:a16="http://schemas.microsoft.com/office/drawing/2014/main" id="{7F6006F6-4358-4F54-917C-DFB72C4E438F}"/>
            </a:ext>
          </a:extLst>
        </xdr:cNvPr>
        <xdr:cNvPicPr>
          <a:picLocks noChangeAspect="1"/>
        </xdr:cNvPicPr>
      </xdr:nvPicPr>
      <xdr:blipFill rotWithShape="1">
        <a:blip xmlns:r="http://schemas.openxmlformats.org/officeDocument/2006/relationships" r:embed="rId1"/>
        <a:srcRect l="27437" t="12014" r="30100" b="15894"/>
        <a:stretch/>
      </xdr:blipFill>
      <xdr:spPr>
        <a:xfrm>
          <a:off x="1710928" y="7066359"/>
          <a:ext cx="1735191" cy="16697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163473</xdr:colOff>
      <xdr:row>36</xdr:row>
      <xdr:rowOff>43543</xdr:rowOff>
    </xdr:from>
    <xdr:to>
      <xdr:col>9</xdr:col>
      <xdr:colOff>581525</xdr:colOff>
      <xdr:row>48</xdr:row>
      <xdr:rowOff>23061</xdr:rowOff>
    </xdr:to>
    <xdr:graphicFrame macro="">
      <xdr:nvGraphicFramePr>
        <xdr:cNvPr id="5" name="Chart 4">
          <a:extLst>
            <a:ext uri="{FF2B5EF4-FFF2-40B4-BE49-F238E27FC236}">
              <a16:creationId xmlns:a16="http://schemas.microsoft.com/office/drawing/2014/main" id="{D21D8B98-420A-413E-AD12-8ABBBDAE56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597776</xdr:colOff>
      <xdr:row>11</xdr:row>
      <xdr:rowOff>229913</xdr:rowOff>
    </xdr:from>
    <xdr:to>
      <xdr:col>8</xdr:col>
      <xdr:colOff>315294</xdr:colOff>
      <xdr:row>22</xdr:row>
      <xdr:rowOff>78827</xdr:rowOff>
    </xdr:to>
    <xdr:graphicFrame macro="">
      <xdr:nvGraphicFramePr>
        <xdr:cNvPr id="3" name="Chart 2">
          <a:extLst>
            <a:ext uri="{FF2B5EF4-FFF2-40B4-BE49-F238E27FC236}">
              <a16:creationId xmlns:a16="http://schemas.microsoft.com/office/drawing/2014/main" id="{66D0FF3D-0083-4A48-800E-90332BB6F7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170793</xdr:colOff>
      <xdr:row>11</xdr:row>
      <xdr:rowOff>190500</xdr:rowOff>
    </xdr:from>
    <xdr:to>
      <xdr:col>1</xdr:col>
      <xdr:colOff>522484</xdr:colOff>
      <xdr:row>11</xdr:row>
      <xdr:rowOff>363385</xdr:rowOff>
    </xdr:to>
    <xdr:sp macro="" textlink="">
      <xdr:nvSpPr>
        <xdr:cNvPr id="4" name="Rectangle 3">
          <a:extLst>
            <a:ext uri="{FF2B5EF4-FFF2-40B4-BE49-F238E27FC236}">
              <a16:creationId xmlns:a16="http://schemas.microsoft.com/office/drawing/2014/main" id="{5CAF75DB-0808-4ED5-8221-746950134588}"/>
            </a:ext>
          </a:extLst>
        </xdr:cNvPr>
        <xdr:cNvSpPr/>
      </xdr:nvSpPr>
      <xdr:spPr>
        <a:xfrm>
          <a:off x="853965" y="3139966"/>
          <a:ext cx="351691" cy="17288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s-PE" sz="700" b="1">
              <a:solidFill>
                <a:schemeClr val="tx1"/>
              </a:solidFill>
              <a:latin typeface="Arial" panose="020B0604020202020204" pitchFamily="34" charset="0"/>
              <a:cs typeface="Arial" panose="020B0604020202020204" pitchFamily="34" charset="0"/>
            </a:rPr>
            <a:t>MW</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23706</xdr:colOff>
      <xdr:row>20</xdr:row>
      <xdr:rowOff>74543</xdr:rowOff>
    </xdr:from>
    <xdr:to>
      <xdr:col>10</xdr:col>
      <xdr:colOff>433551</xdr:colOff>
      <xdr:row>55</xdr:row>
      <xdr:rowOff>3657</xdr:rowOff>
    </xdr:to>
    <xdr:graphicFrame macro="">
      <xdr:nvGraphicFramePr>
        <xdr:cNvPr id="2" name="Chart 1">
          <a:extLst>
            <a:ext uri="{FF2B5EF4-FFF2-40B4-BE49-F238E27FC236}">
              <a16:creationId xmlns:a16="http://schemas.microsoft.com/office/drawing/2014/main" id="{615D8548-FDB4-4D4E-9830-CF81E37253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19707</xdr:colOff>
      <xdr:row>25</xdr:row>
      <xdr:rowOff>82961</xdr:rowOff>
    </xdr:from>
    <xdr:to>
      <xdr:col>10</xdr:col>
      <xdr:colOff>353785</xdr:colOff>
      <xdr:row>60</xdr:row>
      <xdr:rowOff>144517</xdr:rowOff>
    </xdr:to>
    <xdr:graphicFrame macro="">
      <xdr:nvGraphicFramePr>
        <xdr:cNvPr id="2" name="Chart 1">
          <a:extLst>
            <a:ext uri="{FF2B5EF4-FFF2-40B4-BE49-F238E27FC236}">
              <a16:creationId xmlns:a16="http://schemas.microsoft.com/office/drawing/2014/main" id="{8EB4489F-3BCD-422F-8E83-2031509EBA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75543</xdr:colOff>
      <xdr:row>16</xdr:row>
      <xdr:rowOff>26276</xdr:rowOff>
    </xdr:from>
    <xdr:to>
      <xdr:col>10</xdr:col>
      <xdr:colOff>425370</xdr:colOff>
      <xdr:row>32</xdr:row>
      <xdr:rowOff>97272</xdr:rowOff>
    </xdr:to>
    <xdr:graphicFrame macro="">
      <xdr:nvGraphicFramePr>
        <xdr:cNvPr id="2" name="Chart 1">
          <a:extLst>
            <a:ext uri="{FF2B5EF4-FFF2-40B4-BE49-F238E27FC236}">
              <a16:creationId xmlns:a16="http://schemas.microsoft.com/office/drawing/2014/main" id="{5F6F948F-0CAC-4415-A71D-7E8D34A466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159376</xdr:colOff>
      <xdr:row>37</xdr:row>
      <xdr:rowOff>15165</xdr:rowOff>
    </xdr:from>
    <xdr:to>
      <xdr:col>10</xdr:col>
      <xdr:colOff>430472</xdr:colOff>
      <xdr:row>58</xdr:row>
      <xdr:rowOff>121408</xdr:rowOff>
    </xdr:to>
    <xdr:graphicFrame macro="">
      <xdr:nvGraphicFramePr>
        <xdr:cNvPr id="3" name="Chart 2">
          <a:extLst>
            <a:ext uri="{FF2B5EF4-FFF2-40B4-BE49-F238E27FC236}">
              <a16:creationId xmlns:a16="http://schemas.microsoft.com/office/drawing/2014/main" id="{00FA9E36-64BD-475F-A997-8F92E14551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78827</xdr:colOff>
      <xdr:row>2</xdr:row>
      <xdr:rowOff>107673</xdr:rowOff>
    </xdr:from>
    <xdr:to>
      <xdr:col>10</xdr:col>
      <xdr:colOff>563217</xdr:colOff>
      <xdr:row>19</xdr:row>
      <xdr:rowOff>0</xdr:rowOff>
    </xdr:to>
    <xdr:graphicFrame macro="">
      <xdr:nvGraphicFramePr>
        <xdr:cNvPr id="2" name="Chart 1">
          <a:extLst>
            <a:ext uri="{FF2B5EF4-FFF2-40B4-BE49-F238E27FC236}">
              <a16:creationId xmlns:a16="http://schemas.microsoft.com/office/drawing/2014/main" id="{04B459E2-D266-405D-9A0B-27B1351AF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140805</xdr:colOff>
      <xdr:row>28</xdr:row>
      <xdr:rowOff>56706</xdr:rowOff>
    </xdr:from>
    <xdr:to>
      <xdr:col>5</xdr:col>
      <xdr:colOff>375557</xdr:colOff>
      <xdr:row>41</xdr:row>
      <xdr:rowOff>0</xdr:rowOff>
    </xdr:to>
    <xdr:graphicFrame macro="">
      <xdr:nvGraphicFramePr>
        <xdr:cNvPr id="3" name="Chart 2">
          <a:extLst>
            <a:ext uri="{FF2B5EF4-FFF2-40B4-BE49-F238E27FC236}">
              <a16:creationId xmlns:a16="http://schemas.microsoft.com/office/drawing/2014/main" id="{72B486FB-8FBE-418B-83EC-E2A13A01E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53578</xdr:colOff>
      <xdr:row>15</xdr:row>
      <xdr:rowOff>126789</xdr:rowOff>
    </xdr:from>
    <xdr:to>
      <xdr:col>11</xdr:col>
      <xdr:colOff>0</xdr:colOff>
      <xdr:row>27</xdr:row>
      <xdr:rowOff>1</xdr:rowOff>
    </xdr:to>
    <xdr:graphicFrame macro="">
      <xdr:nvGraphicFramePr>
        <xdr:cNvPr id="4" name="Chart 3">
          <a:extLst>
            <a:ext uri="{FF2B5EF4-FFF2-40B4-BE49-F238E27FC236}">
              <a16:creationId xmlns:a16="http://schemas.microsoft.com/office/drawing/2014/main" id="{F260F5F4-C67C-4F8A-9B22-9EBAE7C7E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16328</xdr:colOff>
      <xdr:row>28</xdr:row>
      <xdr:rowOff>60373</xdr:rowOff>
    </xdr:from>
    <xdr:to>
      <xdr:col>10</xdr:col>
      <xdr:colOff>576942</xdr:colOff>
      <xdr:row>41</xdr:row>
      <xdr:rowOff>27214</xdr:rowOff>
    </xdr:to>
    <xdr:graphicFrame macro="">
      <xdr:nvGraphicFramePr>
        <xdr:cNvPr id="5" name="Chart 4">
          <a:extLst>
            <a:ext uri="{FF2B5EF4-FFF2-40B4-BE49-F238E27FC236}">
              <a16:creationId xmlns:a16="http://schemas.microsoft.com/office/drawing/2014/main" id="{EC0F31BC-34AD-499D-AB4C-27758DAF1A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48516</xdr:colOff>
      <xdr:row>44</xdr:row>
      <xdr:rowOff>46160</xdr:rowOff>
    </xdr:from>
    <xdr:to>
      <xdr:col>10</xdr:col>
      <xdr:colOff>513522</xdr:colOff>
      <xdr:row>61</xdr:row>
      <xdr:rowOff>117231</xdr:rowOff>
    </xdr:to>
    <xdr:graphicFrame macro="">
      <xdr:nvGraphicFramePr>
        <xdr:cNvPr id="6" name="Chart 5">
          <a:extLst>
            <a:ext uri="{FF2B5EF4-FFF2-40B4-BE49-F238E27FC236}">
              <a16:creationId xmlns:a16="http://schemas.microsoft.com/office/drawing/2014/main" id="{F2071CF3-4DA3-453D-B2C3-600990AD9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20707</xdr:colOff>
      <xdr:row>2</xdr:row>
      <xdr:rowOff>38101</xdr:rowOff>
    </xdr:from>
    <xdr:to>
      <xdr:col>10</xdr:col>
      <xdr:colOff>571500</xdr:colOff>
      <xdr:row>41</xdr:row>
      <xdr:rowOff>66675</xdr:rowOff>
    </xdr:to>
    <xdr:sp macro="" textlink="">
      <xdr:nvSpPr>
        <xdr:cNvPr id="7" name="Rectangle 6">
          <a:extLst>
            <a:ext uri="{FF2B5EF4-FFF2-40B4-BE49-F238E27FC236}">
              <a16:creationId xmlns:a16="http://schemas.microsoft.com/office/drawing/2014/main" id="{43B3F37D-91BE-4744-B650-84FCDECBC078}"/>
            </a:ext>
          </a:extLst>
        </xdr:cNvPr>
        <xdr:cNvSpPr/>
      </xdr:nvSpPr>
      <xdr:spPr>
        <a:xfrm>
          <a:off x="20707" y="323851"/>
          <a:ext cx="6361043" cy="5600699"/>
        </a:xfrm>
        <a:prstGeom prst="rect">
          <a:avLst/>
        </a:prstGeom>
        <a:noFill/>
        <a:ln w="95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xdr:col>
      <xdr:colOff>205154</xdr:colOff>
      <xdr:row>4</xdr:row>
      <xdr:rowOff>26277</xdr:rowOff>
    </xdr:from>
    <xdr:to>
      <xdr:col>9</xdr:col>
      <xdr:colOff>479534</xdr:colOff>
      <xdr:row>64</xdr:row>
      <xdr:rowOff>124239</xdr:rowOff>
    </xdr:to>
    <xdr:graphicFrame macro="">
      <xdr:nvGraphicFramePr>
        <xdr:cNvPr id="2" name="Chart 1">
          <a:extLst>
            <a:ext uri="{FF2B5EF4-FFF2-40B4-BE49-F238E27FC236}">
              <a16:creationId xmlns:a16="http://schemas.microsoft.com/office/drawing/2014/main" id="{4FEF3E9A-EF1E-4D22-86D9-F50B52DA21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75640</xdr:colOff>
      <xdr:row>23</xdr:row>
      <xdr:rowOff>124758</xdr:rowOff>
    </xdr:from>
    <xdr:to>
      <xdr:col>10</xdr:col>
      <xdr:colOff>299002</xdr:colOff>
      <xdr:row>56</xdr:row>
      <xdr:rowOff>29308</xdr:rowOff>
    </xdr:to>
    <xdr:graphicFrame macro="">
      <xdr:nvGraphicFramePr>
        <xdr:cNvPr id="2" name="Chart 1">
          <a:extLst>
            <a:ext uri="{FF2B5EF4-FFF2-40B4-BE49-F238E27FC236}">
              <a16:creationId xmlns:a16="http://schemas.microsoft.com/office/drawing/2014/main" id="{50D19AA0-023C-4AA3-B0F5-C0078A95E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4"/>
    <pageSetUpPr fitToPage="1"/>
  </sheetPr>
  <dimension ref="I11:I15"/>
  <sheetViews>
    <sheetView showGridLines="0" tabSelected="1" view="pageBreakPreview" zoomScaleNormal="70" zoomScaleSheetLayoutView="100" zoomScalePageLayoutView="115" workbookViewId="0">
      <selection activeCell="O14" sqref="O14"/>
    </sheetView>
  </sheetViews>
  <sheetFormatPr defaultColWidth="9.33203125" defaultRowHeight="11.25"/>
  <cols>
    <col min="9" max="9" width="14.6640625" customWidth="1"/>
    <col min="11" max="11" width="13.83203125" customWidth="1"/>
    <col min="12" max="12" width="20.5" customWidth="1"/>
  </cols>
  <sheetData>
    <row r="11" spans="9:9" ht="15.75">
      <c r="I11" s="468"/>
    </row>
    <row r="12" spans="9:9" ht="15.75">
      <c r="I12" s="468"/>
    </row>
    <row r="13" spans="9:9" ht="15.75">
      <c r="I13" s="468"/>
    </row>
    <row r="14" spans="9:9" ht="15.75">
      <c r="I14" s="468"/>
    </row>
    <row r="15" spans="9:9" ht="15.75">
      <c r="I15" s="468"/>
    </row>
  </sheetData>
  <pageMargins left="0.59055118110236227" right="0.39370078740157483" top="0.55000000000000004" bottom="0.62992125984251968" header="0.31496062992125984" footer="0.31496062992125984"/>
  <pageSetup paperSize="9" scale="88" orientation="portrait" r:id="rId1"/>
  <headerFooter>
    <oddFooter>&amp;LCOES, 2020&amp;RDirección Ejecutiva
Sub Dirección de Gestión de la Información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theme="4"/>
  </sheetPr>
  <dimension ref="A1:L62"/>
  <sheetViews>
    <sheetView showGridLines="0" view="pageBreakPreview" zoomScaleNormal="100" zoomScaleSheetLayoutView="100" zoomScalePageLayoutView="115" workbookViewId="0">
      <selection activeCell="O14" sqref="O14"/>
    </sheetView>
  </sheetViews>
  <sheetFormatPr defaultColWidth="9.33203125" defaultRowHeight="11.25"/>
  <cols>
    <col min="1" max="1" width="15" customWidth="1"/>
    <col min="2" max="3" width="10" customWidth="1"/>
    <col min="4" max="4" width="11.83203125" customWidth="1"/>
    <col min="5" max="5" width="11" customWidth="1"/>
    <col min="6" max="6" width="9.33203125" customWidth="1"/>
    <col min="7" max="8" width="10" customWidth="1"/>
    <col min="9" max="9" width="9.6640625" customWidth="1"/>
    <col min="10" max="10" width="10.33203125" customWidth="1"/>
    <col min="11" max="11" width="8.5" customWidth="1"/>
  </cols>
  <sheetData>
    <row r="1" spans="1:12" ht="11.25" customHeight="1"/>
    <row r="2" spans="1:12" ht="18.75" customHeight="1">
      <c r="A2" s="939" t="s">
        <v>246</v>
      </c>
      <c r="B2" s="939"/>
      <c r="C2" s="939"/>
      <c r="D2" s="939"/>
      <c r="E2" s="939"/>
      <c r="F2" s="939"/>
      <c r="G2" s="939"/>
      <c r="H2" s="939"/>
      <c r="I2" s="939"/>
      <c r="J2" s="939"/>
      <c r="K2" s="939"/>
    </row>
    <row r="3" spans="1:12" ht="11.25" customHeight="1">
      <c r="A3" s="17"/>
      <c r="B3" s="17"/>
      <c r="C3" s="17"/>
      <c r="D3" s="17"/>
      <c r="E3" s="17"/>
      <c r="F3" s="17"/>
      <c r="G3" s="17"/>
      <c r="H3" s="17"/>
      <c r="I3" s="17"/>
      <c r="J3" s="17"/>
      <c r="K3" s="17"/>
      <c r="L3" s="36"/>
    </row>
    <row r="4" spans="1:12" ht="11.25" customHeight="1">
      <c r="A4" s="940" t="s">
        <v>383</v>
      </c>
      <c r="B4" s="940"/>
      <c r="C4" s="940"/>
      <c r="D4" s="940"/>
      <c r="E4" s="940"/>
      <c r="F4" s="940"/>
      <c r="G4" s="940"/>
      <c r="H4" s="940"/>
      <c r="I4" s="940"/>
      <c r="J4" s="940"/>
      <c r="K4" s="940"/>
      <c r="L4" s="36"/>
    </row>
    <row r="5" spans="1:12" ht="11.25" customHeight="1">
      <c r="A5" s="17"/>
      <c r="B5" s="67"/>
      <c r="C5" s="68"/>
      <c r="D5" s="69"/>
      <c r="E5" s="69"/>
      <c r="F5" s="69"/>
      <c r="G5" s="69"/>
      <c r="H5" s="70"/>
      <c r="I5" s="66"/>
      <c r="J5" s="66"/>
      <c r="K5" s="71"/>
      <c r="L5" s="8"/>
    </row>
    <row r="6" spans="1:12" ht="12.75" customHeight="1">
      <c r="A6" s="946" t="s">
        <v>214</v>
      </c>
      <c r="B6" s="941" t="s">
        <v>249</v>
      </c>
      <c r="C6" s="942"/>
      <c r="D6" s="942"/>
      <c r="E6" s="942" t="s">
        <v>34</v>
      </c>
      <c r="F6" s="942"/>
      <c r="G6" s="943" t="s">
        <v>248</v>
      </c>
      <c r="H6" s="943"/>
      <c r="I6" s="943"/>
      <c r="J6" s="943"/>
      <c r="K6" s="943"/>
      <c r="L6" s="15"/>
    </row>
    <row r="7" spans="1:12" ht="12.75" customHeight="1">
      <c r="A7" s="946"/>
      <c r="B7" s="571">
        <v>44071.791666666664</v>
      </c>
      <c r="C7" s="571">
        <v>44098.802083333336</v>
      </c>
      <c r="D7" s="571">
        <v>44127.78125</v>
      </c>
      <c r="E7" s="571">
        <v>43767.791666666664</v>
      </c>
      <c r="F7" s="944" t="s">
        <v>122</v>
      </c>
      <c r="G7" s="827">
        <v>2020</v>
      </c>
      <c r="H7" s="827">
        <v>2019</v>
      </c>
      <c r="I7" s="944" t="s">
        <v>476</v>
      </c>
      <c r="J7" s="827">
        <v>2018</v>
      </c>
      <c r="K7" s="944" t="s">
        <v>423</v>
      </c>
      <c r="L7" s="13"/>
    </row>
    <row r="8" spans="1:12" ht="12.75" customHeight="1">
      <c r="A8" s="946"/>
      <c r="B8" s="572">
        <v>44071.791666666664</v>
      </c>
      <c r="C8" s="572">
        <v>44098.802083333336</v>
      </c>
      <c r="D8" s="572">
        <v>44127.78125</v>
      </c>
      <c r="E8" s="572">
        <v>43767.791666666664</v>
      </c>
      <c r="F8" s="945"/>
      <c r="G8" s="573">
        <v>43886.8125</v>
      </c>
      <c r="H8" s="573">
        <v>43549.791666666664</v>
      </c>
      <c r="I8" s="945"/>
      <c r="J8" s="573">
        <v>43214.78125</v>
      </c>
      <c r="K8" s="945"/>
      <c r="L8" s="14"/>
    </row>
    <row r="9" spans="1:12" ht="12.75" customHeight="1">
      <c r="A9" s="946"/>
      <c r="B9" s="574">
        <v>44071.791666666664</v>
      </c>
      <c r="C9" s="574">
        <v>44098.802083333336</v>
      </c>
      <c r="D9" s="574">
        <v>44127.78125</v>
      </c>
      <c r="E9" s="574">
        <v>43767.791666666664</v>
      </c>
      <c r="F9" s="945"/>
      <c r="G9" s="575">
        <v>43886.8125</v>
      </c>
      <c r="H9" s="575">
        <v>43549.791666666664</v>
      </c>
      <c r="I9" s="945"/>
      <c r="J9" s="575">
        <v>43214.78125</v>
      </c>
      <c r="K9" s="945"/>
      <c r="L9" s="14"/>
    </row>
    <row r="10" spans="1:12" ht="12.75" customHeight="1">
      <c r="A10" s="576" t="s">
        <v>36</v>
      </c>
      <c r="B10" s="577">
        <v>3157.1887500000012</v>
      </c>
      <c r="C10" s="578">
        <v>3199.9412500000012</v>
      </c>
      <c r="D10" s="579">
        <v>3489.791639999999</v>
      </c>
      <c r="E10" s="577">
        <v>3389.8112600000009</v>
      </c>
      <c r="F10" s="580">
        <f>+IF(E10=0,"",D10/E10-1)</f>
        <v>2.9494379577934993E-2</v>
      </c>
      <c r="G10" s="577">
        <v>4604.1638600000006</v>
      </c>
      <c r="H10" s="578">
        <v>4580.6239199999991</v>
      </c>
      <c r="I10" s="580">
        <f>+IF(H10=0,"",G10/H10-1)</f>
        <v>5.1390248165148478E-3</v>
      </c>
      <c r="J10" s="577">
        <v>4457.8647499999988</v>
      </c>
      <c r="K10" s="580">
        <f t="shared" ref="K10:K18" si="0">+IF(J10=0,"",H10/J10-1)</f>
        <v>2.7537661388224111E-2</v>
      </c>
      <c r="L10" s="14"/>
    </row>
    <row r="11" spans="1:12" ht="12.75" customHeight="1">
      <c r="A11" s="581" t="s">
        <v>37</v>
      </c>
      <c r="B11" s="582">
        <v>3037.1350499999994</v>
      </c>
      <c r="C11" s="583">
        <v>3106.0741000000003</v>
      </c>
      <c r="D11" s="584">
        <v>3022.2060699999993</v>
      </c>
      <c r="E11" s="582">
        <v>3115.4722600000009</v>
      </c>
      <c r="F11" s="585">
        <f>+IF(E11=0,"",D11/E11-1)</f>
        <v>-2.9936453358118342E-2</v>
      </c>
      <c r="G11" s="582">
        <v>2265.9101700000001</v>
      </c>
      <c r="H11" s="583">
        <v>2106.5043700000006</v>
      </c>
      <c r="I11" s="585">
        <f>+IF(H11=0,"",G11/H11-1)</f>
        <v>7.567313995175784E-2</v>
      </c>
      <c r="J11" s="582">
        <v>1943.7948299999998</v>
      </c>
      <c r="K11" s="585">
        <f>+IF(J11=0,"",H11/J11-1)</f>
        <v>8.3707157509005592E-2</v>
      </c>
      <c r="L11" s="14"/>
    </row>
    <row r="12" spans="1:12" ht="12.75" customHeight="1">
      <c r="A12" s="586" t="s">
        <v>38</v>
      </c>
      <c r="B12" s="587">
        <v>356.40928999999994</v>
      </c>
      <c r="C12" s="588">
        <v>301.51338999999996</v>
      </c>
      <c r="D12" s="589">
        <v>323.64121</v>
      </c>
      <c r="E12" s="587">
        <v>335.28430000000003</v>
      </c>
      <c r="F12" s="590">
        <f>+IF(E12=0,"",D12/E12-1)</f>
        <v>-3.4726022065453166E-2</v>
      </c>
      <c r="G12" s="587">
        <v>255.22534999999999</v>
      </c>
      <c r="H12" s="588">
        <v>303.54068999999998</v>
      </c>
      <c r="I12" s="590">
        <f>+IF(H12=0,"",G12/H12-1)</f>
        <v>-0.15917253136638776</v>
      </c>
      <c r="J12" s="587">
        <v>309.01528000000002</v>
      </c>
      <c r="K12" s="590">
        <f>+IF(J12=0,"",H12/J12-1)</f>
        <v>-1.7716243675717336E-2</v>
      </c>
      <c r="L12" s="13"/>
    </row>
    <row r="13" spans="1:12" ht="12.75" customHeight="1">
      <c r="A13" s="591" t="s">
        <v>30</v>
      </c>
      <c r="B13" s="592">
        <v>0</v>
      </c>
      <c r="C13" s="593">
        <v>0</v>
      </c>
      <c r="D13" s="594">
        <v>0</v>
      </c>
      <c r="E13" s="592">
        <v>0</v>
      </c>
      <c r="F13" s="595" t="str">
        <f>+IF(E13=0,"",D13/E13-1)</f>
        <v/>
      </c>
      <c r="G13" s="592">
        <v>0</v>
      </c>
      <c r="H13" s="593">
        <v>0</v>
      </c>
      <c r="I13" s="595" t="str">
        <f>+IF(H13=0,"",G13/H13-1)</f>
        <v/>
      </c>
      <c r="J13" s="592">
        <v>0</v>
      </c>
      <c r="K13" s="595" t="str">
        <f t="shared" si="0"/>
        <v/>
      </c>
      <c r="L13" s="14"/>
    </row>
    <row r="14" spans="1:12" ht="12.75" customHeight="1">
      <c r="A14" s="596" t="s">
        <v>42</v>
      </c>
      <c r="B14" s="567">
        <f>+SUM(B10:B13)</f>
        <v>6550.7330899999997</v>
      </c>
      <c r="C14" s="568">
        <f t="shared" ref="C14:J14" si="1">+SUM(C10:C13)</f>
        <v>6607.5287400000016</v>
      </c>
      <c r="D14" s="569">
        <f t="shared" si="1"/>
        <v>6835.6389199999976</v>
      </c>
      <c r="E14" s="567">
        <f t="shared" si="1"/>
        <v>6840.567820000002</v>
      </c>
      <c r="F14" s="625">
        <f>+IF(E14=0,"",D14/E14-1)</f>
        <v>-7.2053959988438443E-4</v>
      </c>
      <c r="G14" s="622">
        <f t="shared" si="1"/>
        <v>7125.2993800000004</v>
      </c>
      <c r="H14" s="568">
        <f t="shared" si="1"/>
        <v>6990.6689799999995</v>
      </c>
      <c r="I14" s="625">
        <f>+IF(H14=0,"",G14/H14-1)</f>
        <v>1.9258586035924896E-2</v>
      </c>
      <c r="J14" s="567">
        <f t="shared" si="1"/>
        <v>6710.6748599999983</v>
      </c>
      <c r="K14" s="625">
        <f>+IF(J14=0,"",H14/J14-1)</f>
        <v>4.1723690365174537E-2</v>
      </c>
      <c r="L14" s="14"/>
    </row>
    <row r="15" spans="1:12" ht="6.75" customHeight="1">
      <c r="A15" s="597"/>
      <c r="B15" s="597"/>
      <c r="C15" s="597"/>
      <c r="D15" s="597"/>
      <c r="E15" s="597"/>
      <c r="F15" s="598"/>
      <c r="G15" s="597"/>
      <c r="H15" s="597"/>
      <c r="I15" s="598"/>
      <c r="J15" s="597"/>
      <c r="K15" s="598"/>
      <c r="L15" s="14"/>
    </row>
    <row r="16" spans="1:12" ht="12.75" customHeight="1">
      <c r="A16" s="599" t="s">
        <v>39</v>
      </c>
      <c r="B16" s="600">
        <v>0</v>
      </c>
      <c r="C16" s="601">
        <v>0</v>
      </c>
      <c r="D16" s="602">
        <v>0</v>
      </c>
      <c r="E16" s="600">
        <v>0</v>
      </c>
      <c r="F16" s="602">
        <v>0</v>
      </c>
      <c r="G16" s="600">
        <v>0</v>
      </c>
      <c r="H16" s="601">
        <v>0</v>
      </c>
      <c r="I16" s="602">
        <v>0</v>
      </c>
      <c r="J16" s="600">
        <v>0</v>
      </c>
      <c r="K16" s="603" t="str">
        <f t="shared" si="0"/>
        <v/>
      </c>
      <c r="L16" s="15"/>
    </row>
    <row r="17" spans="1:12" ht="12.75" customHeight="1">
      <c r="A17" s="604" t="s">
        <v>40</v>
      </c>
      <c r="B17" s="605">
        <v>0</v>
      </c>
      <c r="C17" s="606">
        <v>0</v>
      </c>
      <c r="D17" s="607">
        <v>0</v>
      </c>
      <c r="E17" s="605">
        <v>0</v>
      </c>
      <c r="F17" s="607">
        <v>0</v>
      </c>
      <c r="G17" s="605">
        <v>0</v>
      </c>
      <c r="H17" s="606">
        <v>0</v>
      </c>
      <c r="I17" s="607">
        <v>0</v>
      </c>
      <c r="J17" s="605">
        <v>0</v>
      </c>
      <c r="K17" s="608" t="str">
        <f t="shared" si="0"/>
        <v/>
      </c>
      <c r="L17" s="15"/>
    </row>
    <row r="18" spans="1:12" ht="24" customHeight="1">
      <c r="A18" s="609" t="s">
        <v>41</v>
      </c>
      <c r="B18" s="610">
        <f t="shared" ref="B18:J18" si="2">+B17-B16</f>
        <v>0</v>
      </c>
      <c r="C18" s="611">
        <f t="shared" si="2"/>
        <v>0</v>
      </c>
      <c r="D18" s="612">
        <f t="shared" si="2"/>
        <v>0</v>
      </c>
      <c r="E18" s="610">
        <f t="shared" si="2"/>
        <v>0</v>
      </c>
      <c r="F18" s="612">
        <f t="shared" si="2"/>
        <v>0</v>
      </c>
      <c r="G18" s="610">
        <f t="shared" si="2"/>
        <v>0</v>
      </c>
      <c r="H18" s="611">
        <f t="shared" si="2"/>
        <v>0</v>
      </c>
      <c r="I18" s="612">
        <f t="shared" si="2"/>
        <v>0</v>
      </c>
      <c r="J18" s="610">
        <f t="shared" si="2"/>
        <v>0</v>
      </c>
      <c r="K18" s="613" t="str">
        <f t="shared" si="0"/>
        <v/>
      </c>
      <c r="L18" s="15"/>
    </row>
    <row r="19" spans="1:12" ht="6" customHeight="1">
      <c r="A19" s="614"/>
      <c r="B19" s="614"/>
      <c r="C19" s="614"/>
      <c r="D19" s="614"/>
      <c r="E19" s="614"/>
      <c r="F19" s="615"/>
      <c r="G19" s="614"/>
      <c r="H19" s="614"/>
      <c r="I19" s="615"/>
      <c r="J19" s="614"/>
      <c r="K19" s="615"/>
      <c r="L19" s="15"/>
    </row>
    <row r="20" spans="1:12" ht="24" customHeight="1">
      <c r="A20" s="616" t="s">
        <v>247</v>
      </c>
      <c r="B20" s="617">
        <f>+B14-B18</f>
        <v>6550.7330899999997</v>
      </c>
      <c r="C20" s="618">
        <f t="shared" ref="C20" si="3">+C14-C18</f>
        <v>6607.5287400000016</v>
      </c>
      <c r="D20" s="621">
        <f>+D14-D18</f>
        <v>6835.6389199999976</v>
      </c>
      <c r="E20" s="617">
        <f>+E14-E18</f>
        <v>6840.567820000002</v>
      </c>
      <c r="F20" s="570">
        <f>+IF(E20=0,"",D20/E20-1)</f>
        <v>-7.2053959988438443E-4</v>
      </c>
      <c r="G20" s="764">
        <f>+G14-G18</f>
        <v>7125.2993800000004</v>
      </c>
      <c r="H20" s="617">
        <f>+H14-H18</f>
        <v>6990.6689799999995</v>
      </c>
      <c r="I20" s="570">
        <f>+IF(H20=0,"",G20/H20-1)</f>
        <v>1.9258586035924896E-2</v>
      </c>
      <c r="J20" s="617">
        <f>+J14-J18</f>
        <v>6710.6748599999983</v>
      </c>
      <c r="K20" s="570">
        <f>+IF(J20=0,"",H20/J20-1)</f>
        <v>4.1723690365174537E-2</v>
      </c>
      <c r="L20" s="15"/>
    </row>
    <row r="21" spans="1:12" ht="11.25" customHeight="1">
      <c r="A21" s="264" t="s">
        <v>405</v>
      </c>
      <c r="B21" s="138"/>
      <c r="C21" s="138"/>
      <c r="D21" s="138"/>
      <c r="E21" s="138"/>
      <c r="F21" s="138"/>
      <c r="G21" s="138"/>
      <c r="H21" s="138"/>
      <c r="I21" s="138"/>
      <c r="J21" s="138"/>
      <c r="K21" s="138"/>
      <c r="L21" s="16"/>
    </row>
    <row r="22" spans="1:12" ht="17.25" customHeight="1">
      <c r="A22" s="937"/>
      <c r="B22" s="937"/>
      <c r="C22" s="937"/>
      <c r="D22" s="937"/>
      <c r="E22" s="937"/>
      <c r="F22" s="937"/>
      <c r="G22" s="937"/>
      <c r="H22" s="937"/>
      <c r="I22" s="937"/>
      <c r="J22" s="937"/>
      <c r="K22" s="937"/>
      <c r="L22" s="15"/>
    </row>
    <row r="23" spans="1:12" ht="11.25" customHeight="1">
      <c r="A23" s="152"/>
      <c r="B23" s="152"/>
      <c r="C23" s="152"/>
      <c r="D23" s="152"/>
      <c r="E23" s="152"/>
      <c r="F23" s="152"/>
      <c r="G23" s="152"/>
      <c r="H23" s="152"/>
      <c r="I23" s="152"/>
      <c r="J23" s="152"/>
      <c r="K23" s="152"/>
      <c r="L23" s="15"/>
    </row>
    <row r="24" spans="1:12" ht="11.25" customHeight="1">
      <c r="A24" s="137"/>
      <c r="B24" s="137"/>
      <c r="C24" s="137"/>
      <c r="D24" s="137"/>
      <c r="E24" s="137"/>
      <c r="F24" s="137"/>
      <c r="G24" s="137"/>
      <c r="H24" s="137"/>
      <c r="I24" s="137"/>
      <c r="J24" s="137"/>
      <c r="K24" s="138"/>
      <c r="L24" s="15"/>
    </row>
    <row r="25" spans="1:12" ht="11.25" customHeight="1">
      <c r="A25" s="136"/>
      <c r="B25" s="138"/>
      <c r="C25" s="138"/>
      <c r="D25" s="138"/>
      <c r="E25" s="138"/>
      <c r="F25" s="138"/>
      <c r="G25" s="138"/>
      <c r="H25" s="138"/>
      <c r="I25" s="138"/>
      <c r="J25" s="138"/>
      <c r="K25" s="138"/>
      <c r="L25" s="16"/>
    </row>
    <row r="26" spans="1:12" ht="11.25" customHeight="1">
      <c r="A26" s="136"/>
      <c r="B26" s="138"/>
      <c r="C26" s="138"/>
      <c r="D26" s="138"/>
      <c r="E26" s="138"/>
      <c r="F26" s="138"/>
      <c r="G26" s="138"/>
      <c r="H26" s="138"/>
      <c r="I26" s="138"/>
      <c r="J26" s="138"/>
      <c r="K26" s="138"/>
      <c r="L26" s="15"/>
    </row>
    <row r="27" spans="1:12" ht="11.25" customHeight="1">
      <c r="A27" s="136"/>
      <c r="B27" s="138"/>
      <c r="C27" s="138"/>
      <c r="D27" s="138"/>
      <c r="E27" s="138"/>
      <c r="F27" s="138"/>
      <c r="G27" s="138"/>
      <c r="H27" s="138"/>
      <c r="I27" s="138"/>
      <c r="J27" s="138"/>
      <c r="K27" s="138"/>
      <c r="L27" s="15"/>
    </row>
    <row r="28" spans="1:12" ht="11.25" customHeight="1">
      <c r="A28" s="136"/>
      <c r="B28" s="138"/>
      <c r="C28" s="138"/>
      <c r="D28" s="138"/>
      <c r="E28" s="138"/>
      <c r="F28" s="138"/>
      <c r="G28" s="138"/>
      <c r="H28" s="138"/>
      <c r="I28" s="138"/>
      <c r="J28" s="138"/>
      <c r="K28" s="138"/>
      <c r="L28" s="15"/>
    </row>
    <row r="29" spans="1:12" ht="11.25" customHeight="1">
      <c r="A29" s="136"/>
      <c r="B29" s="138"/>
      <c r="C29" s="138"/>
      <c r="D29" s="138"/>
      <c r="E29" s="138"/>
      <c r="F29" s="138"/>
      <c r="G29" s="138"/>
      <c r="H29" s="138"/>
      <c r="I29" s="138"/>
      <c r="J29" s="138"/>
      <c r="K29" s="138"/>
      <c r="L29" s="15"/>
    </row>
    <row r="30" spans="1:12" ht="11.25" customHeight="1">
      <c r="A30" s="136"/>
      <c r="B30" s="138"/>
      <c r="C30" s="138"/>
      <c r="D30" s="138"/>
      <c r="E30" s="138"/>
      <c r="F30" s="138"/>
      <c r="G30" s="138"/>
      <c r="H30" s="138"/>
      <c r="I30" s="138"/>
      <c r="J30" s="138"/>
      <c r="K30" s="138"/>
      <c r="L30" s="15"/>
    </row>
    <row r="31" spans="1:12" ht="11.25" customHeight="1">
      <c r="A31" s="136"/>
      <c r="B31" s="138"/>
      <c r="C31" s="138"/>
      <c r="D31" s="138"/>
      <c r="E31" s="138"/>
      <c r="F31" s="138"/>
      <c r="G31" s="138"/>
      <c r="H31" s="138"/>
      <c r="I31" s="138"/>
      <c r="J31" s="138"/>
      <c r="K31" s="138"/>
      <c r="L31" s="15"/>
    </row>
    <row r="32" spans="1:12" ht="11.25" customHeight="1">
      <c r="A32" s="136"/>
      <c r="B32" s="138"/>
      <c r="C32" s="138"/>
      <c r="D32" s="138"/>
      <c r="E32" s="138"/>
      <c r="F32" s="138"/>
      <c r="G32" s="138"/>
      <c r="H32" s="138"/>
      <c r="I32" s="138"/>
      <c r="J32" s="138"/>
      <c r="K32" s="138"/>
      <c r="L32" s="15"/>
    </row>
    <row r="33" spans="1:12" ht="11.25" customHeight="1">
      <c r="A33" s="136"/>
      <c r="B33" s="138"/>
      <c r="C33" s="138"/>
      <c r="D33" s="138"/>
      <c r="E33" s="138"/>
      <c r="F33" s="138"/>
      <c r="G33" s="138"/>
      <c r="H33" s="138"/>
      <c r="I33" s="138"/>
      <c r="J33" s="138"/>
      <c r="K33" s="138"/>
      <c r="L33" s="15"/>
    </row>
    <row r="34" spans="1:12" ht="11.25" customHeight="1">
      <c r="A34" s="136"/>
      <c r="B34" s="138"/>
      <c r="C34" s="138"/>
      <c r="D34" s="138"/>
      <c r="E34" s="138"/>
      <c r="F34" s="138"/>
      <c r="G34" s="138"/>
      <c r="H34" s="138"/>
      <c r="I34" s="138"/>
      <c r="J34" s="138"/>
      <c r="K34" s="138"/>
      <c r="L34" s="15"/>
    </row>
    <row r="35" spans="1:12" ht="11.25" customHeight="1">
      <c r="A35" s="136"/>
      <c r="B35" s="138"/>
      <c r="C35" s="138"/>
      <c r="D35" s="138"/>
      <c r="E35" s="138"/>
      <c r="F35" s="138"/>
      <c r="G35" s="138"/>
      <c r="H35" s="138"/>
      <c r="I35" s="138"/>
      <c r="J35" s="138"/>
      <c r="K35" s="138"/>
      <c r="L35" s="15"/>
    </row>
    <row r="36" spans="1:12" ht="11.25" customHeight="1">
      <c r="A36" s="136"/>
      <c r="B36" s="138"/>
      <c r="C36" s="138"/>
      <c r="D36" s="138"/>
      <c r="E36" s="138"/>
      <c r="F36" s="138"/>
      <c r="G36" s="138"/>
      <c r="H36" s="138"/>
      <c r="I36" s="138"/>
      <c r="J36" s="138"/>
      <c r="K36" s="138"/>
      <c r="L36" s="15"/>
    </row>
    <row r="37" spans="1:12" ht="11.25" customHeight="1">
      <c r="A37" s="136"/>
      <c r="B37" s="138"/>
      <c r="C37" s="138"/>
      <c r="D37" s="138"/>
      <c r="E37" s="138"/>
      <c r="F37" s="138"/>
      <c r="G37" s="138"/>
      <c r="H37" s="138"/>
      <c r="I37" s="138"/>
      <c r="J37" s="138"/>
      <c r="K37" s="138"/>
      <c r="L37" s="15"/>
    </row>
    <row r="38" spans="1:12" ht="11.25" customHeight="1">
      <c r="A38" s="136"/>
      <c r="B38" s="138"/>
      <c r="C38" s="138"/>
      <c r="D38" s="138"/>
      <c r="E38" s="138"/>
      <c r="F38" s="138"/>
      <c r="G38" s="138"/>
      <c r="H38" s="138"/>
      <c r="I38" s="138"/>
      <c r="J38" s="138"/>
      <c r="K38" s="138"/>
      <c r="L38" s="15"/>
    </row>
    <row r="39" spans="1:12" ht="11.25" customHeight="1">
      <c r="A39" s="136"/>
      <c r="B39" s="138"/>
      <c r="C39" s="138"/>
      <c r="D39" s="138"/>
      <c r="E39" s="138"/>
      <c r="F39" s="138"/>
      <c r="G39" s="138"/>
      <c r="H39" s="138"/>
      <c r="I39" s="138"/>
      <c r="J39" s="138"/>
      <c r="K39" s="138"/>
      <c r="L39" s="15"/>
    </row>
    <row r="40" spans="1:12" ht="11.25" customHeight="1">
      <c r="A40" s="136"/>
      <c r="B40" s="138"/>
      <c r="C40" s="138"/>
      <c r="D40" s="138"/>
      <c r="E40" s="138"/>
      <c r="F40" s="138"/>
      <c r="G40" s="138"/>
      <c r="H40" s="138"/>
      <c r="I40" s="138"/>
      <c r="J40" s="138"/>
      <c r="K40" s="138"/>
      <c r="L40" s="15"/>
    </row>
    <row r="41" spans="1:12" ht="11.25" customHeight="1">
      <c r="A41" s="136"/>
      <c r="B41" s="138"/>
      <c r="C41" s="138"/>
      <c r="D41" s="138"/>
      <c r="E41" s="138"/>
      <c r="F41" s="138"/>
      <c r="G41" s="138"/>
      <c r="H41" s="138"/>
      <c r="I41" s="138"/>
      <c r="J41" s="138"/>
      <c r="K41" s="138"/>
      <c r="L41" s="15"/>
    </row>
    <row r="42" spans="1:12" ht="11.25" customHeight="1">
      <c r="A42" s="136"/>
      <c r="B42" s="138"/>
      <c r="C42" s="138"/>
      <c r="D42" s="138"/>
      <c r="E42" s="138"/>
      <c r="F42" s="138"/>
      <c r="G42" s="138"/>
      <c r="H42" s="138"/>
      <c r="I42" s="138"/>
      <c r="J42" s="138"/>
      <c r="K42" s="138"/>
      <c r="L42" s="15"/>
    </row>
    <row r="43" spans="1:12" ht="11.25" customHeight="1">
      <c r="A43" s="136"/>
      <c r="B43" s="138"/>
      <c r="C43" s="138"/>
      <c r="D43" s="138"/>
      <c r="E43" s="138"/>
      <c r="F43" s="138"/>
      <c r="G43" s="138"/>
      <c r="H43" s="138"/>
      <c r="I43" s="138"/>
      <c r="J43" s="138"/>
      <c r="K43" s="138"/>
      <c r="L43" s="15"/>
    </row>
    <row r="44" spans="1:12" ht="11.25" customHeight="1">
      <c r="A44" s="136"/>
      <c r="B44" s="138"/>
      <c r="C44" s="138"/>
      <c r="D44" s="138"/>
      <c r="E44" s="138"/>
      <c r="F44" s="138"/>
      <c r="G44" s="138"/>
      <c r="H44" s="138"/>
      <c r="I44" s="138"/>
      <c r="J44" s="138"/>
      <c r="K44" s="138"/>
      <c r="L44" s="15"/>
    </row>
    <row r="45" spans="1:12" ht="11.25" customHeight="1">
      <c r="A45" s="136"/>
      <c r="B45" s="138"/>
      <c r="C45" s="138"/>
      <c r="D45" s="138"/>
      <c r="E45" s="138"/>
      <c r="F45" s="138"/>
      <c r="G45" s="138"/>
      <c r="H45" s="138"/>
      <c r="I45" s="138"/>
      <c r="J45" s="138"/>
      <c r="K45" s="138"/>
      <c r="L45" s="15"/>
    </row>
    <row r="46" spans="1:12" ht="11.25" customHeight="1">
      <c r="A46" s="136"/>
      <c r="B46" s="138"/>
      <c r="C46" s="138"/>
      <c r="D46" s="138"/>
      <c r="E46" s="138"/>
      <c r="F46" s="138"/>
      <c r="G46" s="138"/>
      <c r="H46" s="138"/>
      <c r="I46" s="138"/>
      <c r="J46" s="138"/>
      <c r="K46" s="138"/>
      <c r="L46" s="38"/>
    </row>
    <row r="47" spans="1:12" ht="11.25" customHeight="1">
      <c r="A47" s="136"/>
      <c r="B47" s="138"/>
      <c r="C47" s="138"/>
      <c r="D47" s="138"/>
      <c r="E47" s="138"/>
      <c r="F47" s="138"/>
      <c r="G47" s="138"/>
      <c r="H47" s="138"/>
      <c r="I47" s="138"/>
      <c r="J47" s="138"/>
      <c r="K47" s="138"/>
      <c r="L47" s="15"/>
    </row>
    <row r="48" spans="1:12" ht="11.25" customHeight="1">
      <c r="A48" s="136"/>
      <c r="B48" s="138"/>
      <c r="C48" s="138"/>
      <c r="D48" s="138"/>
      <c r="E48" s="138"/>
      <c r="F48" s="138"/>
      <c r="G48" s="138"/>
      <c r="H48" s="138"/>
      <c r="I48" s="138"/>
      <c r="J48" s="138"/>
      <c r="K48" s="138"/>
      <c r="L48" s="15"/>
    </row>
    <row r="49" spans="1:12" ht="11.25" customHeight="1">
      <c r="A49" s="136"/>
      <c r="B49" s="138"/>
      <c r="C49" s="138"/>
      <c r="D49" s="138"/>
      <c r="E49" s="138"/>
      <c r="F49" s="138"/>
      <c r="G49" s="138"/>
      <c r="H49" s="138"/>
      <c r="I49" s="138"/>
      <c r="J49" s="138"/>
      <c r="K49" s="138"/>
      <c r="L49" s="15"/>
    </row>
    <row r="50" spans="1:12" ht="11.25" customHeight="1">
      <c r="A50" s="136"/>
      <c r="B50" s="138"/>
      <c r="C50" s="138"/>
      <c r="D50" s="138"/>
      <c r="E50" s="138"/>
      <c r="F50" s="138"/>
      <c r="G50" s="138"/>
      <c r="H50" s="138"/>
      <c r="I50" s="138"/>
      <c r="J50" s="138"/>
      <c r="K50" s="138"/>
      <c r="L50" s="15"/>
    </row>
    <row r="51" spans="1:12" ht="11.25" customHeight="1">
      <c r="A51" s="136"/>
      <c r="B51" s="138"/>
      <c r="C51" s="138"/>
      <c r="D51" s="138"/>
      <c r="E51" s="138"/>
      <c r="F51" s="138"/>
      <c r="G51" s="138"/>
      <c r="H51" s="138"/>
      <c r="I51" s="138"/>
      <c r="J51" s="138"/>
      <c r="K51" s="138"/>
      <c r="L51" s="15"/>
    </row>
    <row r="52" spans="1:12" ht="11.25" customHeight="1">
      <c r="A52" s="153"/>
      <c r="B52" s="153"/>
      <c r="C52" s="153"/>
      <c r="D52" s="153"/>
      <c r="E52" s="153"/>
      <c r="F52" s="153"/>
      <c r="G52" s="153"/>
      <c r="H52" s="153"/>
      <c r="I52" s="153"/>
      <c r="J52" s="153"/>
      <c r="K52" s="153"/>
      <c r="L52" s="15"/>
    </row>
    <row r="53" spans="1:12" ht="11.25" customHeight="1">
      <c r="L53" s="11"/>
    </row>
    <row r="54" spans="1:12" ht="11.25" customHeight="1">
      <c r="A54" s="154"/>
      <c r="B54" s="138"/>
      <c r="C54" s="138"/>
      <c r="D54" s="138"/>
      <c r="E54" s="138"/>
      <c r="F54" s="138"/>
      <c r="G54" s="138"/>
      <c r="H54" s="138"/>
      <c r="I54" s="138"/>
      <c r="J54" s="138"/>
      <c r="K54" s="138"/>
      <c r="L54" s="11"/>
    </row>
    <row r="55" spans="1:12" ht="11.25" customHeight="1">
      <c r="A55" s="154"/>
      <c r="B55" s="155"/>
      <c r="C55" s="155"/>
      <c r="D55" s="155"/>
      <c r="E55" s="155"/>
      <c r="F55" s="155"/>
      <c r="G55" s="138"/>
      <c r="H55" s="138"/>
      <c r="I55" s="138"/>
      <c r="J55" s="138"/>
      <c r="K55" s="138"/>
      <c r="L55" s="11"/>
    </row>
    <row r="56" spans="1:12" ht="11.25" customHeight="1">
      <c r="A56" s="132"/>
      <c r="B56" s="156"/>
      <c r="C56" s="156"/>
      <c r="D56" s="157"/>
      <c r="E56" s="157"/>
      <c r="F56" s="157"/>
      <c r="G56" s="138"/>
      <c r="H56" s="138"/>
      <c r="I56" s="138"/>
      <c r="J56" s="138"/>
      <c r="K56" s="138"/>
      <c r="L56" s="11"/>
    </row>
    <row r="57" spans="1:12" ht="11.25" customHeight="1">
      <c r="L57" s="11"/>
    </row>
    <row r="58" spans="1:12" ht="12">
      <c r="A58" s="938" t="str">
        <f>"Gráfico N° 11: Comparación de la máxima potencia coincidente de potencia (MW) por tipo de generación en el SEIN en "&amp;'1. Resumen'!Q4</f>
        <v>Gráfico N° 11: Comparación de la máxima potencia coincidente de potencia (MW) por tipo de generación en el SEIN en octubre</v>
      </c>
      <c r="B58" s="938"/>
      <c r="C58" s="938"/>
      <c r="D58" s="938"/>
      <c r="E58" s="938"/>
      <c r="F58" s="938"/>
      <c r="G58" s="938"/>
      <c r="H58" s="938"/>
      <c r="I58" s="938"/>
      <c r="J58" s="938"/>
      <c r="K58" s="938"/>
      <c r="L58" s="11"/>
    </row>
    <row r="59" spans="1:12" ht="12">
      <c r="A59" s="132"/>
      <c r="B59" s="156"/>
      <c r="C59" s="156"/>
      <c r="D59" s="157"/>
      <c r="E59" s="157"/>
      <c r="F59" s="157"/>
      <c r="G59" s="138"/>
      <c r="H59" s="138"/>
      <c r="I59" s="138"/>
      <c r="J59" s="138"/>
      <c r="K59" s="138"/>
      <c r="L59" s="11"/>
    </row>
    <row r="60" spans="1:12" ht="12">
      <c r="A60" s="132"/>
      <c r="B60" s="156"/>
      <c r="C60" s="156"/>
      <c r="D60" s="157"/>
      <c r="E60" s="157"/>
      <c r="F60" s="157"/>
      <c r="G60" s="138"/>
      <c r="H60" s="138"/>
      <c r="I60" s="138"/>
      <c r="J60" s="138"/>
      <c r="K60" s="138"/>
      <c r="L60" s="11"/>
    </row>
    <row r="61" spans="1:12" ht="12.75">
      <c r="A61" s="17"/>
      <c r="B61" s="150"/>
      <c r="C61" s="150"/>
      <c r="D61" s="151"/>
      <c r="E61" s="151"/>
      <c r="F61" s="151"/>
      <c r="G61" s="73"/>
      <c r="H61" s="73"/>
      <c r="I61" s="73"/>
      <c r="J61" s="73"/>
      <c r="K61" s="73"/>
      <c r="L61" s="11"/>
    </row>
    <row r="62" spans="1:12" ht="12.75">
      <c r="A62" s="17"/>
      <c r="B62" s="150"/>
      <c r="C62" s="150"/>
      <c r="D62" s="151"/>
      <c r="E62" s="151"/>
      <c r="F62" s="151"/>
      <c r="G62" s="73"/>
      <c r="H62" s="73"/>
      <c r="I62" s="73"/>
      <c r="J62" s="73"/>
      <c r="K62" s="73"/>
    </row>
  </sheetData>
  <mergeCells count="11">
    <mergeCell ref="A22:K22"/>
    <mergeCell ref="A58:K58"/>
    <mergeCell ref="A2:K2"/>
    <mergeCell ref="A4:K4"/>
    <mergeCell ref="B6:D6"/>
    <mergeCell ref="E6:F6"/>
    <mergeCell ref="G6:K6"/>
    <mergeCell ref="F7:F9"/>
    <mergeCell ref="I7:I9"/>
    <mergeCell ref="K7:K9"/>
    <mergeCell ref="A6:A9"/>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Mensual-Octubre 2020
INFSGI-MES-10-2020
12/11/2020
Versión: 01</oddHeader>
    <oddFooter>&amp;L&amp;7COES, 2020&amp;C8&amp;R&amp;7Dirección Ejecutiva
Sub Dirección de Gestión de Información</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theme="4"/>
  </sheetPr>
  <dimension ref="A1:O74"/>
  <sheetViews>
    <sheetView showGridLines="0" view="pageBreakPreview" zoomScaleNormal="100" zoomScaleSheetLayoutView="100" zoomScalePageLayoutView="115" workbookViewId="0">
      <selection activeCell="O14" sqref="O14"/>
    </sheetView>
  </sheetViews>
  <sheetFormatPr defaultColWidth="9.33203125" defaultRowHeight="11.25"/>
  <cols>
    <col min="1" max="1" width="28.6640625" customWidth="1"/>
    <col min="2" max="2" width="11.33203125" customWidth="1"/>
    <col min="3" max="3" width="10.83203125" customWidth="1"/>
    <col min="4" max="4" width="8.6640625" customWidth="1"/>
    <col min="10" max="10" width="11.83203125" customWidth="1"/>
    <col min="11" max="11" width="9.33203125" customWidth="1"/>
    <col min="12" max="12" width="27.83203125" style="422" customWidth="1"/>
    <col min="13" max="14" width="9.33203125" style="630"/>
    <col min="15" max="15" width="9.33203125" style="707"/>
  </cols>
  <sheetData>
    <row r="1" spans="1:15" ht="25.5" customHeight="1">
      <c r="A1" s="949" t="s">
        <v>251</v>
      </c>
      <c r="B1" s="949"/>
      <c r="C1" s="949"/>
      <c r="D1" s="949"/>
      <c r="E1" s="949"/>
      <c r="F1" s="949"/>
      <c r="G1" s="949"/>
      <c r="H1" s="949"/>
      <c r="I1" s="949"/>
      <c r="J1" s="949"/>
    </row>
    <row r="2" spans="1:15" ht="7.5" customHeight="1">
      <c r="A2" s="74"/>
      <c r="B2" s="73"/>
      <c r="C2" s="73"/>
      <c r="D2" s="73"/>
      <c r="E2" s="73"/>
      <c r="F2" s="73"/>
      <c r="G2" s="73"/>
      <c r="H2" s="73"/>
      <c r="I2" s="73"/>
      <c r="J2" s="73"/>
      <c r="K2" s="36"/>
      <c r="L2" s="745"/>
    </row>
    <row r="3" spans="1:15" ht="11.25" customHeight="1">
      <c r="A3" s="950" t="s">
        <v>123</v>
      </c>
      <c r="B3" s="952" t="str">
        <f>+'1. Resumen'!Q4</f>
        <v>octubre</v>
      </c>
      <c r="C3" s="953"/>
      <c r="D3" s="954"/>
      <c r="E3" s="138"/>
      <c r="F3" s="138"/>
      <c r="G3" s="955" t="s">
        <v>478</v>
      </c>
      <c r="H3" s="955"/>
      <c r="I3" s="955"/>
      <c r="J3" s="138"/>
      <c r="K3" s="148"/>
      <c r="L3" s="745"/>
    </row>
    <row r="4" spans="1:15" ht="11.25" customHeight="1">
      <c r="A4" s="950"/>
      <c r="B4" s="480">
        <v>2020</v>
      </c>
      <c r="C4" s="481">
        <v>2019</v>
      </c>
      <c r="D4" s="954" t="s">
        <v>35</v>
      </c>
      <c r="E4" s="138"/>
      <c r="F4" s="138"/>
      <c r="G4" s="138"/>
      <c r="H4" s="138"/>
      <c r="I4" s="138"/>
      <c r="J4" s="138"/>
      <c r="K4" s="24"/>
      <c r="L4" s="746"/>
    </row>
    <row r="5" spans="1:15" ht="11.25" customHeight="1">
      <c r="A5" s="950"/>
      <c r="B5" s="482">
        <f>+'8. Max Potencia'!D8</f>
        <v>44127.78125</v>
      </c>
      <c r="C5" s="482">
        <f>+'8. Max Potencia'!E8</f>
        <v>43767.791666666664</v>
      </c>
      <c r="D5" s="954"/>
      <c r="E5" s="138"/>
      <c r="F5" s="138"/>
      <c r="G5" s="138"/>
      <c r="H5" s="138"/>
      <c r="I5" s="138"/>
      <c r="J5" s="138"/>
      <c r="K5" s="24"/>
      <c r="L5" s="747"/>
    </row>
    <row r="6" spans="1:15" ht="11.25" customHeight="1" thickBot="1">
      <c r="A6" s="951"/>
      <c r="B6" s="483">
        <f>+'8. Max Potencia'!D9</f>
        <v>44127.78125</v>
      </c>
      <c r="C6" s="483">
        <f>+'8. Max Potencia'!E9</f>
        <v>43767.791666666664</v>
      </c>
      <c r="D6" s="956"/>
      <c r="E6" s="138"/>
      <c r="F6" s="138"/>
      <c r="G6" s="138"/>
      <c r="H6" s="138"/>
      <c r="I6" s="138"/>
      <c r="J6" s="138"/>
      <c r="K6" s="25"/>
      <c r="L6" s="746" t="s">
        <v>250</v>
      </c>
      <c r="M6" s="422">
        <v>2020</v>
      </c>
      <c r="N6" s="422">
        <v>2019</v>
      </c>
    </row>
    <row r="7" spans="1:15" ht="9.75" customHeight="1">
      <c r="A7" s="369" t="s">
        <v>410</v>
      </c>
      <c r="B7" s="370">
        <v>1081.25729</v>
      </c>
      <c r="C7" s="370">
        <v>1328.0607600000001</v>
      </c>
      <c r="D7" s="371">
        <f>IF(C7=0,"",B7/C7-1)</f>
        <v>-0.18583748382114684</v>
      </c>
      <c r="E7" s="138"/>
      <c r="F7" s="138"/>
      <c r="G7" s="138"/>
      <c r="H7" s="138"/>
      <c r="I7" s="138"/>
      <c r="J7" s="138"/>
      <c r="K7" s="23"/>
      <c r="L7" s="748" t="s">
        <v>105</v>
      </c>
      <c r="M7" s="761">
        <v>0</v>
      </c>
      <c r="N7" s="761">
        <v>75.331770000000006</v>
      </c>
      <c r="O7" s="708"/>
    </row>
    <row r="8" spans="1:15" ht="9.75" customHeight="1">
      <c r="A8" s="372" t="s">
        <v>87</v>
      </c>
      <c r="B8" s="373">
        <v>1050.52241</v>
      </c>
      <c r="C8" s="373">
        <v>938.29721999999992</v>
      </c>
      <c r="D8" s="374">
        <f t="shared" ref="D8:D63" si="0">IF(C8=0,"",B8/C8-1)</f>
        <v>0.11960516093184226</v>
      </c>
      <c r="E8" s="138"/>
      <c r="F8" s="138"/>
      <c r="G8" s="138"/>
      <c r="H8" s="138"/>
      <c r="I8" s="138"/>
      <c r="J8" s="138"/>
      <c r="K8" s="26"/>
      <c r="L8" s="748" t="s">
        <v>109</v>
      </c>
      <c r="M8" s="761">
        <v>0</v>
      </c>
      <c r="N8" s="761">
        <v>0</v>
      </c>
      <c r="O8" s="708"/>
    </row>
    <row r="9" spans="1:15" ht="9.75" customHeight="1">
      <c r="A9" s="375" t="s">
        <v>88</v>
      </c>
      <c r="B9" s="376">
        <v>877.10056000000009</v>
      </c>
      <c r="C9" s="376">
        <v>1184.59446</v>
      </c>
      <c r="D9" s="377">
        <f t="shared" si="0"/>
        <v>-0.25957735780732927</v>
      </c>
      <c r="E9" s="403"/>
      <c r="F9" s="138"/>
      <c r="G9" s="138"/>
      <c r="H9" s="138"/>
      <c r="I9" s="138"/>
      <c r="J9" s="138"/>
      <c r="K9" s="25"/>
      <c r="L9" s="748" t="s">
        <v>119</v>
      </c>
      <c r="M9" s="761">
        <v>0</v>
      </c>
      <c r="N9" s="761">
        <v>0</v>
      </c>
      <c r="O9" s="708"/>
    </row>
    <row r="10" spans="1:15" ht="9.75" customHeight="1">
      <c r="A10" s="372" t="s">
        <v>89</v>
      </c>
      <c r="B10" s="373">
        <v>847.33104000000003</v>
      </c>
      <c r="C10" s="373">
        <v>721.59647999999993</v>
      </c>
      <c r="D10" s="374">
        <f t="shared" si="0"/>
        <v>0.1742449741439982</v>
      </c>
      <c r="E10" s="138"/>
      <c r="F10" s="138"/>
      <c r="G10" s="138"/>
      <c r="H10" s="138"/>
      <c r="I10" s="138"/>
      <c r="J10" s="138"/>
      <c r="K10" s="25"/>
      <c r="L10" s="748" t="s">
        <v>102</v>
      </c>
      <c r="M10" s="747">
        <v>0</v>
      </c>
      <c r="N10" s="747">
        <v>28.075600000000001</v>
      </c>
      <c r="O10" s="708"/>
    </row>
    <row r="11" spans="1:15" ht="9.75" customHeight="1">
      <c r="A11" s="375" t="s">
        <v>239</v>
      </c>
      <c r="B11" s="376">
        <v>551.00720999999999</v>
      </c>
      <c r="C11" s="376">
        <v>270.29468000000003</v>
      </c>
      <c r="D11" s="377">
        <f t="shared" si="0"/>
        <v>1.0385425639897905</v>
      </c>
      <c r="E11" s="138"/>
      <c r="F11" s="138"/>
      <c r="G11" s="138"/>
      <c r="H11" s="138"/>
      <c r="I11" s="138"/>
      <c r="J11" s="138"/>
      <c r="K11" s="25"/>
      <c r="L11" s="748" t="s">
        <v>244</v>
      </c>
      <c r="M11" s="747">
        <v>0</v>
      </c>
      <c r="N11" s="747">
        <v>0</v>
      </c>
      <c r="O11" s="708"/>
    </row>
    <row r="12" spans="1:15" ht="9.75" customHeight="1">
      <c r="A12" s="372" t="s">
        <v>90</v>
      </c>
      <c r="B12" s="373">
        <v>277.36728999999997</v>
      </c>
      <c r="C12" s="373">
        <v>244.84998999999999</v>
      </c>
      <c r="D12" s="374">
        <f t="shared" si="0"/>
        <v>0.13280498806636665</v>
      </c>
      <c r="E12" s="138"/>
      <c r="F12" s="138"/>
      <c r="G12" s="138"/>
      <c r="H12" s="138"/>
      <c r="I12" s="138"/>
      <c r="J12" s="138"/>
      <c r="K12" s="23"/>
      <c r="L12" s="748" t="s">
        <v>243</v>
      </c>
      <c r="M12" s="761">
        <v>0</v>
      </c>
      <c r="N12" s="761">
        <v>0</v>
      </c>
      <c r="O12" s="708"/>
    </row>
    <row r="13" spans="1:15" ht="9.75" customHeight="1">
      <c r="A13" s="375" t="s">
        <v>237</v>
      </c>
      <c r="B13" s="376">
        <v>235.11723000000001</v>
      </c>
      <c r="C13" s="376">
        <v>356.78033000000005</v>
      </c>
      <c r="D13" s="377">
        <f t="shared" si="0"/>
        <v>-0.3410028237823538</v>
      </c>
      <c r="E13" s="138"/>
      <c r="F13" s="138"/>
      <c r="G13" s="138"/>
      <c r="H13" s="138"/>
      <c r="I13" s="138"/>
      <c r="J13" s="138"/>
      <c r="K13" s="26"/>
      <c r="L13" s="748" t="s">
        <v>107</v>
      </c>
      <c r="M13" s="747">
        <v>0</v>
      </c>
      <c r="N13" s="747">
        <v>0</v>
      </c>
      <c r="O13" s="708"/>
    </row>
    <row r="14" spans="1:15" ht="9.75" customHeight="1">
      <c r="A14" s="372" t="s">
        <v>100</v>
      </c>
      <c r="B14" s="373">
        <v>227.72192999999999</v>
      </c>
      <c r="C14" s="373">
        <v>0.50978000000000001</v>
      </c>
      <c r="D14" s="374">
        <f t="shared" si="0"/>
        <v>445.70628506414528</v>
      </c>
      <c r="E14" s="138"/>
      <c r="F14" s="138"/>
      <c r="G14" s="138"/>
      <c r="H14" s="138"/>
      <c r="I14" s="138"/>
      <c r="J14" s="138"/>
      <c r="K14" s="26"/>
      <c r="L14" s="748" t="s">
        <v>110</v>
      </c>
      <c r="M14" s="747">
        <v>0</v>
      </c>
      <c r="N14" s="747">
        <v>0</v>
      </c>
      <c r="O14" s="708"/>
    </row>
    <row r="15" spans="1:15" ht="9.75" customHeight="1">
      <c r="A15" s="375" t="s">
        <v>94</v>
      </c>
      <c r="B15" s="376">
        <v>173.91239000000002</v>
      </c>
      <c r="C15" s="376">
        <v>194.63587000000001</v>
      </c>
      <c r="D15" s="377">
        <f t="shared" si="0"/>
        <v>-0.1064730771362955</v>
      </c>
      <c r="E15" s="138"/>
      <c r="F15" s="138"/>
      <c r="G15" s="138"/>
      <c r="H15" s="138"/>
      <c r="I15" s="138"/>
      <c r="J15" s="138"/>
      <c r="K15" s="26"/>
      <c r="L15" s="748" t="s">
        <v>118</v>
      </c>
      <c r="M15" s="747">
        <v>0</v>
      </c>
      <c r="N15" s="747">
        <v>0</v>
      </c>
      <c r="O15" s="708"/>
    </row>
    <row r="16" spans="1:15" ht="9.75" customHeight="1">
      <c r="A16" s="372" t="s">
        <v>91</v>
      </c>
      <c r="B16" s="373">
        <v>146.21921999999995</v>
      </c>
      <c r="C16" s="373">
        <v>155.04728999999998</v>
      </c>
      <c r="D16" s="374">
        <f t="shared" si="0"/>
        <v>-5.6937918747241745E-2</v>
      </c>
      <c r="E16" s="138"/>
      <c r="F16" s="138"/>
      <c r="G16" s="138"/>
      <c r="H16" s="138"/>
      <c r="I16" s="138"/>
      <c r="J16" s="138"/>
      <c r="K16" s="26"/>
      <c r="L16" s="748" t="s">
        <v>412</v>
      </c>
      <c r="M16" s="747">
        <v>0</v>
      </c>
      <c r="N16" s="747">
        <v>0</v>
      </c>
      <c r="O16" s="708"/>
    </row>
    <row r="17" spans="1:15" ht="9.75" customHeight="1">
      <c r="A17" s="375" t="s">
        <v>92</v>
      </c>
      <c r="B17" s="376">
        <v>142.62241</v>
      </c>
      <c r="C17" s="376">
        <v>107.57561</v>
      </c>
      <c r="D17" s="377">
        <f t="shared" si="0"/>
        <v>0.32578760185510447</v>
      </c>
      <c r="E17" s="138"/>
      <c r="F17" s="138"/>
      <c r="G17" s="138"/>
      <c r="H17" s="138"/>
      <c r="I17" s="138"/>
      <c r="J17" s="138"/>
      <c r="K17" s="26"/>
      <c r="L17" s="748" t="s">
        <v>112</v>
      </c>
      <c r="M17" s="761">
        <v>0</v>
      </c>
      <c r="N17" s="761">
        <v>0</v>
      </c>
      <c r="O17" s="708"/>
    </row>
    <row r="18" spans="1:15" ht="9.75" customHeight="1">
      <c r="A18" s="372" t="s">
        <v>98</v>
      </c>
      <c r="B18" s="373">
        <v>129.79413</v>
      </c>
      <c r="C18" s="373">
        <v>129.91175999999999</v>
      </c>
      <c r="D18" s="374">
        <f t="shared" si="0"/>
        <v>-9.0546075274466897E-4</v>
      </c>
      <c r="E18" s="138"/>
      <c r="F18" s="138"/>
      <c r="G18" s="138"/>
      <c r="H18" s="138"/>
      <c r="I18" s="138"/>
      <c r="J18" s="138"/>
      <c r="K18" s="26"/>
      <c r="L18" s="748" t="s">
        <v>111</v>
      </c>
      <c r="M18" s="747">
        <v>0</v>
      </c>
      <c r="N18" s="747">
        <v>0</v>
      </c>
      <c r="O18" s="708"/>
    </row>
    <row r="19" spans="1:15" ht="9.75" customHeight="1">
      <c r="A19" s="375" t="s">
        <v>241</v>
      </c>
      <c r="B19" s="376">
        <v>120.82327000000002</v>
      </c>
      <c r="C19" s="376">
        <v>212.86322000000001</v>
      </c>
      <c r="D19" s="377">
        <f t="shared" si="0"/>
        <v>-0.43239010478184059</v>
      </c>
      <c r="E19" s="138"/>
      <c r="F19" s="138"/>
      <c r="G19" s="138"/>
      <c r="H19" s="138"/>
      <c r="I19" s="138"/>
      <c r="J19" s="138"/>
      <c r="K19" s="26"/>
      <c r="L19" s="748" t="s">
        <v>453</v>
      </c>
      <c r="M19" s="747">
        <v>0</v>
      </c>
      <c r="N19" s="747">
        <v>0.86545000000000005</v>
      </c>
      <c r="O19" s="708"/>
    </row>
    <row r="20" spans="1:15" ht="9.75" customHeight="1">
      <c r="A20" s="372" t="s">
        <v>95</v>
      </c>
      <c r="B20" s="373">
        <v>108.12949</v>
      </c>
      <c r="C20" s="373">
        <v>108.10897</v>
      </c>
      <c r="D20" s="374">
        <f t="shared" si="0"/>
        <v>1.8980848675198558E-4</v>
      </c>
      <c r="E20" s="138"/>
      <c r="F20" s="138"/>
      <c r="G20" s="138"/>
      <c r="H20" s="138"/>
      <c r="I20" s="138"/>
      <c r="J20" s="138"/>
      <c r="K20" s="29"/>
      <c r="L20" s="748" t="s">
        <v>236</v>
      </c>
      <c r="M20" s="747">
        <v>0</v>
      </c>
      <c r="N20" s="747">
        <v>0</v>
      </c>
      <c r="O20" s="708"/>
    </row>
    <row r="21" spans="1:15" ht="9.75" customHeight="1">
      <c r="A21" s="375" t="s">
        <v>238</v>
      </c>
      <c r="B21" s="376">
        <v>91.939629999999994</v>
      </c>
      <c r="C21" s="376">
        <v>47.267439999999993</v>
      </c>
      <c r="D21" s="377">
        <f t="shared" si="0"/>
        <v>0.94509433978231128</v>
      </c>
      <c r="E21" s="138"/>
      <c r="F21" s="138"/>
      <c r="G21" s="138"/>
      <c r="H21" s="138"/>
      <c r="I21" s="138"/>
      <c r="J21" s="138"/>
      <c r="K21" s="26"/>
      <c r="L21" s="748" t="s">
        <v>120</v>
      </c>
      <c r="M21" s="761">
        <v>0</v>
      </c>
      <c r="N21" s="761">
        <v>19.29279</v>
      </c>
      <c r="O21" s="708"/>
    </row>
    <row r="22" spans="1:15" ht="9.75" customHeight="1">
      <c r="A22" s="372" t="s">
        <v>96</v>
      </c>
      <c r="B22" s="373">
        <v>90.699780000000004</v>
      </c>
      <c r="C22" s="373">
        <v>90.786299999999997</v>
      </c>
      <c r="D22" s="374">
        <f t="shared" si="0"/>
        <v>-9.5300722686120221E-4</v>
      </c>
      <c r="E22" s="138"/>
      <c r="F22" s="138"/>
      <c r="G22" s="138"/>
      <c r="H22" s="138"/>
      <c r="I22" s="138"/>
      <c r="J22" s="138"/>
      <c r="K22" s="26"/>
      <c r="L22" s="748" t="s">
        <v>117</v>
      </c>
      <c r="M22" s="761">
        <v>1.7243599999999999</v>
      </c>
      <c r="N22" s="761">
        <v>1.3524</v>
      </c>
      <c r="O22" s="708"/>
    </row>
    <row r="23" spans="1:15" ht="9.75" customHeight="1">
      <c r="A23" s="375" t="s">
        <v>93</v>
      </c>
      <c r="B23" s="376">
        <v>90.49024</v>
      </c>
      <c r="C23" s="376">
        <v>115.81262</v>
      </c>
      <c r="D23" s="377">
        <f t="shared" si="0"/>
        <v>-0.21864957376838545</v>
      </c>
      <c r="E23" s="138"/>
      <c r="F23" s="138"/>
      <c r="G23" s="138"/>
      <c r="H23" s="138"/>
      <c r="I23" s="138"/>
      <c r="J23" s="138"/>
      <c r="K23" s="26"/>
      <c r="L23" s="748" t="s">
        <v>115</v>
      </c>
      <c r="M23" s="747">
        <v>3.10764</v>
      </c>
      <c r="N23" s="747">
        <v>2.3477800000000002</v>
      </c>
      <c r="O23" s="708"/>
    </row>
    <row r="24" spans="1:15" ht="9.75" customHeight="1">
      <c r="A24" s="372" t="s">
        <v>99</v>
      </c>
      <c r="B24" s="373">
        <v>89.456779999999995</v>
      </c>
      <c r="C24" s="373">
        <v>91.066339999999997</v>
      </c>
      <c r="D24" s="374">
        <f t="shared" si="0"/>
        <v>-1.7674587558915822E-2</v>
      </c>
      <c r="E24" s="138"/>
      <c r="F24" s="138"/>
      <c r="G24" s="138"/>
      <c r="H24" s="138"/>
      <c r="I24" s="138"/>
      <c r="J24" s="138"/>
      <c r="K24" s="29"/>
      <c r="L24" s="748" t="s">
        <v>116</v>
      </c>
      <c r="M24" s="747">
        <v>3.2</v>
      </c>
      <c r="N24" s="747">
        <v>3.6</v>
      </c>
      <c r="O24" s="708"/>
    </row>
    <row r="25" spans="1:15" ht="9.75" customHeight="1">
      <c r="A25" s="375" t="s">
        <v>97</v>
      </c>
      <c r="B25" s="376">
        <v>79.319369999999992</v>
      </c>
      <c r="C25" s="376">
        <v>82.920580000000001</v>
      </c>
      <c r="D25" s="377">
        <f t="shared" si="0"/>
        <v>-4.3429628688077315E-2</v>
      </c>
      <c r="E25" s="138"/>
      <c r="F25" s="138"/>
      <c r="G25" s="138"/>
      <c r="H25" s="138"/>
      <c r="I25" s="138"/>
      <c r="J25" s="138"/>
      <c r="K25" s="26"/>
      <c r="L25" s="748" t="s">
        <v>104</v>
      </c>
      <c r="M25" s="761">
        <v>3.3647800000000001</v>
      </c>
      <c r="N25" s="761">
        <v>9.44374</v>
      </c>
      <c r="O25" s="708"/>
    </row>
    <row r="26" spans="1:15" ht="9.75" customHeight="1">
      <c r="A26" s="372" t="s">
        <v>430</v>
      </c>
      <c r="B26" s="373">
        <v>56.957920000000001</v>
      </c>
      <c r="C26" s="373">
        <v>56.91836</v>
      </c>
      <c r="D26" s="374">
        <f t="shared" si="0"/>
        <v>6.9503056658692941E-4</v>
      </c>
      <c r="E26" s="138"/>
      <c r="F26" s="138"/>
      <c r="G26" s="138"/>
      <c r="H26" s="138"/>
      <c r="I26" s="138"/>
      <c r="J26" s="138"/>
      <c r="K26" s="26"/>
      <c r="L26" s="748" t="s">
        <v>114</v>
      </c>
      <c r="M26" s="747">
        <v>4.9999199999999995</v>
      </c>
      <c r="N26" s="747">
        <v>1.6198300000000001</v>
      </c>
      <c r="O26" s="708"/>
    </row>
    <row r="27" spans="1:15" ht="9.75" customHeight="1">
      <c r="A27" s="375" t="s">
        <v>455</v>
      </c>
      <c r="B27" s="376">
        <v>46.260140000000007</v>
      </c>
      <c r="C27" s="376">
        <v>21.031730000000003</v>
      </c>
      <c r="D27" s="377">
        <f t="shared" si="0"/>
        <v>1.199540408706274</v>
      </c>
      <c r="E27" s="138"/>
      <c r="F27" s="138"/>
      <c r="G27" s="138"/>
      <c r="H27" s="138"/>
      <c r="I27" s="138"/>
      <c r="J27" s="138"/>
      <c r="K27" s="26"/>
      <c r="L27" s="748" t="s">
        <v>486</v>
      </c>
      <c r="M27" s="747">
        <v>6.3763199999999998</v>
      </c>
      <c r="N27" s="747"/>
      <c r="O27" s="708"/>
    </row>
    <row r="28" spans="1:15" ht="9.75" customHeight="1">
      <c r="A28" s="372" t="s">
        <v>108</v>
      </c>
      <c r="B28" s="373">
        <v>34.844459999999998</v>
      </c>
      <c r="C28" s="373">
        <v>31.074109999999997</v>
      </c>
      <c r="D28" s="374">
        <f t="shared" si="0"/>
        <v>0.12133412670547927</v>
      </c>
      <c r="E28" s="138"/>
      <c r="F28" s="138"/>
      <c r="G28" s="138"/>
      <c r="H28" s="138"/>
      <c r="I28" s="138"/>
      <c r="J28" s="138"/>
      <c r="K28" s="26"/>
      <c r="L28" s="748" t="s">
        <v>411</v>
      </c>
      <c r="M28" s="747">
        <v>6.4186700000000005</v>
      </c>
      <c r="N28" s="747">
        <v>9.6182999999999996</v>
      </c>
      <c r="O28" s="708"/>
    </row>
    <row r="29" spans="1:15" ht="9.75" customHeight="1">
      <c r="A29" s="378" t="s">
        <v>101</v>
      </c>
      <c r="B29" s="379">
        <v>25.866</v>
      </c>
      <c r="C29" s="379">
        <v>24.864000000000001</v>
      </c>
      <c r="D29" s="380">
        <f t="shared" si="0"/>
        <v>4.0299227799227788E-2</v>
      </c>
      <c r="E29" s="138"/>
      <c r="F29" s="138"/>
      <c r="G29" s="138"/>
      <c r="H29" s="138"/>
      <c r="I29" s="138"/>
      <c r="J29" s="138"/>
      <c r="K29" s="26"/>
      <c r="L29" s="748" t="s">
        <v>431</v>
      </c>
      <c r="M29" s="747">
        <v>7.6040000000000001</v>
      </c>
      <c r="N29" s="747">
        <v>7.8860000000000001</v>
      </c>
      <c r="O29" s="708"/>
    </row>
    <row r="30" spans="1:15" ht="9.75" customHeight="1">
      <c r="A30" s="381" t="s">
        <v>242</v>
      </c>
      <c r="B30" s="382">
        <v>25.070930000000001</v>
      </c>
      <c r="C30" s="382">
        <v>31.385619999999999</v>
      </c>
      <c r="D30" s="383">
        <f t="shared" si="0"/>
        <v>-0.20119691756925617</v>
      </c>
      <c r="E30" s="138"/>
      <c r="F30" s="138"/>
      <c r="G30" s="138"/>
      <c r="H30" s="138"/>
      <c r="I30" s="138"/>
      <c r="J30" s="138"/>
      <c r="K30" s="26"/>
      <c r="L30" s="748" t="s">
        <v>421</v>
      </c>
      <c r="M30" s="747">
        <v>8.4974799999999995</v>
      </c>
      <c r="N30" s="747">
        <v>8.8300000000000003E-2</v>
      </c>
      <c r="O30" s="708"/>
    </row>
    <row r="31" spans="1:15" ht="9.75" customHeight="1">
      <c r="A31" s="384" t="s">
        <v>113</v>
      </c>
      <c r="B31" s="385">
        <v>23.301749999999998</v>
      </c>
      <c r="C31" s="385">
        <v>20.43648</v>
      </c>
      <c r="D31" s="386">
        <f t="shared" si="0"/>
        <v>0.14020369456971049</v>
      </c>
      <c r="E31" s="138"/>
      <c r="F31" s="138"/>
      <c r="G31" s="138"/>
      <c r="H31" s="138"/>
      <c r="I31" s="138"/>
      <c r="J31" s="138"/>
      <c r="K31" s="26"/>
      <c r="L31" s="748" t="s">
        <v>457</v>
      </c>
      <c r="M31" s="747">
        <v>9.21875</v>
      </c>
      <c r="N31" s="747">
        <v>10.9375</v>
      </c>
      <c r="O31" s="708"/>
    </row>
    <row r="32" spans="1:15" ht="9.75" customHeight="1">
      <c r="A32" s="381" t="s">
        <v>418</v>
      </c>
      <c r="B32" s="382">
        <v>20.584229999999998</v>
      </c>
      <c r="C32" s="382">
        <v>11.063040000000001</v>
      </c>
      <c r="D32" s="383">
        <f t="shared" si="0"/>
        <v>0.86063053193335626</v>
      </c>
      <c r="E32" s="138"/>
      <c r="F32" s="138"/>
      <c r="G32" s="138"/>
      <c r="H32" s="138"/>
      <c r="I32" s="138"/>
      <c r="J32" s="138"/>
      <c r="K32" s="26"/>
      <c r="L32" s="748" t="s">
        <v>446</v>
      </c>
      <c r="M32" s="747">
        <v>13.68366</v>
      </c>
      <c r="N32" s="747">
        <v>10.050419999999999</v>
      </c>
      <c r="O32" s="708"/>
    </row>
    <row r="33" spans="1:15" ht="13.5" customHeight="1">
      <c r="A33" s="532" t="s">
        <v>402</v>
      </c>
      <c r="B33" s="385">
        <v>20.17915</v>
      </c>
      <c r="C33" s="385">
        <v>20.00038</v>
      </c>
      <c r="D33" s="386">
        <f t="shared" si="0"/>
        <v>8.9383301717267383E-3</v>
      </c>
      <c r="E33" s="138"/>
      <c r="F33" s="138"/>
      <c r="G33" s="138"/>
      <c r="H33" s="138"/>
      <c r="I33" s="138"/>
      <c r="J33" s="138"/>
      <c r="K33" s="26"/>
      <c r="L33" s="748" t="s">
        <v>458</v>
      </c>
      <c r="M33" s="747">
        <v>16.162240000000001</v>
      </c>
      <c r="N33" s="747"/>
      <c r="O33" s="708"/>
    </row>
    <row r="34" spans="1:15" ht="11.25" customHeight="1">
      <c r="A34" s="381" t="s">
        <v>121</v>
      </c>
      <c r="B34" s="382">
        <v>18.936800000000002</v>
      </c>
      <c r="C34" s="382">
        <v>0</v>
      </c>
      <c r="D34" s="383" t="str">
        <f t="shared" si="0"/>
        <v/>
      </c>
      <c r="E34" s="138"/>
      <c r="F34" s="138"/>
      <c r="G34" s="138"/>
      <c r="H34" s="138"/>
      <c r="I34" s="138"/>
      <c r="J34" s="138"/>
      <c r="K34" s="26"/>
      <c r="L34" s="748" t="s">
        <v>103</v>
      </c>
      <c r="M34" s="747">
        <v>16.32544</v>
      </c>
      <c r="N34" s="747">
        <v>18.948140000000002</v>
      </c>
      <c r="O34" s="708"/>
    </row>
    <row r="35" spans="1:15" ht="13.5" customHeight="1">
      <c r="A35" s="532" t="s">
        <v>425</v>
      </c>
      <c r="B35" s="385">
        <v>17.688569999999999</v>
      </c>
      <c r="C35" s="385">
        <v>12.681609999999999</v>
      </c>
      <c r="D35" s="386">
        <f t="shared" si="0"/>
        <v>0.39482053146248774</v>
      </c>
      <c r="E35" s="138"/>
      <c r="F35" s="138"/>
      <c r="G35" s="138"/>
      <c r="H35" s="138"/>
      <c r="I35" s="138"/>
      <c r="J35" s="138"/>
      <c r="K35" s="26"/>
      <c r="L35" s="748" t="s">
        <v>106</v>
      </c>
      <c r="M35" s="747">
        <v>16.95091</v>
      </c>
      <c r="N35" s="747">
        <v>15.04555</v>
      </c>
      <c r="O35" s="708"/>
    </row>
    <row r="36" spans="1:15" ht="11.25" customHeight="1">
      <c r="A36" s="381" t="s">
        <v>240</v>
      </c>
      <c r="B36" s="382">
        <v>17.483129999999999</v>
      </c>
      <c r="C36" s="382">
        <v>15.62922</v>
      </c>
      <c r="D36" s="383">
        <f t="shared" si="0"/>
        <v>0.11861820359557296</v>
      </c>
      <c r="E36" s="138"/>
      <c r="F36" s="138"/>
      <c r="G36" s="138"/>
      <c r="H36" s="138"/>
      <c r="I36" s="138"/>
      <c r="J36" s="138"/>
      <c r="K36" s="34"/>
      <c r="L36" s="748" t="s">
        <v>240</v>
      </c>
      <c r="M36" s="747">
        <v>17.483129999999999</v>
      </c>
      <c r="N36" s="747">
        <v>15.62922</v>
      </c>
      <c r="O36" s="708"/>
    </row>
    <row r="37" spans="1:15" ht="11.25" customHeight="1">
      <c r="A37" s="532" t="s">
        <v>106</v>
      </c>
      <c r="B37" s="385">
        <v>16.95091</v>
      </c>
      <c r="C37" s="385">
        <v>15.04555</v>
      </c>
      <c r="D37" s="386">
        <f t="shared" si="0"/>
        <v>0.12663943823921353</v>
      </c>
      <c r="E37" s="138"/>
      <c r="F37" s="138"/>
      <c r="G37" s="138"/>
      <c r="H37" s="138"/>
      <c r="I37" s="138"/>
      <c r="J37" s="138"/>
      <c r="K37" s="34"/>
      <c r="L37" s="748" t="s">
        <v>425</v>
      </c>
      <c r="M37" s="761">
        <v>17.688569999999999</v>
      </c>
      <c r="N37" s="761">
        <v>12.681609999999999</v>
      </c>
      <c r="O37" s="708"/>
    </row>
    <row r="38" spans="1:15" ht="22.5" customHeight="1">
      <c r="A38" s="742" t="s">
        <v>103</v>
      </c>
      <c r="B38" s="382">
        <v>16.32544</v>
      </c>
      <c r="C38" s="382">
        <v>18.948140000000002</v>
      </c>
      <c r="D38" s="383">
        <f t="shared" si="0"/>
        <v>-0.138414641225999</v>
      </c>
      <c r="E38" s="138"/>
      <c r="F38" s="138"/>
      <c r="G38" s="138"/>
      <c r="H38" s="138"/>
      <c r="I38" s="138"/>
      <c r="J38" s="138"/>
      <c r="K38" s="29"/>
      <c r="L38" s="748" t="s">
        <v>121</v>
      </c>
      <c r="M38" s="747">
        <v>18.936800000000002</v>
      </c>
      <c r="N38" s="747">
        <v>0</v>
      </c>
      <c r="O38" s="708"/>
    </row>
    <row r="39" spans="1:15" ht="11.25" customHeight="1">
      <c r="A39" s="532" t="s">
        <v>458</v>
      </c>
      <c r="B39" s="385">
        <v>16.162240000000001</v>
      </c>
      <c r="C39" s="385"/>
      <c r="D39" s="386" t="str">
        <f t="shared" si="0"/>
        <v/>
      </c>
      <c r="E39" s="138"/>
      <c r="F39" s="138"/>
      <c r="G39" s="138"/>
      <c r="H39" s="138"/>
      <c r="I39" s="138"/>
      <c r="J39" s="138"/>
      <c r="K39" s="29"/>
      <c r="L39" s="748" t="s">
        <v>402</v>
      </c>
      <c r="M39" s="747">
        <v>20.17915</v>
      </c>
      <c r="N39" s="747">
        <v>20.00038</v>
      </c>
      <c r="O39" s="708"/>
    </row>
    <row r="40" spans="1:15" ht="11.25" customHeight="1">
      <c r="A40" s="743" t="s">
        <v>446</v>
      </c>
      <c r="B40" s="382">
        <v>13.68366</v>
      </c>
      <c r="C40" s="382">
        <v>10.050419999999999</v>
      </c>
      <c r="D40" s="383">
        <f t="shared" si="0"/>
        <v>0.36150131039299871</v>
      </c>
      <c r="E40" s="138"/>
      <c r="F40" s="138"/>
      <c r="G40" s="138"/>
      <c r="H40" s="138"/>
      <c r="I40" s="138"/>
      <c r="J40" s="138"/>
      <c r="K40" s="29"/>
      <c r="L40" s="748" t="s">
        <v>418</v>
      </c>
      <c r="M40" s="747">
        <v>20.584229999999998</v>
      </c>
      <c r="N40" s="747">
        <v>11.063040000000001</v>
      </c>
      <c r="O40" s="708"/>
    </row>
    <row r="41" spans="1:15" ht="9.75" customHeight="1">
      <c r="A41" s="384" t="s">
        <v>457</v>
      </c>
      <c r="B41" s="385">
        <v>9.21875</v>
      </c>
      <c r="C41" s="385">
        <v>10.9375</v>
      </c>
      <c r="D41" s="386">
        <f t="shared" si="0"/>
        <v>-0.15714285714285714</v>
      </c>
      <c r="E41" s="138"/>
      <c r="F41" s="138"/>
      <c r="G41" s="138"/>
      <c r="H41" s="138"/>
      <c r="I41" s="138"/>
      <c r="J41" s="138"/>
      <c r="K41" s="34"/>
      <c r="L41" s="748" t="s">
        <v>113</v>
      </c>
      <c r="M41" s="747">
        <v>23.301749999999998</v>
      </c>
      <c r="N41" s="747">
        <v>20.43648</v>
      </c>
      <c r="O41" s="708"/>
    </row>
    <row r="42" spans="1:15" ht="9.75" customHeight="1">
      <c r="A42" s="381" t="s">
        <v>421</v>
      </c>
      <c r="B42" s="382">
        <v>8.4974799999999995</v>
      </c>
      <c r="C42" s="382">
        <v>8.8300000000000003E-2</v>
      </c>
      <c r="D42" s="383">
        <f t="shared" si="0"/>
        <v>95.234201585503953</v>
      </c>
      <c r="E42" s="138"/>
      <c r="F42" s="138"/>
      <c r="G42" s="138"/>
      <c r="H42" s="138"/>
      <c r="I42" s="138"/>
      <c r="J42" s="138"/>
      <c r="K42" s="34"/>
      <c r="L42" s="748" t="s">
        <v>242</v>
      </c>
      <c r="M42" s="747">
        <v>25.070930000000001</v>
      </c>
      <c r="N42" s="747">
        <v>31.385619999999999</v>
      </c>
      <c r="O42" s="708"/>
    </row>
    <row r="43" spans="1:15" ht="9.75" customHeight="1">
      <c r="A43" s="384" t="s">
        <v>431</v>
      </c>
      <c r="B43" s="385">
        <v>7.6040000000000001</v>
      </c>
      <c r="C43" s="385">
        <v>7.8860000000000001</v>
      </c>
      <c r="D43" s="386">
        <f t="shared" si="0"/>
        <v>-3.5759573928480837E-2</v>
      </c>
      <c r="E43" s="138"/>
      <c r="F43" s="138"/>
      <c r="G43" s="138"/>
      <c r="H43" s="138"/>
      <c r="I43" s="138"/>
      <c r="J43" s="138"/>
      <c r="K43" s="34"/>
      <c r="L43" s="748" t="s">
        <v>101</v>
      </c>
      <c r="M43" s="747">
        <v>25.866</v>
      </c>
      <c r="N43" s="747">
        <v>24.864000000000001</v>
      </c>
      <c r="O43" s="708"/>
    </row>
    <row r="44" spans="1:15" ht="9.75" customHeight="1">
      <c r="A44" s="381" t="s">
        <v>411</v>
      </c>
      <c r="B44" s="382">
        <v>6.4186700000000005</v>
      </c>
      <c r="C44" s="382">
        <v>9.6182999999999996</v>
      </c>
      <c r="D44" s="383">
        <f t="shared" si="0"/>
        <v>-0.33266065728870997</v>
      </c>
      <c r="E44" s="138"/>
      <c r="F44" s="138"/>
      <c r="G44" s="138"/>
      <c r="H44" s="138"/>
      <c r="I44" s="138"/>
      <c r="J44" s="138"/>
      <c r="L44" s="748" t="s">
        <v>108</v>
      </c>
      <c r="M44" s="747">
        <v>34.844459999999998</v>
      </c>
      <c r="N44" s="747">
        <v>31.074109999999997</v>
      </c>
      <c r="O44" s="708"/>
    </row>
    <row r="45" spans="1:15" ht="9.75" customHeight="1">
      <c r="A45" s="384" t="s">
        <v>486</v>
      </c>
      <c r="B45" s="385">
        <v>6.3763199999999998</v>
      </c>
      <c r="C45" s="385"/>
      <c r="D45" s="386" t="str">
        <f t="shared" si="0"/>
        <v/>
      </c>
      <c r="E45" s="138"/>
      <c r="F45" s="138"/>
      <c r="G45" s="138"/>
      <c r="H45" s="138"/>
      <c r="I45" s="138"/>
      <c r="J45" s="138"/>
      <c r="L45" s="748" t="s">
        <v>455</v>
      </c>
      <c r="M45" s="747">
        <v>46.260140000000007</v>
      </c>
      <c r="N45" s="747">
        <v>21.031730000000003</v>
      </c>
      <c r="O45" s="708"/>
    </row>
    <row r="46" spans="1:15" ht="9.75" customHeight="1">
      <c r="A46" s="381" t="s">
        <v>114</v>
      </c>
      <c r="B46" s="382">
        <v>4.9999199999999995</v>
      </c>
      <c r="C46" s="382">
        <v>1.6198300000000001</v>
      </c>
      <c r="D46" s="383">
        <f t="shared" si="0"/>
        <v>2.0866942827333728</v>
      </c>
      <c r="E46" s="138"/>
      <c r="F46" s="138"/>
      <c r="G46" s="138"/>
      <c r="H46" s="138"/>
      <c r="I46" s="138"/>
      <c r="J46" s="138"/>
      <c r="L46" s="748" t="s">
        <v>430</v>
      </c>
      <c r="M46" s="747">
        <v>56.957920000000001</v>
      </c>
      <c r="N46" s="747">
        <v>56.91836</v>
      </c>
      <c r="O46" s="708"/>
    </row>
    <row r="47" spans="1:15" ht="9.75" customHeight="1">
      <c r="A47" s="384" t="s">
        <v>104</v>
      </c>
      <c r="B47" s="385">
        <v>3.3647800000000001</v>
      </c>
      <c r="C47" s="385">
        <v>9.44374</v>
      </c>
      <c r="D47" s="386">
        <f t="shared" si="0"/>
        <v>-0.64370260087634779</v>
      </c>
      <c r="E47" s="138"/>
      <c r="F47" s="138"/>
      <c r="G47" s="138"/>
      <c r="H47" s="138"/>
      <c r="I47" s="138"/>
      <c r="J47" s="138"/>
      <c r="L47" s="748" t="s">
        <v>97</v>
      </c>
      <c r="M47" s="747">
        <v>79.319369999999992</v>
      </c>
      <c r="N47" s="747">
        <v>82.920580000000001</v>
      </c>
      <c r="O47" s="708"/>
    </row>
    <row r="48" spans="1:15" ht="24" customHeight="1">
      <c r="A48" s="742" t="s">
        <v>116</v>
      </c>
      <c r="B48" s="382">
        <v>3.2</v>
      </c>
      <c r="C48" s="382">
        <v>3.6</v>
      </c>
      <c r="D48" s="383">
        <f t="shared" si="0"/>
        <v>-0.11111111111111105</v>
      </c>
      <c r="E48" s="138"/>
      <c r="F48" s="138"/>
      <c r="G48" s="138"/>
      <c r="H48" s="138"/>
      <c r="I48" s="138"/>
      <c r="J48" s="138"/>
      <c r="L48" s="748" t="s">
        <v>99</v>
      </c>
      <c r="M48" s="747">
        <v>89.456779999999995</v>
      </c>
      <c r="N48" s="747">
        <v>91.066339999999997</v>
      </c>
      <c r="O48" s="708"/>
    </row>
    <row r="49" spans="1:15" ht="11.25" customHeight="1">
      <c r="A49" s="532" t="s">
        <v>115</v>
      </c>
      <c r="B49" s="385">
        <v>3.10764</v>
      </c>
      <c r="C49" s="385">
        <v>2.3477800000000002</v>
      </c>
      <c r="D49" s="386">
        <f t="shared" si="0"/>
        <v>0.3236504272120897</v>
      </c>
      <c r="E49" s="138"/>
      <c r="F49" s="138"/>
      <c r="G49" s="138"/>
      <c r="H49" s="138"/>
      <c r="I49" s="138"/>
      <c r="J49" s="138"/>
      <c r="L49" s="748" t="s">
        <v>93</v>
      </c>
      <c r="M49" s="747">
        <v>90.49024</v>
      </c>
      <c r="N49" s="747">
        <v>115.81262</v>
      </c>
      <c r="O49" s="708"/>
    </row>
    <row r="50" spans="1:15" ht="12" customHeight="1">
      <c r="A50" s="742" t="s">
        <v>117</v>
      </c>
      <c r="B50" s="382">
        <v>1.7243599999999999</v>
      </c>
      <c r="C50" s="382">
        <v>1.3524</v>
      </c>
      <c r="D50" s="383">
        <f t="shared" si="0"/>
        <v>0.27503697131026317</v>
      </c>
      <c r="E50" s="138"/>
      <c r="F50" s="138"/>
      <c r="G50" s="138"/>
      <c r="H50" s="138"/>
      <c r="I50" s="138"/>
      <c r="J50" s="138"/>
      <c r="L50" s="748" t="s">
        <v>96</v>
      </c>
      <c r="M50" s="747">
        <v>90.699780000000004</v>
      </c>
      <c r="N50" s="747">
        <v>90.786299999999997</v>
      </c>
      <c r="O50" s="708"/>
    </row>
    <row r="51" spans="1:15" ht="9.75" customHeight="1">
      <c r="A51" s="532" t="s">
        <v>120</v>
      </c>
      <c r="B51" s="385">
        <v>0</v>
      </c>
      <c r="C51" s="385">
        <v>19.29279</v>
      </c>
      <c r="D51" s="386">
        <f t="shared" si="0"/>
        <v>-1</v>
      </c>
      <c r="E51" s="138"/>
      <c r="F51" s="138"/>
      <c r="G51" s="138"/>
      <c r="H51" s="138"/>
      <c r="I51" s="138"/>
      <c r="J51" s="138"/>
      <c r="L51" s="748" t="s">
        <v>238</v>
      </c>
      <c r="M51" s="747">
        <v>91.939629999999994</v>
      </c>
      <c r="N51" s="747">
        <v>47.267439999999993</v>
      </c>
      <c r="O51" s="708"/>
    </row>
    <row r="52" spans="1:15" ht="9.75" customHeight="1">
      <c r="A52" s="381" t="s">
        <v>236</v>
      </c>
      <c r="B52" s="382">
        <v>0</v>
      </c>
      <c r="C52" s="382">
        <v>0</v>
      </c>
      <c r="D52" s="383" t="str">
        <f t="shared" si="0"/>
        <v/>
      </c>
      <c r="E52" s="138"/>
      <c r="F52" s="138"/>
      <c r="G52" s="138"/>
      <c r="H52" s="138"/>
      <c r="I52" s="138"/>
      <c r="J52" s="138"/>
      <c r="L52" s="748" t="s">
        <v>95</v>
      </c>
      <c r="M52" s="747">
        <v>108.12949</v>
      </c>
      <c r="N52" s="747">
        <v>108.10897</v>
      </c>
      <c r="O52" s="708"/>
    </row>
    <row r="53" spans="1:15" ht="9.75" customHeight="1">
      <c r="A53" s="384" t="s">
        <v>453</v>
      </c>
      <c r="B53" s="385">
        <v>0</v>
      </c>
      <c r="C53" s="385">
        <v>0.86545000000000005</v>
      </c>
      <c r="D53" s="386">
        <f t="shared" si="0"/>
        <v>-1</v>
      </c>
      <c r="E53" s="138"/>
      <c r="F53" s="138"/>
      <c r="G53" s="138"/>
      <c r="H53" s="138"/>
      <c r="I53" s="138"/>
      <c r="J53" s="138"/>
      <c r="L53" s="748" t="s">
        <v>241</v>
      </c>
      <c r="M53" s="747">
        <v>120.82327000000002</v>
      </c>
      <c r="N53" s="747">
        <v>212.86322000000001</v>
      </c>
      <c r="O53" s="708"/>
    </row>
    <row r="54" spans="1:15" ht="9.75" customHeight="1">
      <c r="A54" s="381" t="s">
        <v>111</v>
      </c>
      <c r="B54" s="382">
        <v>0</v>
      </c>
      <c r="C54" s="382">
        <v>0</v>
      </c>
      <c r="D54" s="383" t="str">
        <f t="shared" si="0"/>
        <v/>
      </c>
      <c r="E54" s="138"/>
      <c r="F54" s="138"/>
      <c r="G54" s="138"/>
      <c r="H54" s="138"/>
      <c r="I54" s="138"/>
      <c r="J54" s="138"/>
      <c r="L54" s="748" t="s">
        <v>98</v>
      </c>
      <c r="M54" s="747">
        <v>129.79413</v>
      </c>
      <c r="N54" s="747">
        <v>129.91175999999999</v>
      </c>
      <c r="O54" s="708"/>
    </row>
    <row r="55" spans="1:15" ht="9.75" customHeight="1">
      <c r="A55" s="384" t="s">
        <v>112</v>
      </c>
      <c r="B55" s="385">
        <v>0</v>
      </c>
      <c r="C55" s="385">
        <v>0</v>
      </c>
      <c r="D55" s="386" t="str">
        <f t="shared" si="0"/>
        <v/>
      </c>
      <c r="E55" s="138"/>
      <c r="F55" s="138"/>
      <c r="G55" s="138"/>
      <c r="H55" s="138"/>
      <c r="I55" s="138"/>
      <c r="J55" s="138"/>
      <c r="L55" s="748" t="s">
        <v>92</v>
      </c>
      <c r="M55" s="747">
        <v>142.62241</v>
      </c>
      <c r="N55" s="747">
        <v>107.57561</v>
      </c>
      <c r="O55" s="708"/>
    </row>
    <row r="56" spans="1:15" ht="9.75" customHeight="1">
      <c r="A56" s="381" t="s">
        <v>412</v>
      </c>
      <c r="B56" s="382">
        <v>0</v>
      </c>
      <c r="C56" s="382">
        <v>0</v>
      </c>
      <c r="D56" s="383" t="str">
        <f t="shared" si="0"/>
        <v/>
      </c>
      <c r="E56" s="138"/>
      <c r="F56" s="138"/>
      <c r="G56" s="138"/>
      <c r="H56" s="138"/>
      <c r="I56" s="138"/>
      <c r="J56" s="138"/>
      <c r="L56" s="748" t="s">
        <v>91</v>
      </c>
      <c r="M56" s="747">
        <v>146.21921999999995</v>
      </c>
      <c r="N56" s="747">
        <v>155.04728999999998</v>
      </c>
      <c r="O56" s="708"/>
    </row>
    <row r="57" spans="1:15" ht="9.75" customHeight="1">
      <c r="A57" s="384" t="s">
        <v>118</v>
      </c>
      <c r="B57" s="385">
        <v>0</v>
      </c>
      <c r="C57" s="385">
        <v>0</v>
      </c>
      <c r="D57" s="386" t="str">
        <f t="shared" si="0"/>
        <v/>
      </c>
      <c r="E57" s="138"/>
      <c r="F57" s="138"/>
      <c r="G57" s="138"/>
      <c r="H57" s="138"/>
      <c r="I57" s="138"/>
      <c r="J57" s="138"/>
      <c r="L57" s="748" t="s">
        <v>94</v>
      </c>
      <c r="M57" s="747">
        <v>173.91239000000002</v>
      </c>
      <c r="N57" s="747">
        <v>194.63587000000001</v>
      </c>
      <c r="O57" s="708"/>
    </row>
    <row r="58" spans="1:15" ht="9.75" customHeight="1">
      <c r="A58" s="381" t="s">
        <v>110</v>
      </c>
      <c r="B58" s="382">
        <v>0</v>
      </c>
      <c r="C58" s="382">
        <v>0</v>
      </c>
      <c r="D58" s="383" t="str">
        <f t="shared" si="0"/>
        <v/>
      </c>
      <c r="E58" s="138"/>
      <c r="F58" s="138"/>
      <c r="G58" s="138"/>
      <c r="H58" s="138"/>
      <c r="I58" s="138"/>
      <c r="J58" s="138"/>
      <c r="L58" s="748" t="s">
        <v>100</v>
      </c>
      <c r="M58" s="747">
        <v>227.72192999999999</v>
      </c>
      <c r="N58" s="747">
        <v>0.50978000000000001</v>
      </c>
      <c r="O58" s="708"/>
    </row>
    <row r="59" spans="1:15" ht="9.75" customHeight="1">
      <c r="A59" s="365" t="s">
        <v>107</v>
      </c>
      <c r="B59" s="366">
        <v>0</v>
      </c>
      <c r="C59" s="366">
        <v>0</v>
      </c>
      <c r="D59" s="386" t="str">
        <f t="shared" si="0"/>
        <v/>
      </c>
      <c r="E59" s="138"/>
      <c r="F59" s="138"/>
      <c r="G59" s="138"/>
      <c r="H59" s="138"/>
      <c r="I59" s="138"/>
      <c r="J59" s="138"/>
      <c r="L59" s="748" t="s">
        <v>237</v>
      </c>
      <c r="M59" s="747">
        <v>235.11723000000001</v>
      </c>
      <c r="N59" s="747">
        <v>356.78033000000005</v>
      </c>
      <c r="O59" s="708"/>
    </row>
    <row r="60" spans="1:15" ht="9.75" customHeight="1">
      <c r="A60" s="387" t="s">
        <v>243</v>
      </c>
      <c r="B60" s="388">
        <v>0</v>
      </c>
      <c r="C60" s="388">
        <v>0</v>
      </c>
      <c r="D60" s="389" t="str">
        <f t="shared" si="0"/>
        <v/>
      </c>
      <c r="E60" s="138"/>
      <c r="F60" s="138"/>
      <c r="G60" s="138"/>
      <c r="H60" s="138"/>
      <c r="I60" s="138"/>
      <c r="J60" s="138"/>
      <c r="L60" s="748" t="s">
        <v>90</v>
      </c>
      <c r="M60" s="747">
        <v>277.36728999999997</v>
      </c>
      <c r="N60" s="747">
        <v>244.84998999999999</v>
      </c>
      <c r="O60" s="708"/>
    </row>
    <row r="61" spans="1:15" ht="9.75" customHeight="1">
      <c r="A61" s="365" t="s">
        <v>244</v>
      </c>
      <c r="B61" s="366">
        <v>0</v>
      </c>
      <c r="C61" s="366">
        <v>0</v>
      </c>
      <c r="D61" s="377" t="str">
        <f t="shared" si="0"/>
        <v/>
      </c>
      <c r="E61" s="138"/>
      <c r="F61" s="138"/>
      <c r="G61" s="138"/>
      <c r="H61" s="138"/>
      <c r="I61" s="138"/>
      <c r="J61" s="138"/>
      <c r="L61" s="748" t="s">
        <v>239</v>
      </c>
      <c r="M61" s="747">
        <v>551.00720999999999</v>
      </c>
      <c r="N61" s="747">
        <v>270.29468000000003</v>
      </c>
      <c r="O61" s="708"/>
    </row>
    <row r="62" spans="1:15" ht="9.75" customHeight="1">
      <c r="A62" s="387" t="s">
        <v>102</v>
      </c>
      <c r="B62" s="388">
        <v>0</v>
      </c>
      <c r="C62" s="388">
        <v>28.075600000000001</v>
      </c>
      <c r="D62" s="389">
        <f t="shared" si="0"/>
        <v>-1</v>
      </c>
      <c r="E62" s="138"/>
      <c r="F62" s="138"/>
      <c r="G62" s="138"/>
      <c r="H62" s="138"/>
      <c r="I62" s="138"/>
      <c r="J62" s="138"/>
      <c r="L62" s="748" t="s">
        <v>89</v>
      </c>
      <c r="M62" s="747">
        <v>847.33104000000003</v>
      </c>
      <c r="N62" s="747">
        <v>721.59647999999993</v>
      </c>
      <c r="O62" s="708"/>
    </row>
    <row r="63" spans="1:15" s="730" customFormat="1" ht="9.75" customHeight="1">
      <c r="A63" s="365" t="s">
        <v>119</v>
      </c>
      <c r="B63" s="366">
        <v>0</v>
      </c>
      <c r="C63" s="366">
        <v>0</v>
      </c>
      <c r="D63" s="377" t="str">
        <f t="shared" si="0"/>
        <v/>
      </c>
      <c r="E63" s="138"/>
      <c r="F63" s="138"/>
      <c r="G63" s="138"/>
      <c r="H63" s="138"/>
      <c r="I63" s="138"/>
      <c r="J63" s="138"/>
      <c r="L63" s="748" t="s">
        <v>88</v>
      </c>
      <c r="M63" s="747">
        <v>877.10056000000009</v>
      </c>
      <c r="N63" s="747">
        <v>1184.59446</v>
      </c>
      <c r="O63" s="708"/>
    </row>
    <row r="64" spans="1:15" s="730" customFormat="1" ht="9.75" customHeight="1">
      <c r="A64" s="758" t="s">
        <v>109</v>
      </c>
      <c r="B64" s="760">
        <v>0</v>
      </c>
      <c r="C64" s="760">
        <v>0</v>
      </c>
      <c r="D64" s="759"/>
      <c r="E64" s="138"/>
      <c r="F64" s="138"/>
      <c r="G64" s="138"/>
      <c r="H64" s="138"/>
      <c r="I64" s="138"/>
      <c r="J64" s="138"/>
      <c r="L64" s="748" t="s">
        <v>87</v>
      </c>
      <c r="M64" s="747">
        <v>1050.52241</v>
      </c>
      <c r="N64" s="747">
        <v>938.29721999999992</v>
      </c>
      <c r="O64" s="708"/>
    </row>
    <row r="65" spans="1:15" s="730" customFormat="1" ht="9.75" customHeight="1">
      <c r="A65" s="844" t="s">
        <v>105</v>
      </c>
      <c r="B65" s="839">
        <v>0</v>
      </c>
      <c r="C65" s="839">
        <v>75.331770000000006</v>
      </c>
      <c r="D65" s="838"/>
      <c r="E65" s="138"/>
      <c r="F65" s="138"/>
      <c r="G65" s="138"/>
      <c r="H65" s="138"/>
      <c r="I65" s="138"/>
      <c r="J65" s="138"/>
      <c r="L65" s="748" t="s">
        <v>410</v>
      </c>
      <c r="M65" s="747">
        <v>1081.25729</v>
      </c>
      <c r="N65" s="747">
        <v>1328.0607600000001</v>
      </c>
      <c r="O65" s="708"/>
    </row>
    <row r="66" spans="1:15" ht="9.75" customHeight="1">
      <c r="A66" s="367" t="s">
        <v>42</v>
      </c>
      <c r="B66" s="619">
        <f>SUM(B7:B65)</f>
        <v>6835.6389200000003</v>
      </c>
      <c r="C66" s="619">
        <f>SUM(C7:C65)</f>
        <v>6840.5678200000002</v>
      </c>
      <c r="D66" s="368">
        <f>IF(C66=0,"",B66/C66-1)</f>
        <v>-7.205395998837183E-4</v>
      </c>
      <c r="E66" s="138"/>
      <c r="F66" s="138"/>
      <c r="G66" s="138"/>
      <c r="H66" s="138"/>
      <c r="I66" s="138"/>
      <c r="J66" s="138"/>
      <c r="L66" s="748"/>
      <c r="M66" s="749"/>
      <c r="N66" s="749"/>
      <c r="O66" s="708"/>
    </row>
    <row r="67" spans="1:15" ht="51.75" customHeight="1">
      <c r="A67" s="933" t="str">
        <f>"Cuadro N° 8: Participación de las empresas generadoras del COES en la máxima potencia coincidente (MW) en "&amp;'1. Resumen'!Q4</f>
        <v>Cuadro N° 8: Participación de las empresas generadoras del COES en la máxima potencia coincidente (MW) en octubre</v>
      </c>
      <c r="B67" s="933"/>
      <c r="C67" s="933"/>
      <c r="D67" s="933"/>
      <c r="E67" s="132"/>
      <c r="F67" s="933" t="str">
        <f>"Gráfico N° 12: Comparación de la máxima potencia coincidente  (MW) de las empresas generadoras del COES en "&amp;'1. Resumen'!Q4</f>
        <v>Gráfico N° 12: Comparación de la máxima potencia coincidente  (MW) de las empresas generadoras del COES en octubre</v>
      </c>
      <c r="G67" s="933"/>
      <c r="H67" s="933"/>
      <c r="I67" s="933"/>
      <c r="J67" s="933"/>
      <c r="L67" s="748"/>
      <c r="M67" s="750"/>
      <c r="N67" s="750"/>
    </row>
    <row r="68" spans="1:15" ht="25.5" customHeight="1">
      <c r="A68" s="936"/>
      <c r="B68" s="936"/>
      <c r="C68" s="936"/>
      <c r="D68" s="936"/>
      <c r="E68" s="936"/>
      <c r="F68" s="936"/>
      <c r="G68" s="936"/>
      <c r="H68" s="936"/>
      <c r="I68" s="936"/>
      <c r="J68" s="936"/>
    </row>
    <row r="69" spans="1:15" ht="17.25" customHeight="1">
      <c r="A69" s="935"/>
      <c r="B69" s="935"/>
      <c r="C69" s="935"/>
      <c r="D69" s="935"/>
      <c r="E69" s="935"/>
      <c r="F69" s="935"/>
      <c r="G69" s="935"/>
      <c r="H69" s="935"/>
      <c r="I69" s="935"/>
      <c r="J69" s="935"/>
    </row>
    <row r="70" spans="1:15">
      <c r="A70" s="935"/>
      <c r="B70" s="935"/>
      <c r="C70" s="935"/>
      <c r="D70" s="935"/>
      <c r="E70" s="935"/>
      <c r="F70" s="935"/>
      <c r="G70" s="935"/>
      <c r="H70" s="935"/>
      <c r="I70" s="935"/>
      <c r="J70" s="935"/>
    </row>
    <row r="71" spans="1:15">
      <c r="A71" s="928"/>
      <c r="B71" s="928"/>
      <c r="C71" s="928"/>
      <c r="D71" s="928"/>
      <c r="E71" s="928"/>
      <c r="F71" s="928"/>
      <c r="G71" s="928"/>
      <c r="H71" s="928"/>
      <c r="I71" s="928"/>
      <c r="J71" s="928"/>
    </row>
    <row r="72" spans="1:15">
      <c r="A72" s="927"/>
      <c r="B72" s="927"/>
      <c r="C72" s="927"/>
      <c r="D72" s="927"/>
      <c r="E72" s="927"/>
      <c r="F72" s="927"/>
      <c r="G72" s="927"/>
      <c r="H72" s="927"/>
      <c r="I72" s="927"/>
      <c r="J72" s="927"/>
    </row>
    <row r="73" spans="1:15">
      <c r="A73" s="948"/>
      <c r="B73" s="948"/>
      <c r="C73" s="948"/>
      <c r="D73" s="948"/>
      <c r="E73" s="948"/>
      <c r="F73" s="948"/>
      <c r="G73" s="948"/>
      <c r="H73" s="948"/>
      <c r="I73" s="948"/>
      <c r="J73" s="948"/>
    </row>
    <row r="74" spans="1:15">
      <c r="A74" s="947"/>
      <c r="B74" s="947"/>
      <c r="C74" s="947"/>
      <c r="D74" s="947"/>
      <c r="E74" s="947"/>
      <c r="F74" s="947"/>
      <c r="G74" s="947"/>
      <c r="H74" s="947"/>
      <c r="I74" s="947"/>
      <c r="J74" s="947"/>
    </row>
  </sheetData>
  <mergeCells count="14">
    <mergeCell ref="A68:J68"/>
    <mergeCell ref="A69:J69"/>
    <mergeCell ref="A67:D67"/>
    <mergeCell ref="F67:J67"/>
    <mergeCell ref="A1:J1"/>
    <mergeCell ref="A3:A6"/>
    <mergeCell ref="B3:D3"/>
    <mergeCell ref="G3:I3"/>
    <mergeCell ref="D4:D6"/>
    <mergeCell ref="A74:J74"/>
    <mergeCell ref="A70:J70"/>
    <mergeCell ref="A71:J71"/>
    <mergeCell ref="A72:J72"/>
    <mergeCell ref="A73:J73"/>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Mensual-Octubre 2020
INFSGI-MES-10-2020
12/11/2020
Versión: 01</oddHeader>
    <oddFooter>&amp;L&amp;7COES, 2020&amp;C9&amp;R&amp;7Dirección Ejecutiva
Sub Dirección de Gestión de Información</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theme="4"/>
  </sheetPr>
  <dimension ref="A1:AL65"/>
  <sheetViews>
    <sheetView showGridLines="0" view="pageBreakPreview" zoomScaleNormal="100" zoomScaleSheetLayoutView="100" zoomScalePageLayoutView="130" workbookViewId="0">
      <selection activeCell="O14" sqref="O14"/>
    </sheetView>
  </sheetViews>
  <sheetFormatPr defaultColWidth="9.33203125" defaultRowHeight="11.25"/>
  <cols>
    <col min="1" max="1" width="7.6640625" style="46" customWidth="1"/>
    <col min="2" max="2" width="9.83203125" style="46" customWidth="1"/>
    <col min="3" max="3" width="29.6640625" style="46" customWidth="1"/>
    <col min="4" max="5" width="12.6640625" style="46" customWidth="1"/>
    <col min="6" max="6" width="12.1640625" style="46" customWidth="1"/>
    <col min="7" max="8" width="9.33203125" style="46"/>
    <col min="9" max="9" width="9.33203125" style="46" customWidth="1"/>
    <col min="10" max="11" width="9.33203125" style="307" customWidth="1"/>
    <col min="12" max="31" width="9.33203125" style="307"/>
    <col min="32" max="16384" width="9.33203125" style="46"/>
  </cols>
  <sheetData>
    <row r="1" spans="1:38" ht="11.25" customHeight="1"/>
    <row r="2" spans="1:38" ht="17.25" customHeight="1">
      <c r="A2" s="939" t="s">
        <v>252</v>
      </c>
      <c r="B2" s="939"/>
      <c r="C2" s="939"/>
      <c r="D2" s="939"/>
      <c r="E2" s="939"/>
      <c r="F2" s="939"/>
      <c r="G2" s="939"/>
      <c r="H2" s="939"/>
    </row>
    <row r="3" spans="1:38" ht="11.25" customHeight="1">
      <c r="A3" s="77"/>
      <c r="B3" s="77"/>
      <c r="C3" s="77"/>
      <c r="D3" s="77"/>
      <c r="E3" s="77"/>
      <c r="F3" s="82"/>
      <c r="G3" s="82"/>
      <c r="H3" s="82"/>
      <c r="I3" s="36"/>
      <c r="J3" s="316"/>
    </row>
    <row r="4" spans="1:38" ht="15.75" customHeight="1">
      <c r="A4" s="957" t="s">
        <v>441</v>
      </c>
      <c r="B4" s="957"/>
      <c r="C4" s="957"/>
      <c r="D4" s="957"/>
      <c r="E4" s="957"/>
      <c r="F4" s="957"/>
      <c r="G4" s="957"/>
      <c r="H4" s="957"/>
      <c r="I4" s="36"/>
      <c r="J4" s="316"/>
    </row>
    <row r="5" spans="1:38" ht="11.25" customHeight="1">
      <c r="A5" s="77"/>
      <c r="B5" s="164"/>
      <c r="C5" s="79"/>
      <c r="D5" s="79"/>
      <c r="E5" s="80"/>
      <c r="F5" s="76"/>
      <c r="G5" s="76"/>
      <c r="H5" s="81"/>
      <c r="I5" s="165"/>
      <c r="J5" s="317"/>
    </row>
    <row r="6" spans="1:38" ht="42.75" customHeight="1">
      <c r="A6" s="77"/>
      <c r="C6" s="484" t="s">
        <v>124</v>
      </c>
      <c r="D6" s="485" t="s">
        <v>685</v>
      </c>
      <c r="E6" s="485" t="s">
        <v>686</v>
      </c>
      <c r="F6" s="486" t="s">
        <v>125</v>
      </c>
      <c r="G6" s="169"/>
      <c r="H6" s="170"/>
    </row>
    <row r="7" spans="1:38" ht="11.25" customHeight="1">
      <c r="A7" s="77"/>
      <c r="C7" s="534" t="s">
        <v>126</v>
      </c>
      <c r="D7" s="535">
        <v>23.1609992980957</v>
      </c>
      <c r="E7" s="765">
        <v>23.058000564575199</v>
      </c>
      <c r="F7" s="536">
        <f>IF(E7=0,"",(D7-E7)/E7)</f>
        <v>4.4669412350844167E-3</v>
      </c>
      <c r="G7" s="137"/>
      <c r="H7" s="268"/>
    </row>
    <row r="8" spans="1:38" ht="11.25" customHeight="1">
      <c r="A8" s="77"/>
      <c r="C8" s="537" t="s">
        <v>127</v>
      </c>
      <c r="D8" s="538">
        <v>109.54199981689401</v>
      </c>
      <c r="E8" s="539">
        <v>85.398002624511705</v>
      </c>
      <c r="F8" s="540">
        <f t="shared" ref="F8:F20" si="0">IF(E8=0,"",(D8-E8)/E8)</f>
        <v>0.28272320722232291</v>
      </c>
      <c r="G8" s="137"/>
      <c r="H8" s="268"/>
    </row>
    <row r="9" spans="1:38" ht="11.25" customHeight="1">
      <c r="A9" s="77"/>
      <c r="C9" s="541" t="s">
        <v>128</v>
      </c>
      <c r="D9" s="542">
        <v>58.6640014648437</v>
      </c>
      <c r="E9" s="543">
        <v>57.792999267578097</v>
      </c>
      <c r="F9" s="544">
        <f t="shared" si="0"/>
        <v>1.5071067573996568E-2</v>
      </c>
      <c r="G9" s="137"/>
      <c r="H9" s="268"/>
      <c r="M9" s="318" t="s">
        <v>258</v>
      </c>
      <c r="N9" s="319"/>
      <c r="O9" s="319"/>
      <c r="P9" s="319"/>
      <c r="Q9" s="319"/>
      <c r="R9" s="319"/>
      <c r="S9" s="319"/>
      <c r="T9" s="319"/>
      <c r="U9" s="319"/>
      <c r="V9" s="319"/>
      <c r="W9" s="319"/>
      <c r="X9" s="319"/>
      <c r="Y9" s="319"/>
      <c r="Z9" s="319"/>
      <c r="AA9" s="319"/>
      <c r="AB9" s="319"/>
      <c r="AC9" s="319"/>
      <c r="AD9" s="319"/>
      <c r="AE9" s="319"/>
      <c r="AF9" s="216"/>
      <c r="AG9" s="216"/>
      <c r="AH9" s="216"/>
      <c r="AI9" s="216"/>
      <c r="AJ9" s="216"/>
      <c r="AK9" s="216"/>
      <c r="AL9" s="216"/>
    </row>
    <row r="10" spans="1:38" ht="11.25" customHeight="1">
      <c r="A10" s="77"/>
      <c r="C10" s="537" t="s">
        <v>129</v>
      </c>
      <c r="D10" s="538">
        <v>33.581001281738203</v>
      </c>
      <c r="E10" s="539">
        <v>50.472000122070298</v>
      </c>
      <c r="F10" s="540">
        <f t="shared" si="0"/>
        <v>-0.33466077824298529</v>
      </c>
      <c r="G10" s="137"/>
      <c r="H10" s="268"/>
      <c r="M10" s="318" t="s">
        <v>259</v>
      </c>
      <c r="N10" s="319"/>
      <c r="O10" s="319"/>
      <c r="P10" s="319"/>
      <c r="Q10" s="319"/>
      <c r="R10" s="319"/>
      <c r="S10" s="319"/>
      <c r="T10" s="319"/>
      <c r="AD10" s="319"/>
      <c r="AE10" s="319"/>
      <c r="AF10" s="216"/>
      <c r="AG10" s="216"/>
      <c r="AH10" s="216"/>
      <c r="AI10" s="216"/>
      <c r="AJ10" s="216"/>
      <c r="AK10" s="216"/>
      <c r="AL10" s="216"/>
    </row>
    <row r="11" spans="1:38" ht="11.25" customHeight="1">
      <c r="A11" s="77"/>
      <c r="C11" s="541" t="s">
        <v>130</v>
      </c>
      <c r="D11" s="542">
        <v>12.611000061035099</v>
      </c>
      <c r="E11" s="543">
        <v>13.789999961853001</v>
      </c>
      <c r="F11" s="544">
        <f>IF(E11=0,"",(D11-E11)/E11)</f>
        <v>-8.5496729809959746E-2</v>
      </c>
      <c r="G11" s="137"/>
      <c r="H11" s="268"/>
      <c r="M11" s="319"/>
      <c r="N11" s="320">
        <v>2017</v>
      </c>
      <c r="O11" s="320">
        <v>2018</v>
      </c>
      <c r="P11" s="320">
        <v>2019</v>
      </c>
      <c r="Q11" s="320">
        <v>2020</v>
      </c>
      <c r="R11" s="319"/>
      <c r="S11" s="319"/>
      <c r="T11" s="319"/>
      <c r="AD11" s="319"/>
      <c r="AE11" s="319"/>
      <c r="AF11" s="216"/>
      <c r="AG11" s="216"/>
      <c r="AH11" s="216"/>
      <c r="AI11" s="216"/>
      <c r="AJ11" s="216"/>
      <c r="AK11" s="216"/>
      <c r="AL11" s="216"/>
    </row>
    <row r="12" spans="1:38" ht="11.25" customHeight="1">
      <c r="A12" s="77"/>
      <c r="C12" s="537" t="s">
        <v>131</v>
      </c>
      <c r="D12" s="538">
        <v>7.4369997978210396</v>
      </c>
      <c r="E12" s="539">
        <v>4.9250001907348597</v>
      </c>
      <c r="F12" s="540">
        <f t="shared" si="0"/>
        <v>0.51005066188867787</v>
      </c>
      <c r="G12" s="137"/>
      <c r="H12" s="268"/>
      <c r="M12" s="321">
        <v>1</v>
      </c>
      <c r="N12" s="322">
        <v>93.1</v>
      </c>
      <c r="O12" s="322">
        <v>104.46</v>
      </c>
      <c r="P12" s="322">
        <v>117.2900009</v>
      </c>
      <c r="Q12" s="557">
        <v>117.290000915527</v>
      </c>
      <c r="R12" s="319"/>
      <c r="S12" s="319"/>
      <c r="T12" s="319"/>
      <c r="AD12" s="319"/>
      <c r="AE12" s="319"/>
      <c r="AF12" s="216"/>
      <c r="AG12" s="216"/>
      <c r="AH12" s="216"/>
      <c r="AI12" s="216"/>
      <c r="AJ12" s="216"/>
      <c r="AK12" s="216"/>
      <c r="AL12" s="216"/>
    </row>
    <row r="13" spans="1:38" ht="11.25" customHeight="1">
      <c r="A13" s="77"/>
      <c r="C13" s="541" t="s">
        <v>132</v>
      </c>
      <c r="D13" s="542">
        <v>52.970001220703097</v>
      </c>
      <c r="E13" s="543">
        <v>39.099998474121001</v>
      </c>
      <c r="F13" s="544">
        <f t="shared" si="0"/>
        <v>0.35473154188898992</v>
      </c>
      <c r="G13" s="137"/>
      <c r="H13" s="268"/>
      <c r="M13" s="321">
        <v>2</v>
      </c>
      <c r="N13" s="322">
        <v>93.1</v>
      </c>
      <c r="O13" s="322">
        <v>103.4720001</v>
      </c>
      <c r="P13" s="322">
        <v>116.0110016</v>
      </c>
      <c r="Q13" s="557">
        <v>146.93600459999999</v>
      </c>
      <c r="R13" s="319"/>
      <c r="S13" s="319"/>
      <c r="T13" s="319"/>
      <c r="AD13" s="319"/>
      <c r="AE13" s="319"/>
      <c r="AF13" s="216"/>
      <c r="AG13" s="216"/>
      <c r="AH13" s="216"/>
      <c r="AI13" s="216"/>
      <c r="AJ13" s="216"/>
      <c r="AK13" s="216"/>
      <c r="AL13" s="216"/>
    </row>
    <row r="14" spans="1:38" ht="11.25" customHeight="1">
      <c r="A14" s="77"/>
      <c r="C14" s="537" t="s">
        <v>133</v>
      </c>
      <c r="D14" s="538">
        <v>245.33099365234301</v>
      </c>
      <c r="E14" s="539">
        <v>221.427001953125</v>
      </c>
      <c r="F14" s="540">
        <f t="shared" si="0"/>
        <v>0.10795427607459712</v>
      </c>
      <c r="G14" s="137"/>
      <c r="H14" s="268"/>
      <c r="M14" s="321">
        <v>3</v>
      </c>
      <c r="N14" s="322">
        <v>98.74</v>
      </c>
      <c r="O14" s="322">
        <v>106.08699799999999</v>
      </c>
      <c r="P14" s="322">
        <v>117.6</v>
      </c>
      <c r="Q14" s="557">
        <v>149.93200680000001</v>
      </c>
      <c r="R14" s="319"/>
      <c r="S14" s="319"/>
      <c r="T14" s="319"/>
      <c r="AD14" s="319"/>
      <c r="AE14" s="319"/>
      <c r="AF14" s="216"/>
      <c r="AG14" s="216"/>
      <c r="AH14" s="216"/>
      <c r="AI14" s="216"/>
      <c r="AJ14" s="216"/>
      <c r="AK14" s="216"/>
      <c r="AL14" s="216"/>
    </row>
    <row r="15" spans="1:38" ht="11.25" customHeight="1">
      <c r="A15" s="77"/>
      <c r="C15" s="541" t="s">
        <v>134</v>
      </c>
      <c r="D15" s="542">
        <v>8.1879997253417898</v>
      </c>
      <c r="E15" s="543">
        <v>7.8709998130798304</v>
      </c>
      <c r="F15" s="544">
        <f t="shared" si="0"/>
        <v>4.0274414914249754E-2</v>
      </c>
      <c r="G15" s="137"/>
      <c r="H15" s="268"/>
      <c r="M15" s="321">
        <v>4</v>
      </c>
      <c r="N15" s="322">
        <v>98.74</v>
      </c>
      <c r="O15" s="322">
        <v>112.7200012</v>
      </c>
      <c r="P15" s="322">
        <v>128.32000729999999</v>
      </c>
      <c r="Q15" s="557">
        <v>152.6190033</v>
      </c>
      <c r="R15" s="319"/>
      <c r="S15" s="319"/>
      <c r="T15" s="319"/>
      <c r="AD15" s="319"/>
      <c r="AE15" s="319"/>
      <c r="AF15" s="216"/>
      <c r="AG15" s="216"/>
      <c r="AH15" s="216"/>
      <c r="AI15" s="216"/>
      <c r="AJ15" s="216"/>
      <c r="AK15" s="216"/>
      <c r="AL15" s="216"/>
    </row>
    <row r="16" spans="1:38" ht="11.25" customHeight="1">
      <c r="A16" s="77"/>
      <c r="C16" s="537" t="s">
        <v>135</v>
      </c>
      <c r="D16" s="538">
        <v>83.753997802734304</v>
      </c>
      <c r="E16" s="539">
        <v>90.838996887207003</v>
      </c>
      <c r="F16" s="540">
        <f t="shared" si="0"/>
        <v>-7.7995126842604873E-2</v>
      </c>
      <c r="G16" s="137"/>
      <c r="H16" s="268"/>
      <c r="M16" s="321">
        <v>5</v>
      </c>
      <c r="N16" s="322">
        <v>125.15</v>
      </c>
      <c r="O16" s="322">
        <v>122.3190002</v>
      </c>
      <c r="P16" s="322">
        <v>139.2400055</v>
      </c>
      <c r="Q16" s="557">
        <v>162.19599909999999</v>
      </c>
      <c r="R16" s="319"/>
      <c r="S16" s="319"/>
      <c r="T16" s="319"/>
      <c r="AD16" s="319"/>
      <c r="AE16" s="319"/>
      <c r="AF16" s="216"/>
      <c r="AG16" s="216"/>
      <c r="AH16" s="216"/>
      <c r="AI16" s="216"/>
      <c r="AJ16" s="216"/>
      <c r="AK16" s="216"/>
      <c r="AL16" s="216"/>
    </row>
    <row r="17" spans="1:38" ht="11.25" customHeight="1">
      <c r="A17" s="77"/>
      <c r="C17" s="541" t="s">
        <v>136</v>
      </c>
      <c r="D17" s="542">
        <v>37.409999847412102</v>
      </c>
      <c r="E17" s="543">
        <v>35.900001525878899</v>
      </c>
      <c r="F17" s="544">
        <f t="shared" si="0"/>
        <v>4.2061232795344163E-2</v>
      </c>
      <c r="G17" s="137"/>
      <c r="H17" s="268"/>
      <c r="M17" s="321">
        <v>6</v>
      </c>
      <c r="N17" s="322">
        <v>125.15</v>
      </c>
      <c r="O17" s="322">
        <v>126.1559982</v>
      </c>
      <c r="P17" s="322">
        <v>150.94</v>
      </c>
      <c r="Q17" s="557">
        <v>168.51100158691401</v>
      </c>
      <c r="R17" s="319"/>
      <c r="S17" s="319"/>
      <c r="T17" s="319"/>
      <c r="AD17" s="319"/>
      <c r="AE17" s="319"/>
      <c r="AF17" s="216"/>
      <c r="AG17" s="216"/>
      <c r="AH17" s="216"/>
      <c r="AI17" s="216"/>
      <c r="AJ17" s="216"/>
      <c r="AK17" s="216"/>
      <c r="AL17" s="216"/>
    </row>
    <row r="18" spans="1:38" ht="11.25" customHeight="1">
      <c r="A18" s="77"/>
      <c r="C18" s="537" t="s">
        <v>137</v>
      </c>
      <c r="D18" s="538">
        <v>0.423000007867813</v>
      </c>
      <c r="E18" s="539">
        <v>2.7669999599456698</v>
      </c>
      <c r="F18" s="540">
        <f t="shared" si="0"/>
        <v>-0.84712684713008857</v>
      </c>
      <c r="G18" s="137"/>
      <c r="H18" s="268"/>
      <c r="M18" s="321">
        <v>7</v>
      </c>
      <c r="N18" s="322">
        <v>142.99</v>
      </c>
      <c r="O18" s="322">
        <v>142.9900055</v>
      </c>
      <c r="P18" s="322">
        <v>162.4909973</v>
      </c>
      <c r="Q18" s="557">
        <v>175.46800229999999</v>
      </c>
      <c r="R18" s="319"/>
      <c r="S18" s="319"/>
      <c r="T18" s="319"/>
      <c r="AD18" s="319"/>
      <c r="AE18" s="319"/>
      <c r="AF18" s="216"/>
      <c r="AG18" s="216"/>
      <c r="AH18" s="216"/>
      <c r="AI18" s="216"/>
      <c r="AJ18" s="216"/>
      <c r="AK18" s="216"/>
      <c r="AL18" s="216"/>
    </row>
    <row r="19" spans="1:38" ht="12.75" customHeight="1">
      <c r="A19" s="77"/>
      <c r="C19" s="541" t="s">
        <v>138</v>
      </c>
      <c r="D19" s="542">
        <v>9.2639999389648402</v>
      </c>
      <c r="E19" s="543">
        <v>10.0519199371337</v>
      </c>
      <c r="F19" s="544">
        <f t="shared" si="0"/>
        <v>-7.838502525852141E-2</v>
      </c>
      <c r="G19" s="137"/>
      <c r="H19" s="268"/>
      <c r="M19" s="321">
        <v>8</v>
      </c>
      <c r="N19" s="322">
        <v>142.99</v>
      </c>
      <c r="O19" s="322">
        <v>134.13600159999999</v>
      </c>
      <c r="P19" s="322">
        <v>169.03700259999999</v>
      </c>
      <c r="Q19" s="557">
        <v>188.82800292968699</v>
      </c>
      <c r="R19" s="319"/>
      <c r="S19" s="319"/>
      <c r="T19" s="319"/>
      <c r="AD19" s="319"/>
      <c r="AE19" s="319"/>
      <c r="AF19" s="216"/>
      <c r="AG19" s="216"/>
      <c r="AH19" s="216"/>
      <c r="AI19" s="216"/>
      <c r="AJ19" s="216"/>
      <c r="AK19" s="216"/>
      <c r="AL19" s="216"/>
    </row>
    <row r="20" spans="1:38" ht="13.5" customHeight="1">
      <c r="A20" s="77"/>
      <c r="C20" s="537" t="s">
        <v>139</v>
      </c>
      <c r="D20" s="538">
        <v>3.66100001335144</v>
      </c>
      <c r="E20" s="539">
        <v>9.4375</v>
      </c>
      <c r="F20" s="540">
        <f t="shared" si="0"/>
        <v>-0.61207946878395336</v>
      </c>
      <c r="G20" s="137"/>
      <c r="H20" s="268"/>
      <c r="M20" s="321">
        <v>9</v>
      </c>
      <c r="N20" s="322">
        <v>159.53</v>
      </c>
      <c r="O20" s="322">
        <v>153.34500120000001</v>
      </c>
      <c r="P20" s="322">
        <v>182.64300539999999</v>
      </c>
      <c r="Q20" s="557">
        <v>196.47700499999999</v>
      </c>
      <c r="R20" s="319"/>
      <c r="S20" s="319"/>
      <c r="T20" s="319"/>
      <c r="AD20" s="319"/>
      <c r="AE20" s="319"/>
      <c r="AF20" s="216"/>
      <c r="AG20" s="216"/>
      <c r="AH20" s="216"/>
      <c r="AI20" s="216"/>
      <c r="AJ20" s="216"/>
      <c r="AK20" s="216"/>
      <c r="AL20" s="216"/>
    </row>
    <row r="21" spans="1:38" ht="11.25" customHeight="1">
      <c r="A21" s="77"/>
      <c r="C21" s="541" t="s">
        <v>140</v>
      </c>
      <c r="D21" s="542">
        <v>2.7239999771118102</v>
      </c>
      <c r="E21" s="543">
        <v>2.2160000801086399</v>
      </c>
      <c r="F21" s="544">
        <f t="shared" ref="F21:F27" si="1">IF(E21=0,"",(D21-E21)/E21)</f>
        <v>0.22924182249048722</v>
      </c>
      <c r="M21" s="321">
        <v>10</v>
      </c>
      <c r="N21" s="322">
        <v>159.53</v>
      </c>
      <c r="O21" s="322">
        <v>153.0590057</v>
      </c>
      <c r="P21" s="322">
        <v>190.99600219999999</v>
      </c>
      <c r="Q21" s="557">
        <v>199.98199460000001</v>
      </c>
      <c r="R21" s="319"/>
      <c r="S21" s="319"/>
      <c r="T21" s="319"/>
      <c r="AD21" s="319"/>
      <c r="AE21" s="319"/>
      <c r="AF21" s="216"/>
      <c r="AG21" s="216"/>
      <c r="AH21" s="216"/>
      <c r="AI21" s="216"/>
      <c r="AJ21" s="216"/>
      <c r="AK21" s="216"/>
      <c r="AL21" s="216"/>
    </row>
    <row r="22" spans="1:38" ht="11.25" customHeight="1">
      <c r="A22" s="77"/>
      <c r="C22" s="537" t="s">
        <v>141</v>
      </c>
      <c r="D22" s="538">
        <v>1.1310000419616699</v>
      </c>
      <c r="E22" s="539">
        <v>0.38299998641014099</v>
      </c>
      <c r="F22" s="540">
        <f t="shared" si="1"/>
        <v>1.9530028253069502</v>
      </c>
      <c r="G22" s="137"/>
      <c r="H22" s="268"/>
      <c r="M22" s="321">
        <v>11</v>
      </c>
      <c r="N22" s="322">
        <v>184.94</v>
      </c>
      <c r="O22" s="322">
        <v>162.93200680000001</v>
      </c>
      <c r="P22" s="322">
        <v>200.89500427246</v>
      </c>
      <c r="Q22" s="362">
        <v>200.89500430000001</v>
      </c>
      <c r="AF22" s="269"/>
      <c r="AG22" s="269"/>
      <c r="AH22" s="269"/>
      <c r="AI22" s="269"/>
      <c r="AJ22" s="269"/>
      <c r="AK22" s="269"/>
      <c r="AL22" s="269"/>
    </row>
    <row r="23" spans="1:38" ht="11.25" customHeight="1">
      <c r="A23" s="77"/>
      <c r="C23" s="541" t="s">
        <v>417</v>
      </c>
      <c r="D23" s="542">
        <v>4.1189999580383301</v>
      </c>
      <c r="E23" s="543">
        <v>0.700999975204467</v>
      </c>
      <c r="F23" s="544">
        <f t="shared" si="1"/>
        <v>4.8758917314325219</v>
      </c>
      <c r="G23" s="137"/>
      <c r="H23" s="268"/>
      <c r="M23" s="321">
        <v>12</v>
      </c>
      <c r="N23" s="322">
        <v>184.94</v>
      </c>
      <c r="O23" s="322">
        <v>172.76199339999999</v>
      </c>
      <c r="P23" s="322">
        <v>209.09500120000001</v>
      </c>
      <c r="Q23" s="362">
        <v>210.61200000000002</v>
      </c>
      <c r="AF23" s="269"/>
      <c r="AG23" s="269"/>
      <c r="AH23" s="269"/>
      <c r="AI23" s="269"/>
      <c r="AJ23" s="269"/>
      <c r="AK23" s="269"/>
      <c r="AL23" s="269"/>
    </row>
    <row r="24" spans="1:38" ht="11.25" customHeight="1">
      <c r="A24" s="77"/>
      <c r="C24" s="537" t="s">
        <v>142</v>
      </c>
      <c r="D24" s="539">
        <v>135.75</v>
      </c>
      <c r="E24" s="539">
        <v>137.74000549316401</v>
      </c>
      <c r="F24" s="540">
        <f t="shared" si="1"/>
        <v>-1.444754910557027E-2</v>
      </c>
      <c r="G24" s="137"/>
      <c r="H24" s="268"/>
      <c r="M24" s="321">
        <v>13</v>
      </c>
      <c r="N24" s="322">
        <v>203.73</v>
      </c>
      <c r="O24" s="322">
        <v>182.13900760000001</v>
      </c>
      <c r="P24" s="322">
        <v>215.7310028</v>
      </c>
      <c r="Q24" s="362">
        <v>221.91900634765599</v>
      </c>
      <c r="AF24" s="269"/>
      <c r="AG24" s="269"/>
      <c r="AH24" s="269"/>
      <c r="AI24" s="269"/>
      <c r="AJ24" s="269"/>
      <c r="AK24" s="269"/>
      <c r="AL24" s="269"/>
    </row>
    <row r="25" spans="1:38" ht="11.25" customHeight="1">
      <c r="A25" s="77"/>
      <c r="C25" s="541" t="s">
        <v>143</v>
      </c>
      <c r="D25" s="543">
        <v>10.199999809265099</v>
      </c>
      <c r="E25" s="543">
        <v>13.1180000305175</v>
      </c>
      <c r="F25" s="544">
        <f t="shared" si="1"/>
        <v>-0.22244246184357469</v>
      </c>
      <c r="G25" s="137"/>
      <c r="H25" s="268"/>
      <c r="M25" s="321">
        <v>14</v>
      </c>
      <c r="N25" s="322">
        <v>203.73</v>
      </c>
      <c r="O25" s="322">
        <v>191.4750061</v>
      </c>
      <c r="P25" s="322">
        <v>219.1710052</v>
      </c>
      <c r="Q25" s="362">
        <v>223.19599909999999</v>
      </c>
      <c r="AF25" s="269"/>
      <c r="AG25" s="269"/>
      <c r="AH25" s="269"/>
      <c r="AI25" s="269"/>
      <c r="AJ25" s="269"/>
      <c r="AK25" s="269"/>
      <c r="AL25" s="269"/>
    </row>
    <row r="26" spans="1:38" ht="11.25" customHeight="1">
      <c r="A26" s="77"/>
      <c r="C26" s="537" t="s">
        <v>144</v>
      </c>
      <c r="D26" s="539">
        <v>22.427</v>
      </c>
      <c r="E26" s="539">
        <v>22.85</v>
      </c>
      <c r="F26" s="540">
        <f t="shared" si="1"/>
        <v>-1.8512035010940998E-2</v>
      </c>
      <c r="G26" s="137"/>
      <c r="H26" s="137"/>
      <c r="M26" s="321">
        <v>15</v>
      </c>
      <c r="N26" s="322">
        <v>203.73</v>
      </c>
      <c r="O26" s="322">
        <v>198.43899540000001</v>
      </c>
      <c r="P26" s="322">
        <v>220.17399599999999</v>
      </c>
      <c r="Q26" s="362">
        <v>225.0500031</v>
      </c>
      <c r="AF26" s="269"/>
      <c r="AG26" s="269"/>
      <c r="AH26" s="269"/>
      <c r="AI26" s="269"/>
      <c r="AJ26" s="269"/>
      <c r="AK26" s="269"/>
      <c r="AL26" s="269"/>
    </row>
    <row r="27" spans="1:38" ht="11.25" customHeight="1">
      <c r="A27" s="77"/>
      <c r="C27" s="541" t="s">
        <v>145</v>
      </c>
      <c r="D27" s="542">
        <v>79.625999450683494</v>
      </c>
      <c r="E27" s="543">
        <v>280.14300537109301</v>
      </c>
      <c r="F27" s="544">
        <f t="shared" si="1"/>
        <v>-0.71576659804442933</v>
      </c>
      <c r="G27" s="137"/>
      <c r="H27" s="137"/>
      <c r="M27" s="321">
        <v>16</v>
      </c>
      <c r="N27" s="322">
        <v>222.8</v>
      </c>
      <c r="O27" s="322">
        <v>201.52999879999999</v>
      </c>
      <c r="P27" s="322">
        <v>220.3150024</v>
      </c>
      <c r="Q27" s="362">
        <v>224.84800720000001</v>
      </c>
      <c r="AF27" s="269"/>
      <c r="AG27" s="269"/>
      <c r="AH27" s="269"/>
      <c r="AI27" s="269"/>
      <c r="AJ27" s="269"/>
      <c r="AK27" s="269"/>
      <c r="AL27" s="269"/>
    </row>
    <row r="28" spans="1:38" ht="26.25" customHeight="1">
      <c r="A28" s="77"/>
      <c r="C28" s="958" t="str">
        <f>"Cuadro N°9: Volumen útil de los principales embalses y lagunas del SEIN al término del periodo mensual ("&amp;'1. Resumen'!Q7&amp;" de "&amp;'1. Resumen'!Q4&amp;") "</f>
        <v xml:space="preserve">Cuadro N°9: Volumen útil de los principales embalses y lagunas del SEIN al término del periodo mensual (31 de octubre) </v>
      </c>
      <c r="D28" s="958"/>
      <c r="E28" s="958"/>
      <c r="F28" s="958"/>
      <c r="G28" s="137"/>
      <c r="H28" s="137"/>
      <c r="M28" s="321">
        <v>17</v>
      </c>
      <c r="N28" s="322">
        <v>222.8</v>
      </c>
      <c r="O28" s="322">
        <v>206.03700259999999</v>
      </c>
      <c r="P28" s="322">
        <v>220.56</v>
      </c>
      <c r="Q28" s="362">
        <v>225.27900695800699</v>
      </c>
      <c r="AF28" s="269"/>
      <c r="AG28" s="269"/>
      <c r="AH28" s="269"/>
      <c r="AI28" s="269"/>
      <c r="AJ28" s="269"/>
      <c r="AK28" s="269"/>
      <c r="AL28" s="269"/>
    </row>
    <row r="29" spans="1:38" ht="12" customHeight="1">
      <c r="A29" s="75"/>
      <c r="G29" s="137"/>
      <c r="H29" s="137"/>
      <c r="I29" s="167"/>
      <c r="J29" s="323"/>
      <c r="M29" s="321">
        <v>18</v>
      </c>
      <c r="N29" s="322">
        <v>225.58</v>
      </c>
      <c r="O29" s="322">
        <v>213.67399599999999</v>
      </c>
      <c r="P29" s="322">
        <v>224.15199279999999</v>
      </c>
      <c r="Q29" s="725">
        <v>226.44200129999999</v>
      </c>
      <c r="AF29" s="269"/>
      <c r="AG29" s="269"/>
      <c r="AH29" s="269"/>
      <c r="AI29" s="269"/>
      <c r="AJ29" s="269"/>
      <c r="AK29" s="269"/>
      <c r="AL29" s="269"/>
    </row>
    <row r="30" spans="1:38" ht="11.25" customHeight="1">
      <c r="A30" s="75"/>
      <c r="B30" s="173"/>
      <c r="C30" s="173"/>
      <c r="D30" s="173"/>
      <c r="E30" s="173"/>
      <c r="F30" s="171"/>
      <c r="G30" s="137"/>
      <c r="H30" s="137"/>
      <c r="M30" s="321">
        <v>19</v>
      </c>
      <c r="N30" s="322">
        <v>225.58</v>
      </c>
      <c r="O30" s="322">
        <v>216.75700380000001</v>
      </c>
      <c r="P30" s="322">
        <v>224.378006</v>
      </c>
      <c r="Q30" s="725">
        <v>227.14199830000001</v>
      </c>
      <c r="AF30" s="269"/>
      <c r="AG30" s="269"/>
      <c r="AH30" s="269"/>
      <c r="AI30" s="269"/>
      <c r="AJ30" s="269"/>
      <c r="AK30" s="269"/>
      <c r="AL30" s="269"/>
    </row>
    <row r="31" spans="1:38" ht="11.25" customHeight="1">
      <c r="A31" s="75"/>
      <c r="B31" s="173"/>
      <c r="C31" s="173"/>
      <c r="D31" s="173"/>
      <c r="E31" s="173"/>
      <c r="F31" s="171"/>
      <c r="G31" s="171"/>
      <c r="H31" s="171"/>
      <c r="I31" s="167"/>
      <c r="J31" s="323"/>
      <c r="M31" s="321">
        <v>20</v>
      </c>
      <c r="N31" s="322">
        <v>226.61</v>
      </c>
      <c r="O31" s="322">
        <v>217.29400630000001</v>
      </c>
      <c r="P31" s="322">
        <v>224.60401920000001</v>
      </c>
      <c r="Q31" s="725">
        <v>227.625</v>
      </c>
      <c r="AF31" s="269"/>
      <c r="AG31" s="269"/>
      <c r="AH31" s="269"/>
      <c r="AI31" s="269"/>
      <c r="AJ31" s="269"/>
      <c r="AK31" s="269"/>
      <c r="AL31" s="269"/>
    </row>
    <row r="32" spans="1:38" ht="13.5" customHeight="1">
      <c r="A32" s="957" t="s">
        <v>440</v>
      </c>
      <c r="B32" s="957"/>
      <c r="C32" s="957"/>
      <c r="D32" s="957"/>
      <c r="E32" s="957"/>
      <c r="F32" s="957"/>
      <c r="G32" s="957"/>
      <c r="H32" s="957"/>
      <c r="I32" s="56"/>
      <c r="J32" s="323"/>
      <c r="M32" s="321">
        <v>21</v>
      </c>
      <c r="N32" s="322">
        <v>226.61</v>
      </c>
      <c r="O32" s="322">
        <v>218.3190002</v>
      </c>
      <c r="P32" s="322">
        <v>223.4909973</v>
      </c>
      <c r="Q32" s="725">
        <v>227.75800000000001</v>
      </c>
      <c r="AF32" s="269"/>
      <c r="AG32" s="269"/>
      <c r="AH32" s="269"/>
      <c r="AI32" s="269"/>
      <c r="AJ32" s="269"/>
      <c r="AK32" s="269"/>
      <c r="AL32" s="269"/>
    </row>
    <row r="33" spans="1:38" ht="11.25" customHeight="1">
      <c r="A33" s="75"/>
      <c r="B33" s="82"/>
      <c r="C33" s="82"/>
      <c r="D33" s="82"/>
      <c r="E33" s="82"/>
      <c r="F33" s="82"/>
      <c r="G33" s="82"/>
      <c r="H33" s="82"/>
      <c r="I33" s="56"/>
      <c r="J33" s="323"/>
      <c r="M33" s="321">
        <v>22</v>
      </c>
      <c r="N33" s="322">
        <v>227.42</v>
      </c>
      <c r="O33" s="322">
        <v>218.79899599999999</v>
      </c>
      <c r="P33" s="322">
        <v>222.62600710000001</v>
      </c>
      <c r="Q33" s="725">
        <v>226.41700739999999</v>
      </c>
      <c r="AF33" s="269"/>
      <c r="AG33" s="269"/>
      <c r="AH33" s="269"/>
      <c r="AI33" s="269"/>
      <c r="AJ33" s="269"/>
      <c r="AK33" s="269"/>
      <c r="AL33" s="269"/>
    </row>
    <row r="34" spans="1:38" ht="11.25" customHeight="1">
      <c r="A34" s="75"/>
      <c r="B34" s="82"/>
      <c r="C34" s="82"/>
      <c r="D34" s="82"/>
      <c r="E34" s="82"/>
      <c r="F34" s="82"/>
      <c r="G34" s="82"/>
      <c r="H34" s="82"/>
      <c r="I34" s="56"/>
      <c r="J34" s="323"/>
      <c r="M34" s="321">
        <v>23</v>
      </c>
      <c r="N34" s="322">
        <v>227.42</v>
      </c>
      <c r="O34" s="322">
        <v>217.8880005</v>
      </c>
      <c r="P34" s="322">
        <v>221.62399289999999</v>
      </c>
      <c r="Q34" s="725">
        <v>224.4589996</v>
      </c>
      <c r="AF34" s="269"/>
      <c r="AG34" s="269"/>
      <c r="AH34" s="269"/>
      <c r="AI34" s="269"/>
      <c r="AJ34" s="269"/>
      <c r="AK34" s="269"/>
      <c r="AL34" s="269"/>
    </row>
    <row r="35" spans="1:38" ht="11.25" customHeight="1">
      <c r="A35" s="75"/>
      <c r="B35" s="82"/>
      <c r="C35" s="82"/>
      <c r="D35" s="82"/>
      <c r="E35" s="82"/>
      <c r="F35" s="82"/>
      <c r="G35" s="82"/>
      <c r="H35" s="82"/>
      <c r="I35" s="168"/>
      <c r="J35" s="323"/>
      <c r="M35" s="321">
        <v>24</v>
      </c>
      <c r="N35" s="322">
        <v>227.45</v>
      </c>
      <c r="O35" s="322">
        <v>216.04899599999999</v>
      </c>
      <c r="P35" s="322">
        <v>218.3840027</v>
      </c>
      <c r="Q35" s="725">
        <v>220.634994506835</v>
      </c>
      <c r="AF35" s="269"/>
      <c r="AG35" s="269"/>
      <c r="AH35" s="269"/>
      <c r="AI35" s="269"/>
      <c r="AJ35" s="269"/>
      <c r="AK35" s="269"/>
      <c r="AL35" s="269"/>
    </row>
    <row r="36" spans="1:38" ht="11.25" customHeight="1">
      <c r="A36" s="75"/>
      <c r="B36" s="82"/>
      <c r="C36" s="82"/>
      <c r="D36" s="82"/>
      <c r="E36" s="82"/>
      <c r="F36" s="82"/>
      <c r="G36" s="82"/>
      <c r="H36" s="82"/>
      <c r="I36" s="56"/>
      <c r="J36" s="323"/>
      <c r="M36" s="321">
        <v>25</v>
      </c>
      <c r="N36" s="322">
        <v>227.45</v>
      </c>
      <c r="O36" s="322">
        <v>212.24600219999999</v>
      </c>
      <c r="P36" s="322">
        <v>215.08099369999999</v>
      </c>
      <c r="Q36" s="725">
        <v>218.28599550000001</v>
      </c>
      <c r="AF36" s="269"/>
      <c r="AG36" s="269"/>
      <c r="AH36" s="269"/>
      <c r="AI36" s="269"/>
      <c r="AJ36" s="269"/>
      <c r="AK36" s="269"/>
      <c r="AL36" s="269"/>
    </row>
    <row r="37" spans="1:38" ht="11.25" customHeight="1">
      <c r="A37" s="75"/>
      <c r="B37" s="82"/>
      <c r="C37" s="82"/>
      <c r="D37" s="82"/>
      <c r="E37" s="82"/>
      <c r="F37" s="82"/>
      <c r="G37" s="82"/>
      <c r="H37" s="82"/>
      <c r="I37" s="56"/>
      <c r="J37" s="324"/>
      <c r="M37" s="321">
        <v>26</v>
      </c>
      <c r="N37" s="322">
        <v>225.56</v>
      </c>
      <c r="O37" s="322">
        <v>210.22099299999999</v>
      </c>
      <c r="P37" s="322">
        <v>210.41900630000001</v>
      </c>
      <c r="Q37" s="725">
        <v>214.90499879999999</v>
      </c>
      <c r="AF37" s="269"/>
      <c r="AG37" s="269"/>
      <c r="AH37" s="269"/>
      <c r="AI37" s="269"/>
      <c r="AJ37" s="269"/>
      <c r="AK37" s="269"/>
      <c r="AL37" s="269"/>
    </row>
    <row r="38" spans="1:38" ht="11.25" customHeight="1">
      <c r="A38" s="75"/>
      <c r="B38" s="82"/>
      <c r="C38" s="82"/>
      <c r="D38" s="82"/>
      <c r="E38" s="82"/>
      <c r="F38" s="82"/>
      <c r="G38" s="82"/>
      <c r="H38" s="82"/>
      <c r="I38" s="56"/>
      <c r="J38" s="324"/>
      <c r="M38" s="321">
        <v>27</v>
      </c>
      <c r="N38" s="322">
        <v>225.56</v>
      </c>
      <c r="O38" s="322">
        <v>209.85200499999999</v>
      </c>
      <c r="P38" s="322">
        <v>204.23</v>
      </c>
      <c r="Q38" s="725">
        <v>210.91799926757801</v>
      </c>
      <c r="AF38" s="269"/>
      <c r="AG38" s="269"/>
      <c r="AH38" s="269"/>
      <c r="AI38" s="269"/>
      <c r="AJ38" s="269"/>
      <c r="AK38" s="269"/>
      <c r="AL38" s="269"/>
    </row>
    <row r="39" spans="1:38" ht="11.25" customHeight="1">
      <c r="A39" s="75"/>
      <c r="B39" s="82"/>
      <c r="C39" s="82"/>
      <c r="D39" s="82"/>
      <c r="E39" s="82"/>
      <c r="F39" s="82"/>
      <c r="G39" s="82"/>
      <c r="H39" s="82"/>
      <c r="I39" s="56"/>
      <c r="J39" s="325"/>
      <c r="M39" s="321">
        <v>28</v>
      </c>
      <c r="N39" s="322">
        <v>225.56</v>
      </c>
      <c r="O39" s="326">
        <v>203.92900090000001</v>
      </c>
      <c r="P39" s="326">
        <v>201.1309967</v>
      </c>
      <c r="Q39" s="725">
        <v>207.96099849999999</v>
      </c>
      <c r="AF39" s="269"/>
      <c r="AG39" s="269"/>
      <c r="AH39" s="269"/>
      <c r="AI39" s="269"/>
      <c r="AJ39" s="269"/>
      <c r="AK39" s="269"/>
      <c r="AL39" s="269"/>
    </row>
    <row r="40" spans="1:38" ht="11.25" customHeight="1">
      <c r="A40" s="75"/>
      <c r="B40" s="82"/>
      <c r="C40" s="82"/>
      <c r="D40" s="82"/>
      <c r="E40" s="82"/>
      <c r="F40" s="82"/>
      <c r="G40" s="82"/>
      <c r="H40" s="82"/>
      <c r="I40" s="56"/>
      <c r="J40" s="325"/>
      <c r="M40" s="321">
        <v>29</v>
      </c>
      <c r="N40" s="322">
        <v>222.04</v>
      </c>
      <c r="O40" s="322">
        <v>200.56300350000001</v>
      </c>
      <c r="P40" s="322">
        <v>196.16000366210901</v>
      </c>
      <c r="Q40" s="725">
        <v>205.66700739999999</v>
      </c>
      <c r="AF40" s="269"/>
      <c r="AG40" s="269"/>
      <c r="AH40" s="269"/>
      <c r="AI40" s="269"/>
      <c r="AJ40" s="269"/>
      <c r="AK40" s="269"/>
      <c r="AL40" s="269"/>
    </row>
    <row r="41" spans="1:38" ht="11.25" customHeight="1">
      <c r="A41" s="75"/>
      <c r="B41" s="82"/>
      <c r="C41" s="82"/>
      <c r="D41" s="82"/>
      <c r="E41" s="82"/>
      <c r="F41" s="82"/>
      <c r="G41" s="82"/>
      <c r="H41" s="82"/>
      <c r="I41" s="56"/>
      <c r="J41" s="325"/>
      <c r="M41" s="321">
        <v>30</v>
      </c>
      <c r="N41" s="322">
        <v>222.04</v>
      </c>
      <c r="O41" s="322">
        <v>194.94900509999999</v>
      </c>
      <c r="P41" s="322">
        <v>193.86</v>
      </c>
      <c r="Q41" s="725">
        <v>197.3999939</v>
      </c>
      <c r="AF41" s="269"/>
      <c r="AG41" s="269"/>
      <c r="AH41" s="269"/>
      <c r="AI41" s="269"/>
      <c r="AJ41" s="269"/>
      <c r="AK41" s="269"/>
      <c r="AL41" s="269"/>
    </row>
    <row r="42" spans="1:38" ht="11.25" customHeight="1">
      <c r="A42" s="75"/>
      <c r="B42" s="82"/>
      <c r="C42" s="82"/>
      <c r="D42" s="82"/>
      <c r="E42" s="82"/>
      <c r="F42" s="82"/>
      <c r="G42" s="82"/>
      <c r="H42" s="82"/>
      <c r="I42" s="168"/>
      <c r="J42" s="324"/>
      <c r="M42" s="321">
        <v>31</v>
      </c>
      <c r="N42" s="322">
        <v>213.13</v>
      </c>
      <c r="O42" s="322">
        <v>188.386</v>
      </c>
      <c r="P42" s="322">
        <v>186.24800110000001</v>
      </c>
      <c r="Q42" s="725">
        <v>194.98199460000001</v>
      </c>
      <c r="AF42" s="269"/>
      <c r="AG42" s="269"/>
      <c r="AH42" s="269"/>
      <c r="AI42" s="269"/>
      <c r="AJ42" s="269"/>
      <c r="AK42" s="269"/>
      <c r="AL42" s="269"/>
    </row>
    <row r="43" spans="1:38" ht="11.25" customHeight="1">
      <c r="A43" s="75"/>
      <c r="B43" s="82"/>
      <c r="C43" s="82"/>
      <c r="D43" s="82"/>
      <c r="E43" s="82"/>
      <c r="F43" s="82"/>
      <c r="G43" s="82"/>
      <c r="H43" s="82"/>
      <c r="I43" s="56"/>
      <c r="J43" s="324"/>
      <c r="M43" s="321">
        <v>32</v>
      </c>
      <c r="N43" s="322">
        <v>213.13</v>
      </c>
      <c r="O43" s="322">
        <v>184.72900390000001</v>
      </c>
      <c r="P43" s="322">
        <v>182.40899659999999</v>
      </c>
      <c r="Q43" s="307">
        <v>190.13999938964801</v>
      </c>
      <c r="AF43" s="269"/>
      <c r="AG43" s="269"/>
      <c r="AH43" s="269"/>
      <c r="AI43" s="269"/>
      <c r="AJ43" s="269"/>
      <c r="AK43" s="269"/>
      <c r="AL43" s="269"/>
    </row>
    <row r="44" spans="1:38" ht="11.25" customHeight="1">
      <c r="A44" s="75"/>
      <c r="B44" s="82"/>
      <c r="C44" s="82"/>
      <c r="D44" s="82"/>
      <c r="E44" s="82"/>
      <c r="F44" s="82"/>
      <c r="G44" s="82"/>
      <c r="H44" s="82"/>
      <c r="I44" s="56"/>
      <c r="J44" s="324"/>
      <c r="M44" s="321">
        <v>33</v>
      </c>
      <c r="N44" s="322">
        <v>205.97</v>
      </c>
      <c r="O44" s="322">
        <v>178.8809967</v>
      </c>
      <c r="P44" s="322">
        <v>178.6940002</v>
      </c>
      <c r="Q44" s="307">
        <v>186.17300420000001</v>
      </c>
      <c r="AF44" s="269"/>
      <c r="AG44" s="269"/>
      <c r="AH44" s="269"/>
      <c r="AI44" s="269"/>
      <c r="AJ44" s="269"/>
      <c r="AK44" s="269"/>
      <c r="AL44" s="269"/>
    </row>
    <row r="45" spans="1:38" ht="11.25" customHeight="1">
      <c r="A45" s="75"/>
      <c r="B45" s="82"/>
      <c r="C45" s="82"/>
      <c r="D45" s="82"/>
      <c r="E45" s="82"/>
      <c r="F45" s="82"/>
      <c r="G45" s="82"/>
      <c r="H45" s="82"/>
      <c r="I45" s="59"/>
      <c r="J45" s="327"/>
      <c r="M45" s="321">
        <v>34</v>
      </c>
      <c r="N45" s="322">
        <v>199.49</v>
      </c>
      <c r="O45" s="322">
        <v>176.98599239999999</v>
      </c>
      <c r="P45" s="322">
        <v>173.61300660000001</v>
      </c>
      <c r="Q45" s="307">
        <v>183.14799500000001</v>
      </c>
      <c r="AF45" s="269"/>
      <c r="AG45" s="269"/>
      <c r="AH45" s="269"/>
      <c r="AI45" s="269"/>
      <c r="AJ45" s="269"/>
      <c r="AK45" s="269"/>
      <c r="AL45" s="269"/>
    </row>
    <row r="46" spans="1:38" ht="11.25" customHeight="1">
      <c r="A46" s="75"/>
      <c r="B46" s="82"/>
      <c r="C46" s="82"/>
      <c r="D46" s="82"/>
      <c r="E46" s="82"/>
      <c r="F46" s="82"/>
      <c r="G46" s="82"/>
      <c r="H46" s="82"/>
      <c r="I46" s="59"/>
      <c r="J46" s="327"/>
      <c r="M46" s="321">
        <v>35</v>
      </c>
      <c r="N46" s="328">
        <v>193.4</v>
      </c>
      <c r="O46" s="322">
        <v>173.36999510000001</v>
      </c>
      <c r="P46" s="322">
        <v>170.0189972</v>
      </c>
      <c r="Q46" s="307">
        <v>175.24000549316401</v>
      </c>
      <c r="AF46" s="269"/>
      <c r="AG46" s="269"/>
      <c r="AH46" s="269"/>
      <c r="AI46" s="269"/>
      <c r="AJ46" s="269"/>
      <c r="AK46" s="269"/>
      <c r="AL46" s="269"/>
    </row>
    <row r="47" spans="1:38" ht="11.25" customHeight="1">
      <c r="A47" s="75"/>
      <c r="B47" s="82"/>
      <c r="C47" s="82"/>
      <c r="D47" s="82"/>
      <c r="E47" s="82"/>
      <c r="F47" s="82"/>
      <c r="G47" s="82"/>
      <c r="H47" s="82"/>
      <c r="I47" s="59"/>
      <c r="J47" s="327"/>
      <c r="M47" s="321">
        <v>36</v>
      </c>
      <c r="N47" s="328">
        <v>187.93</v>
      </c>
      <c r="O47" s="322">
        <v>167.63</v>
      </c>
      <c r="P47" s="322">
        <v>166.0690002</v>
      </c>
      <c r="Q47" s="307">
        <v>171.61000061035099</v>
      </c>
      <c r="AF47" s="269"/>
      <c r="AG47" s="269"/>
      <c r="AH47" s="269"/>
      <c r="AI47" s="269"/>
      <c r="AJ47" s="269"/>
      <c r="AK47" s="269"/>
      <c r="AL47" s="269"/>
    </row>
    <row r="48" spans="1:38" ht="11.25" customHeight="1">
      <c r="A48" s="75"/>
      <c r="B48" s="82"/>
      <c r="C48" s="82"/>
      <c r="D48" s="82"/>
      <c r="E48" s="82"/>
      <c r="F48" s="82"/>
      <c r="G48" s="82"/>
      <c r="H48" s="82"/>
      <c r="I48" s="59"/>
      <c r="J48" s="327"/>
      <c r="M48" s="321">
        <v>37</v>
      </c>
      <c r="N48" s="322">
        <v>182.85</v>
      </c>
      <c r="O48" s="322">
        <v>162.30700680000001</v>
      </c>
      <c r="P48" s="322">
        <v>159.17399599999999</v>
      </c>
      <c r="Q48" s="307">
        <v>167.78999328613199</v>
      </c>
      <c r="AF48" s="269"/>
      <c r="AG48" s="269"/>
      <c r="AH48" s="269"/>
      <c r="AI48" s="269"/>
      <c r="AJ48" s="269"/>
      <c r="AK48" s="269"/>
      <c r="AL48" s="269"/>
    </row>
    <row r="49" spans="1:38" ht="11.25" customHeight="1">
      <c r="A49" s="75"/>
      <c r="B49" s="82"/>
      <c r="C49" s="82"/>
      <c r="D49" s="82"/>
      <c r="E49" s="82"/>
      <c r="F49" s="82"/>
      <c r="G49" s="82"/>
      <c r="H49" s="82"/>
      <c r="I49" s="59"/>
      <c r="J49" s="327"/>
      <c r="M49" s="321">
        <v>38</v>
      </c>
      <c r="N49" s="322">
        <v>179.77</v>
      </c>
      <c r="O49" s="322">
        <v>159.02699279999999</v>
      </c>
      <c r="P49" s="322">
        <v>157.84</v>
      </c>
      <c r="Q49" s="307">
        <v>170.03999328613199</v>
      </c>
      <c r="AF49" s="269"/>
      <c r="AG49" s="269"/>
      <c r="AH49" s="269"/>
      <c r="AI49" s="269"/>
      <c r="AJ49" s="269"/>
      <c r="AK49" s="269"/>
      <c r="AL49" s="269"/>
    </row>
    <row r="50" spans="1:38" ht="12.75">
      <c r="A50" s="75"/>
      <c r="B50" s="82"/>
      <c r="C50" s="82"/>
      <c r="D50" s="82"/>
      <c r="E50" s="82"/>
      <c r="F50" s="82"/>
      <c r="G50" s="82"/>
      <c r="H50" s="82"/>
      <c r="I50" s="59"/>
      <c r="J50" s="327"/>
      <c r="M50" s="321">
        <v>39</v>
      </c>
      <c r="N50" s="322">
        <v>173.62</v>
      </c>
      <c r="O50" s="322">
        <v>153.61700440000001</v>
      </c>
      <c r="P50" s="322">
        <v>156.28199768066401</v>
      </c>
      <c r="Q50" s="307">
        <v>159.69</v>
      </c>
      <c r="AF50" s="269"/>
      <c r="AG50" s="269"/>
      <c r="AH50" s="269"/>
      <c r="AI50" s="269"/>
      <c r="AJ50" s="269"/>
      <c r="AK50" s="269"/>
      <c r="AL50" s="269"/>
    </row>
    <row r="51" spans="1:38" ht="10.5" customHeight="1">
      <c r="A51" s="75"/>
      <c r="B51" s="82"/>
      <c r="C51" s="82"/>
      <c r="D51" s="82"/>
      <c r="E51" s="82"/>
      <c r="F51" s="82"/>
      <c r="G51" s="82"/>
      <c r="H51" s="82"/>
      <c r="I51" s="59"/>
      <c r="J51" s="327"/>
      <c r="M51" s="321">
        <v>40</v>
      </c>
      <c r="N51" s="322">
        <v>163</v>
      </c>
      <c r="O51" s="322">
        <v>151.72999569999999</v>
      </c>
      <c r="P51" s="322">
        <v>148.3529968</v>
      </c>
      <c r="Q51" s="307">
        <v>150.2969971</v>
      </c>
      <c r="AF51" s="269"/>
      <c r="AG51" s="269"/>
      <c r="AH51" s="269"/>
      <c r="AI51" s="269"/>
      <c r="AJ51" s="269"/>
      <c r="AK51" s="269"/>
      <c r="AL51" s="269"/>
    </row>
    <row r="52" spans="1:38" ht="12.75">
      <c r="A52" s="75"/>
      <c r="B52" s="82"/>
      <c r="C52" s="82"/>
      <c r="D52" s="82"/>
      <c r="E52" s="82"/>
      <c r="F52" s="82"/>
      <c r="G52" s="82"/>
      <c r="H52" s="82"/>
      <c r="I52" s="59"/>
      <c r="J52" s="327"/>
      <c r="M52" s="321">
        <v>41</v>
      </c>
      <c r="N52" s="322">
        <v>156.5</v>
      </c>
      <c r="O52" s="322">
        <v>147.996002197265</v>
      </c>
      <c r="P52" s="322">
        <v>151.04400630000001</v>
      </c>
      <c r="Q52" s="307">
        <v>146.7689972</v>
      </c>
      <c r="AF52" s="269"/>
      <c r="AG52" s="269"/>
      <c r="AH52" s="269"/>
      <c r="AI52" s="269"/>
      <c r="AJ52" s="269"/>
      <c r="AK52" s="269"/>
      <c r="AL52" s="269"/>
    </row>
    <row r="53" spans="1:38" ht="12.75">
      <c r="A53" s="75"/>
      <c r="B53" s="82"/>
      <c r="C53" s="82"/>
      <c r="D53" s="82"/>
      <c r="E53" s="82"/>
      <c r="F53" s="82"/>
      <c r="G53" s="82"/>
      <c r="H53" s="82"/>
      <c r="I53" s="59"/>
      <c r="J53" s="327"/>
      <c r="M53" s="321">
        <v>42</v>
      </c>
      <c r="N53" s="322">
        <v>152.78</v>
      </c>
      <c r="O53" s="322">
        <v>144.53999328613199</v>
      </c>
      <c r="P53" s="322">
        <v>146.53</v>
      </c>
      <c r="Q53" s="307">
        <v>142.69900512695301</v>
      </c>
      <c r="AF53" s="269"/>
      <c r="AG53" s="269"/>
      <c r="AH53" s="269"/>
      <c r="AI53" s="269"/>
      <c r="AJ53" s="269"/>
      <c r="AK53" s="269"/>
      <c r="AL53" s="269"/>
    </row>
    <row r="54" spans="1:38" ht="12.75">
      <c r="A54" s="75"/>
      <c r="B54" s="82"/>
      <c r="C54" s="82"/>
      <c r="D54" s="82"/>
      <c r="E54" s="82"/>
      <c r="F54" s="82"/>
      <c r="G54" s="82"/>
      <c r="H54" s="82"/>
      <c r="I54" s="59"/>
      <c r="J54" s="327"/>
      <c r="M54" s="321">
        <v>43</v>
      </c>
      <c r="N54" s="322">
        <v>148.63</v>
      </c>
      <c r="O54" s="322">
        <v>143.72300720214801</v>
      </c>
      <c r="P54" s="322">
        <v>137.7400055</v>
      </c>
      <c r="Q54" s="307">
        <v>135.75</v>
      </c>
      <c r="AF54" s="269"/>
      <c r="AG54" s="269"/>
      <c r="AH54" s="269"/>
      <c r="AI54" s="269"/>
      <c r="AJ54" s="269"/>
      <c r="AK54" s="269"/>
      <c r="AL54" s="269"/>
    </row>
    <row r="55" spans="1:38" ht="12.75">
      <c r="A55" s="75"/>
      <c r="B55" s="82"/>
      <c r="C55" s="82"/>
      <c r="D55" s="82"/>
      <c r="E55" s="82"/>
      <c r="F55" s="82"/>
      <c r="G55" s="82"/>
      <c r="H55" s="82"/>
      <c r="I55" s="59"/>
      <c r="J55" s="327"/>
      <c r="M55" s="321">
        <v>44</v>
      </c>
      <c r="N55" s="322">
        <v>142.91</v>
      </c>
      <c r="O55" s="322">
        <v>142.33900449999999</v>
      </c>
      <c r="P55" s="322">
        <v>133.1380005</v>
      </c>
      <c r="Q55" s="307">
        <v>130.27000430000001</v>
      </c>
      <c r="AF55" s="269"/>
      <c r="AG55" s="269"/>
      <c r="AH55" s="269"/>
      <c r="AI55" s="269"/>
      <c r="AJ55" s="269"/>
      <c r="AK55" s="269"/>
      <c r="AL55" s="269"/>
    </row>
    <row r="56" spans="1:38" ht="12.75">
      <c r="A56" s="75"/>
      <c r="B56" s="82"/>
      <c r="C56" s="82"/>
      <c r="D56" s="82"/>
      <c r="E56" s="82"/>
      <c r="F56" s="82"/>
      <c r="G56" s="82"/>
      <c r="H56" s="82"/>
      <c r="I56" s="59"/>
      <c r="J56" s="327"/>
      <c r="M56" s="321">
        <v>45</v>
      </c>
      <c r="N56" s="322">
        <v>137.04</v>
      </c>
      <c r="O56" s="322">
        <v>143.13200380000001</v>
      </c>
      <c r="P56" s="322">
        <v>125.7330017</v>
      </c>
      <c r="AF56" s="269"/>
      <c r="AG56" s="269"/>
      <c r="AH56" s="269"/>
      <c r="AI56" s="269"/>
      <c r="AJ56" s="269"/>
      <c r="AK56" s="269"/>
      <c r="AL56" s="269"/>
    </row>
    <row r="57" spans="1:38" ht="12.75">
      <c r="A57" s="75"/>
      <c r="B57" s="82"/>
      <c r="C57" s="82"/>
      <c r="D57" s="82"/>
      <c r="E57" s="82"/>
      <c r="F57" s="82"/>
      <c r="G57" s="82"/>
      <c r="H57" s="82"/>
      <c r="M57" s="321">
        <v>46</v>
      </c>
      <c r="N57" s="322">
        <v>131.22999999999999</v>
      </c>
      <c r="O57" s="322">
        <v>141.37</v>
      </c>
      <c r="P57" s="322">
        <v>125.2030029</v>
      </c>
      <c r="AF57" s="269"/>
      <c r="AG57" s="269"/>
      <c r="AH57" s="269"/>
      <c r="AI57" s="269"/>
      <c r="AJ57" s="269"/>
      <c r="AK57" s="269"/>
      <c r="AL57" s="269"/>
    </row>
    <row r="58" spans="1:38" ht="12.75">
      <c r="A58" s="75"/>
      <c r="B58" s="82"/>
      <c r="C58" s="82"/>
      <c r="D58" s="82"/>
      <c r="E58" s="82"/>
      <c r="F58" s="82"/>
      <c r="G58" s="82"/>
      <c r="H58" s="82"/>
      <c r="M58" s="321">
        <v>47</v>
      </c>
      <c r="N58" s="322">
        <v>125.5</v>
      </c>
      <c r="O58" s="322">
        <v>140.33900449999999</v>
      </c>
      <c r="P58" s="322">
        <v>120.5130005</v>
      </c>
      <c r="AF58" s="269"/>
      <c r="AG58" s="269"/>
      <c r="AH58" s="269"/>
      <c r="AI58" s="269"/>
      <c r="AJ58" s="269"/>
      <c r="AK58" s="269"/>
      <c r="AL58" s="269"/>
    </row>
    <row r="59" spans="1:38" ht="12.75">
      <c r="A59" s="266" t="s">
        <v>475</v>
      </c>
      <c r="B59" s="82"/>
      <c r="C59" s="82"/>
      <c r="D59" s="82"/>
      <c r="E59" s="82"/>
      <c r="F59" s="82"/>
      <c r="G59" s="82"/>
      <c r="H59" s="82"/>
      <c r="M59" s="321">
        <v>48</v>
      </c>
      <c r="N59" s="322">
        <v>120.41</v>
      </c>
      <c r="O59" s="322">
        <v>137.8150024</v>
      </c>
      <c r="P59" s="322">
        <v>119.3089981</v>
      </c>
      <c r="AF59" s="269"/>
      <c r="AG59" s="269"/>
      <c r="AH59" s="269"/>
      <c r="AI59" s="269"/>
      <c r="AJ59" s="269"/>
      <c r="AK59" s="269"/>
      <c r="AL59" s="269"/>
    </row>
    <row r="60" spans="1:38" ht="12.75">
      <c r="A60" s="54"/>
      <c r="B60" s="82"/>
      <c r="C60" s="82"/>
      <c r="D60" s="82"/>
      <c r="E60" s="82"/>
      <c r="F60" s="82"/>
      <c r="G60" s="82"/>
      <c r="H60" s="82"/>
      <c r="M60" s="321">
        <v>49</v>
      </c>
      <c r="N60" s="322">
        <v>115.91300200000001</v>
      </c>
      <c r="O60" s="322">
        <v>129.0279999</v>
      </c>
      <c r="P60" s="322">
        <v>119.33200069999999</v>
      </c>
      <c r="AF60" s="269"/>
      <c r="AG60" s="269"/>
      <c r="AH60" s="269"/>
      <c r="AI60" s="269"/>
      <c r="AJ60" s="269"/>
      <c r="AK60" s="269"/>
      <c r="AL60" s="269"/>
    </row>
    <row r="61" spans="1:38">
      <c r="M61" s="321">
        <v>50</v>
      </c>
      <c r="N61" s="322">
        <v>110.0599976</v>
      </c>
      <c r="O61" s="322">
        <v>129.30000000000001</v>
      </c>
      <c r="P61" s="322">
        <v>135.91499329999999</v>
      </c>
      <c r="AD61" s="319"/>
      <c r="AE61" s="319"/>
      <c r="AF61" s="216"/>
      <c r="AG61" s="216"/>
      <c r="AH61" s="216"/>
      <c r="AI61" s="216"/>
      <c r="AJ61" s="216"/>
      <c r="AK61" s="216"/>
      <c r="AL61" s="216"/>
    </row>
    <row r="62" spans="1:38">
      <c r="M62" s="321">
        <v>51</v>
      </c>
      <c r="N62" s="322">
        <v>107.5970001</v>
      </c>
      <c r="O62" s="322">
        <v>129</v>
      </c>
      <c r="P62" s="322">
        <v>131.21000670000001</v>
      </c>
      <c r="AD62" s="319"/>
      <c r="AE62" s="319"/>
      <c r="AF62" s="216"/>
      <c r="AG62" s="216"/>
      <c r="AH62" s="216"/>
      <c r="AI62" s="216"/>
      <c r="AJ62" s="216"/>
      <c r="AK62" s="216"/>
      <c r="AL62" s="216"/>
    </row>
    <row r="63" spans="1:38">
      <c r="M63" s="321">
        <v>52</v>
      </c>
      <c r="N63" s="322">
        <v>104.4029999</v>
      </c>
      <c r="O63" s="322">
        <v>130.4810028</v>
      </c>
      <c r="P63" s="322">
        <v>139.86399840000001</v>
      </c>
      <c r="AD63" s="319"/>
      <c r="AE63" s="319"/>
      <c r="AF63" s="216"/>
      <c r="AG63" s="216"/>
      <c r="AH63" s="216"/>
      <c r="AI63" s="216"/>
      <c r="AJ63" s="216"/>
      <c r="AK63" s="216"/>
      <c r="AL63" s="216"/>
    </row>
    <row r="64" spans="1:38">
      <c r="M64" s="321">
        <v>53</v>
      </c>
      <c r="N64" s="322"/>
      <c r="O64" s="322"/>
      <c r="P64" s="771">
        <v>146.8090057</v>
      </c>
      <c r="AD64" s="319"/>
      <c r="AE64" s="319"/>
      <c r="AF64" s="216"/>
      <c r="AG64" s="216"/>
      <c r="AH64" s="216"/>
      <c r="AI64" s="216"/>
      <c r="AJ64" s="216"/>
      <c r="AK64" s="216"/>
      <c r="AL64" s="216"/>
    </row>
    <row r="65" spans="13:38">
      <c r="M65" s="319"/>
      <c r="N65" s="319"/>
      <c r="O65" s="319"/>
      <c r="P65" s="319"/>
      <c r="Q65" s="319"/>
      <c r="R65" s="319"/>
      <c r="S65" s="319"/>
      <c r="T65" s="319"/>
      <c r="AD65" s="319"/>
      <c r="AE65" s="319"/>
      <c r="AF65" s="216"/>
      <c r="AG65" s="216"/>
      <c r="AH65" s="216"/>
      <c r="AI65" s="216"/>
      <c r="AJ65" s="216"/>
      <c r="AK65" s="216"/>
      <c r="AL65" s="216"/>
    </row>
  </sheetData>
  <mergeCells count="4">
    <mergeCell ref="A2:H2"/>
    <mergeCell ref="A4:H4"/>
    <mergeCell ref="C28:F28"/>
    <mergeCell ref="A32:H32"/>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Mensual-Octubre 2020
INFSGI-MES-10-2020
12/11/2020
Versión: 01</oddHeader>
    <oddFooter>&amp;L&amp;7COES, 2020&amp;C10&amp;R&amp;7Dirección Ejecutiva
Sub Dirección de Gestión de Información</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theme="4"/>
  </sheetPr>
  <dimension ref="A1:AE63"/>
  <sheetViews>
    <sheetView showGridLines="0" view="pageBreakPreview" zoomScaleNormal="100" zoomScaleSheetLayoutView="100" zoomScalePageLayoutView="115" workbookViewId="0">
      <selection activeCell="O14" sqref="O14"/>
    </sheetView>
  </sheetViews>
  <sheetFormatPr defaultColWidth="9.33203125" defaultRowHeight="11.25"/>
  <cols>
    <col min="10" max="11" width="9.33203125" customWidth="1"/>
    <col min="14" max="28" width="9.33203125" style="423"/>
    <col min="29" max="31" width="9.33203125" style="413"/>
  </cols>
  <sheetData>
    <row r="1" spans="1:23" ht="11.25" customHeight="1"/>
    <row r="2" spans="1:23" ht="11.25" customHeight="1">
      <c r="A2" s="297"/>
      <c r="B2" s="304"/>
      <c r="C2" s="304"/>
      <c r="D2" s="304"/>
      <c r="E2" s="304"/>
      <c r="F2" s="304"/>
      <c r="G2" s="305"/>
      <c r="H2" s="305"/>
      <c r="I2" s="17"/>
    </row>
    <row r="3" spans="1:23" ht="11.25" customHeight="1">
      <c r="A3" s="17"/>
      <c r="B3" s="17"/>
      <c r="C3" s="17"/>
      <c r="D3" s="17"/>
      <c r="E3" s="17"/>
      <c r="F3" s="17"/>
      <c r="G3" s="73"/>
      <c r="H3" s="73"/>
      <c r="I3" s="73"/>
      <c r="J3" s="36"/>
      <c r="K3" s="36"/>
      <c r="L3" s="36"/>
    </row>
    <row r="4" spans="1:23" ht="11.25" customHeight="1">
      <c r="A4" s="17"/>
      <c r="B4" s="17"/>
      <c r="C4" s="17"/>
      <c r="D4" s="17"/>
      <c r="E4" s="17"/>
      <c r="F4" s="17"/>
      <c r="G4" s="73"/>
      <c r="H4" s="73"/>
      <c r="I4" s="73"/>
      <c r="J4" s="36"/>
      <c r="K4" s="36"/>
      <c r="L4" s="36"/>
      <c r="N4" s="426" t="s">
        <v>260</v>
      </c>
      <c r="T4" s="427" t="s">
        <v>261</v>
      </c>
    </row>
    <row r="5" spans="1:23" ht="11.25" customHeight="1">
      <c r="A5" s="959"/>
      <c r="B5" s="959"/>
      <c r="C5" s="959"/>
      <c r="D5" s="959"/>
      <c r="E5" s="959"/>
      <c r="F5" s="959"/>
      <c r="G5" s="959"/>
      <c r="H5" s="959"/>
      <c r="I5" s="959"/>
      <c r="J5" s="12"/>
      <c r="K5" s="12"/>
      <c r="L5" s="8"/>
      <c r="O5" s="428">
        <v>2017</v>
      </c>
      <c r="P5" s="428">
        <v>2018</v>
      </c>
      <c r="Q5" s="428">
        <v>2019</v>
      </c>
      <c r="R5" s="428">
        <v>2020</v>
      </c>
      <c r="T5" s="428">
        <v>2017</v>
      </c>
      <c r="U5" s="428">
        <v>2018</v>
      </c>
      <c r="V5" s="428">
        <v>2019</v>
      </c>
      <c r="W5" s="428">
        <v>2020</v>
      </c>
    </row>
    <row r="6" spans="1:23" ht="11.25" customHeight="1">
      <c r="A6" s="17"/>
      <c r="B6" s="159"/>
      <c r="C6" s="68"/>
      <c r="D6" s="69"/>
      <c r="E6" s="69"/>
      <c r="F6" s="70"/>
      <c r="G6" s="66"/>
      <c r="H6" s="66"/>
      <c r="I6" s="71"/>
      <c r="J6" s="12"/>
      <c r="K6" s="12"/>
      <c r="L6" s="5"/>
      <c r="N6" s="429">
        <v>1</v>
      </c>
      <c r="O6" s="430">
        <v>27.559000019999999</v>
      </c>
      <c r="P6" s="430">
        <v>34.76</v>
      </c>
      <c r="Q6" s="431">
        <v>71.125</v>
      </c>
      <c r="R6" s="834">
        <v>133.42999267578099</v>
      </c>
      <c r="S6" s="429">
        <v>1</v>
      </c>
      <c r="T6" s="430">
        <v>122.19600180599998</v>
      </c>
      <c r="U6" s="430">
        <v>210.20000000000002</v>
      </c>
      <c r="V6" s="431">
        <v>190.20000426299998</v>
      </c>
      <c r="W6" s="834">
        <v>186.65300035476668</v>
      </c>
    </row>
    <row r="7" spans="1:23" ht="11.25" customHeight="1">
      <c r="A7" s="17"/>
      <c r="B7" s="960"/>
      <c r="C7" s="960"/>
      <c r="D7" s="160"/>
      <c r="E7" s="160"/>
      <c r="F7" s="70"/>
      <c r="G7" s="66"/>
      <c r="H7" s="66"/>
      <c r="I7" s="71"/>
      <c r="J7" s="3"/>
      <c r="K7" s="3"/>
      <c r="L7" s="15"/>
      <c r="N7" s="429">
        <v>2</v>
      </c>
      <c r="O7" s="430">
        <v>36.5890007</v>
      </c>
      <c r="P7" s="430">
        <v>47.749000549999998</v>
      </c>
      <c r="Q7" s="431">
        <v>79.228996280000004</v>
      </c>
      <c r="R7" s="834">
        <v>141.27299500000001</v>
      </c>
      <c r="S7" s="429">
        <v>2</v>
      </c>
      <c r="T7" s="430">
        <v>136.535000822</v>
      </c>
      <c r="U7" s="430">
        <v>216.70300435500002</v>
      </c>
      <c r="V7" s="431">
        <v>185.80498987600001</v>
      </c>
      <c r="W7" s="834">
        <v>194.494995117</v>
      </c>
    </row>
    <row r="8" spans="1:23" ht="11.25" customHeight="1">
      <c r="A8" s="17"/>
      <c r="B8" s="161"/>
      <c r="C8" s="39"/>
      <c r="D8" s="162"/>
      <c r="E8" s="162"/>
      <c r="F8" s="70"/>
      <c r="G8" s="66"/>
      <c r="H8" s="66"/>
      <c r="I8" s="71"/>
      <c r="J8" s="4"/>
      <c r="K8" s="4"/>
      <c r="L8" s="12"/>
      <c r="N8" s="429">
        <v>3</v>
      </c>
      <c r="O8" s="430">
        <v>63.17599869</v>
      </c>
      <c r="P8" s="430">
        <v>67.130996699999997</v>
      </c>
      <c r="Q8" s="431">
        <v>106.65</v>
      </c>
      <c r="R8" s="834">
        <v>151.56199649999999</v>
      </c>
      <c r="S8" s="429">
        <v>3</v>
      </c>
      <c r="T8" s="430">
        <v>170.80799961000002</v>
      </c>
      <c r="U8" s="430">
        <v>232.83600043999999</v>
      </c>
      <c r="V8" s="431">
        <v>190.06000000000003</v>
      </c>
      <c r="W8" s="834">
        <v>212.15300178999999</v>
      </c>
    </row>
    <row r="9" spans="1:23" ht="11.25" customHeight="1">
      <c r="A9" s="17"/>
      <c r="B9" s="161"/>
      <c r="C9" s="39"/>
      <c r="D9" s="162"/>
      <c r="E9" s="162"/>
      <c r="F9" s="70"/>
      <c r="G9" s="66"/>
      <c r="H9" s="66"/>
      <c r="I9" s="71"/>
      <c r="J9" s="3"/>
      <c r="K9" s="6"/>
      <c r="L9" s="15"/>
      <c r="N9" s="429">
        <v>4</v>
      </c>
      <c r="O9" s="430">
        <v>113.2139969</v>
      </c>
      <c r="P9" s="430">
        <v>93.789001459999994</v>
      </c>
      <c r="Q9" s="431">
        <v>140.34500120000001</v>
      </c>
      <c r="R9" s="834">
        <v>167.9100037</v>
      </c>
      <c r="S9" s="429">
        <v>4</v>
      </c>
      <c r="T9" s="430">
        <v>186.385000214</v>
      </c>
      <c r="U9" s="430">
        <v>271.78000545999998</v>
      </c>
      <c r="V9" s="431">
        <v>198.06799936900001</v>
      </c>
      <c r="W9" s="834">
        <v>213.71899984999999</v>
      </c>
    </row>
    <row r="10" spans="1:23" ht="11.25" customHeight="1">
      <c r="A10" s="17"/>
      <c r="B10" s="161"/>
      <c r="C10" s="39"/>
      <c r="D10" s="162"/>
      <c r="E10" s="162"/>
      <c r="F10" s="70"/>
      <c r="G10" s="66"/>
      <c r="H10" s="66"/>
      <c r="I10" s="71"/>
      <c r="J10" s="3"/>
      <c r="K10" s="3"/>
      <c r="L10" s="15"/>
      <c r="N10" s="429">
        <v>5</v>
      </c>
      <c r="O10" s="430">
        <v>156.8220062</v>
      </c>
      <c r="P10" s="430">
        <v>111.01599880000001</v>
      </c>
      <c r="Q10" s="431">
        <v>186.18299870000001</v>
      </c>
      <c r="R10" s="834">
        <v>209.06850435244098</v>
      </c>
      <c r="S10" s="429">
        <v>5</v>
      </c>
      <c r="T10" s="430">
        <v>204.80799868699998</v>
      </c>
      <c r="U10" s="430">
        <v>269.07999802</v>
      </c>
      <c r="V10" s="431">
        <v>217.55805158600003</v>
      </c>
      <c r="W10" s="834">
        <v>219.56099320000001</v>
      </c>
    </row>
    <row r="11" spans="1:23" ht="11.25" customHeight="1">
      <c r="A11" s="17"/>
      <c r="B11" s="162"/>
      <c r="C11" s="39"/>
      <c r="D11" s="162"/>
      <c r="E11" s="162"/>
      <c r="F11" s="70"/>
      <c r="G11" s="66"/>
      <c r="H11" s="66"/>
      <c r="I11" s="71"/>
      <c r="J11" s="3"/>
      <c r="K11" s="3"/>
      <c r="L11" s="15"/>
      <c r="N11" s="429">
        <v>6</v>
      </c>
      <c r="O11" s="430">
        <v>168.8840027</v>
      </c>
      <c r="P11" s="430">
        <v>126.6029968</v>
      </c>
      <c r="Q11" s="431">
        <v>222.22</v>
      </c>
      <c r="R11" s="834">
        <v>250.22700500488199</v>
      </c>
      <c r="S11" s="429">
        <v>6</v>
      </c>
      <c r="T11" s="430">
        <v>201.82999366799999</v>
      </c>
      <c r="U11" s="430">
        <v>273.52000047000001</v>
      </c>
      <c r="V11" s="431">
        <v>279.10000000000002</v>
      </c>
      <c r="W11" s="834">
        <v>285.12099838256813</v>
      </c>
    </row>
    <row r="12" spans="1:23" ht="11.25" customHeight="1">
      <c r="A12" s="17"/>
      <c r="B12" s="162"/>
      <c r="C12" s="39"/>
      <c r="D12" s="162"/>
      <c r="E12" s="162"/>
      <c r="F12" s="70"/>
      <c r="G12" s="66"/>
      <c r="H12" s="66"/>
      <c r="I12" s="71"/>
      <c r="J12" s="3"/>
      <c r="K12" s="3"/>
      <c r="L12" s="15"/>
      <c r="N12" s="429">
        <v>7</v>
      </c>
      <c r="O12" s="430">
        <v>196.28300479999999</v>
      </c>
      <c r="P12" s="430">
        <v>135.7250061</v>
      </c>
      <c r="Q12" s="431">
        <v>277.02099609999999</v>
      </c>
      <c r="R12" s="834">
        <v>274.18798829999997</v>
      </c>
      <c r="S12" s="429">
        <v>7</v>
      </c>
      <c r="T12" s="430">
        <v>199.59600258</v>
      </c>
      <c r="U12" s="430">
        <v>302.63299941999998</v>
      </c>
      <c r="V12" s="431">
        <v>338.21854399</v>
      </c>
      <c r="W12" s="834">
        <v>329.34199910000001</v>
      </c>
    </row>
    <row r="13" spans="1:23" ht="11.25" customHeight="1">
      <c r="A13" s="17"/>
      <c r="B13" s="162"/>
      <c r="C13" s="39"/>
      <c r="D13" s="162"/>
      <c r="E13" s="162"/>
      <c r="F13" s="70"/>
      <c r="G13" s="66"/>
      <c r="H13" s="66"/>
      <c r="I13" s="71"/>
      <c r="J13" s="4"/>
      <c r="K13" s="4"/>
      <c r="L13" s="12"/>
      <c r="N13" s="429">
        <v>8</v>
      </c>
      <c r="O13" s="430">
        <v>230.18899540000001</v>
      </c>
      <c r="P13" s="430">
        <v>159.2149963</v>
      </c>
      <c r="Q13" s="431">
        <v>293.06698610000001</v>
      </c>
      <c r="R13" s="834">
        <v>291.3330078125</v>
      </c>
      <c r="S13" s="429">
        <v>8</v>
      </c>
      <c r="T13" s="430">
        <v>214.34299659800001</v>
      </c>
      <c r="U13" s="430">
        <v>328.23703</v>
      </c>
      <c r="V13" s="431">
        <v>388.64800643000001</v>
      </c>
      <c r="W13" s="834">
        <v>352.60932731628355</v>
      </c>
    </row>
    <row r="14" spans="1:23" ht="11.25" customHeight="1">
      <c r="A14" s="17"/>
      <c r="B14" s="162"/>
      <c r="C14" s="39"/>
      <c r="D14" s="162"/>
      <c r="E14" s="162"/>
      <c r="F14" s="70"/>
      <c r="G14" s="66"/>
      <c r="H14" s="66"/>
      <c r="I14" s="71"/>
      <c r="J14" s="3"/>
      <c r="K14" s="6"/>
      <c r="L14" s="15"/>
      <c r="N14" s="429">
        <v>9</v>
      </c>
      <c r="O14" s="430">
        <v>249.13000489999999</v>
      </c>
      <c r="P14" s="430">
        <v>186.18299870000001</v>
      </c>
      <c r="Q14" s="431">
        <v>294.29501340000002</v>
      </c>
      <c r="R14" s="834">
        <v>281.57400510000002</v>
      </c>
      <c r="S14" s="429">
        <v>9</v>
      </c>
      <c r="T14" s="430">
        <v>250.89400288000002</v>
      </c>
      <c r="U14" s="430">
        <v>343.54049999999995</v>
      </c>
      <c r="V14" s="431">
        <v>377.13099283000003</v>
      </c>
      <c r="W14" s="834">
        <v>377.95000650999998</v>
      </c>
    </row>
    <row r="15" spans="1:23" ht="11.25" customHeight="1">
      <c r="A15" s="17"/>
      <c r="B15" s="162"/>
      <c r="C15" s="39"/>
      <c r="D15" s="162"/>
      <c r="E15" s="162"/>
      <c r="F15" s="70"/>
      <c r="G15" s="66"/>
      <c r="H15" s="66"/>
      <c r="I15" s="71"/>
      <c r="J15" s="3"/>
      <c r="K15" s="6"/>
      <c r="L15" s="15"/>
      <c r="N15" s="429">
        <v>10</v>
      </c>
      <c r="O15" s="430">
        <v>311.77999999999997</v>
      </c>
      <c r="P15" s="430">
        <v>203.96099849999999</v>
      </c>
      <c r="Q15" s="431">
        <v>291.91101070000002</v>
      </c>
      <c r="R15" s="834">
        <v>277.58898929999998</v>
      </c>
      <c r="S15" s="429">
        <v>10</v>
      </c>
      <c r="T15" s="430">
        <v>298.99899296000001</v>
      </c>
      <c r="U15" s="430">
        <v>371.29100467000001</v>
      </c>
      <c r="V15" s="431">
        <v>385.62499995999997</v>
      </c>
      <c r="W15" s="834">
        <v>383.25900259000002</v>
      </c>
    </row>
    <row r="16" spans="1:23" ht="11.25" customHeight="1">
      <c r="A16" s="17"/>
      <c r="B16" s="162"/>
      <c r="C16" s="39"/>
      <c r="D16" s="162"/>
      <c r="E16" s="162"/>
      <c r="F16" s="70"/>
      <c r="G16" s="66"/>
      <c r="H16" s="66"/>
      <c r="I16" s="71"/>
      <c r="J16" s="3"/>
      <c r="K16" s="6"/>
      <c r="L16" s="15"/>
      <c r="N16" s="429">
        <v>11</v>
      </c>
      <c r="O16" s="430">
        <v>332.70800000000003</v>
      </c>
      <c r="P16" s="430">
        <v>230.18899540000001</v>
      </c>
      <c r="Q16" s="431">
        <v>301.204986572265</v>
      </c>
      <c r="R16" s="835">
        <v>288.4509888</v>
      </c>
      <c r="S16" s="429">
        <v>11</v>
      </c>
      <c r="T16" s="430">
        <v>321.03300188000003</v>
      </c>
      <c r="U16" s="430">
        <v>390.38299555999998</v>
      </c>
      <c r="V16" s="431">
        <v>389.38100242614604</v>
      </c>
      <c r="W16" s="834">
        <v>394.92200288000009</v>
      </c>
    </row>
    <row r="17" spans="1:23" ht="11.25" customHeight="1">
      <c r="A17" s="17"/>
      <c r="B17" s="162"/>
      <c r="C17" s="39"/>
      <c r="D17" s="162"/>
      <c r="E17" s="162"/>
      <c r="F17" s="70"/>
      <c r="G17" s="66"/>
      <c r="H17" s="66"/>
      <c r="I17" s="71"/>
      <c r="J17" s="3"/>
      <c r="K17" s="6"/>
      <c r="L17" s="15"/>
      <c r="N17" s="429">
        <v>12</v>
      </c>
      <c r="O17" s="430">
        <v>344.881012</v>
      </c>
      <c r="P17" s="430">
        <v>282.71701050000001</v>
      </c>
      <c r="Q17" s="431">
        <v>310.0090027</v>
      </c>
      <c r="R17" s="835">
        <v>295.38400268554602</v>
      </c>
      <c r="S17" s="429">
        <v>12</v>
      </c>
      <c r="T17" s="430">
        <v>332.34900279999999</v>
      </c>
      <c r="U17" s="430">
        <v>412.41217171999995</v>
      </c>
      <c r="V17" s="431">
        <v>386.27799791999996</v>
      </c>
      <c r="W17" s="834">
        <v>390.290998458861</v>
      </c>
    </row>
    <row r="18" spans="1:23" ht="11.25" customHeight="1">
      <c r="A18" s="17"/>
      <c r="B18" s="162"/>
      <c r="C18" s="39"/>
      <c r="D18" s="162"/>
      <c r="E18" s="162"/>
      <c r="F18" s="70"/>
      <c r="G18" s="66"/>
      <c r="H18" s="66"/>
      <c r="I18" s="71"/>
      <c r="J18" s="3"/>
      <c r="K18" s="6"/>
      <c r="L18" s="15"/>
      <c r="N18" s="429">
        <v>13</v>
      </c>
      <c r="O18" s="430">
        <v>338.77499390000003</v>
      </c>
      <c r="P18" s="430">
        <v>329.68899540000001</v>
      </c>
      <c r="Q18" s="431">
        <v>333.91799930000002</v>
      </c>
      <c r="R18" s="835">
        <v>303.54400634765602</v>
      </c>
      <c r="S18" s="429">
        <v>13</v>
      </c>
      <c r="T18" s="430">
        <v>366.02899361000004</v>
      </c>
      <c r="U18" s="430">
        <v>410.83199501000001</v>
      </c>
      <c r="V18" s="431">
        <v>388.98099517000003</v>
      </c>
      <c r="W18" s="834">
        <v>402.17499160766499</v>
      </c>
    </row>
    <row r="19" spans="1:23" ht="11.25" customHeight="1">
      <c r="A19" s="17"/>
      <c r="B19" s="162"/>
      <c r="C19" s="39"/>
      <c r="D19" s="162"/>
      <c r="E19" s="162"/>
      <c r="F19" s="70"/>
      <c r="G19" s="66"/>
      <c r="H19" s="66"/>
      <c r="I19" s="71"/>
      <c r="J19" s="3"/>
      <c r="K19" s="6"/>
      <c r="L19" s="15"/>
      <c r="N19" s="429">
        <v>14</v>
      </c>
      <c r="O19" s="430">
        <v>338.77999390000002</v>
      </c>
      <c r="P19" s="430">
        <v>329.68899540000001</v>
      </c>
      <c r="Q19" s="431">
        <v>335.73699950000002</v>
      </c>
      <c r="R19" s="432">
        <v>296.54501340000002</v>
      </c>
      <c r="S19" s="429">
        <v>14</v>
      </c>
      <c r="T19" s="430">
        <v>382.58400344</v>
      </c>
      <c r="U19" s="430">
        <v>403.70400233999999</v>
      </c>
      <c r="V19" s="431">
        <v>393.36499596000004</v>
      </c>
      <c r="W19" s="423">
        <v>398.93495940999998</v>
      </c>
    </row>
    <row r="20" spans="1:23" ht="11.25" customHeight="1">
      <c r="A20" s="17"/>
      <c r="B20" s="162"/>
      <c r="C20" s="39"/>
      <c r="D20" s="162"/>
      <c r="E20" s="162"/>
      <c r="F20" s="70"/>
      <c r="G20" s="66"/>
      <c r="H20" s="66"/>
      <c r="I20" s="71"/>
      <c r="J20" s="3"/>
      <c r="K20" s="6"/>
      <c r="L20" s="15"/>
      <c r="N20" s="429">
        <v>15</v>
      </c>
      <c r="O20" s="430">
        <v>347.94900510000002</v>
      </c>
      <c r="P20" s="430">
        <v>326.67999270000001</v>
      </c>
      <c r="Q20" s="431">
        <v>335.73699950000002</v>
      </c>
      <c r="R20" s="432">
        <v>289.60299680000003</v>
      </c>
      <c r="S20" s="429">
        <v>15</v>
      </c>
      <c r="T20" s="430">
        <v>385.29699126999998</v>
      </c>
      <c r="U20" s="430">
        <v>399.27400204999998</v>
      </c>
      <c r="V20" s="431">
        <v>385.77799804</v>
      </c>
      <c r="W20" s="423">
        <v>388.01895332999999</v>
      </c>
    </row>
    <row r="21" spans="1:23" ht="11.25" customHeight="1">
      <c r="A21" s="17"/>
      <c r="B21" s="162"/>
      <c r="C21" s="39"/>
      <c r="D21" s="162"/>
      <c r="E21" s="162"/>
      <c r="F21" s="70"/>
      <c r="G21" s="66"/>
      <c r="H21" s="66"/>
      <c r="I21" s="71"/>
      <c r="J21" s="3"/>
      <c r="K21" s="7"/>
      <c r="L21" s="16"/>
      <c r="N21" s="429">
        <v>16</v>
      </c>
      <c r="O21" s="430">
        <v>354.11401369999999</v>
      </c>
      <c r="P21" s="430">
        <v>314.7409973</v>
      </c>
      <c r="Q21" s="431">
        <v>335.73699950000002</v>
      </c>
      <c r="R21" s="432">
        <v>285.006012</v>
      </c>
      <c r="S21" s="429">
        <v>16</v>
      </c>
      <c r="T21" s="430">
        <v>384.95899003</v>
      </c>
      <c r="U21" s="430">
        <v>394.58499913000003</v>
      </c>
      <c r="V21" s="431">
        <v>385.72399323999997</v>
      </c>
      <c r="W21" s="423">
        <v>383.39695458999995</v>
      </c>
    </row>
    <row r="22" spans="1:23" ht="11.25" customHeight="1">
      <c r="A22" s="77"/>
      <c r="B22" s="162"/>
      <c r="C22" s="39"/>
      <c r="D22" s="162"/>
      <c r="E22" s="162"/>
      <c r="F22" s="70"/>
      <c r="G22" s="66"/>
      <c r="H22" s="66"/>
      <c r="I22" s="71"/>
      <c r="J22" s="3"/>
      <c r="K22" s="6"/>
      <c r="L22" s="15"/>
      <c r="N22" s="429">
        <v>17</v>
      </c>
      <c r="O22" s="430">
        <v>351.02700809999999</v>
      </c>
      <c r="P22" s="430">
        <v>305.89001459999997</v>
      </c>
      <c r="Q22" s="431">
        <v>335.73699950000002</v>
      </c>
      <c r="R22" s="432">
        <v>285.00601196289</v>
      </c>
      <c r="S22" s="429">
        <v>17</v>
      </c>
      <c r="T22" s="430">
        <v>381.86699488000005</v>
      </c>
      <c r="U22" s="430">
        <v>392.29800030000007</v>
      </c>
      <c r="V22" s="431">
        <v>388.74200823000001</v>
      </c>
      <c r="W22" s="423">
        <v>381.56399345397853</v>
      </c>
    </row>
    <row r="23" spans="1:23" ht="11.25" customHeight="1">
      <c r="A23" s="77"/>
      <c r="B23" s="162"/>
      <c r="C23" s="39"/>
      <c r="D23" s="162"/>
      <c r="E23" s="162"/>
      <c r="F23" s="70"/>
      <c r="G23" s="66"/>
      <c r="H23" s="66"/>
      <c r="I23" s="71"/>
      <c r="J23" s="3"/>
      <c r="K23" s="6"/>
      <c r="L23" s="15"/>
      <c r="N23" s="429">
        <v>18</v>
      </c>
      <c r="O23" s="430">
        <v>354.11401369999999</v>
      </c>
      <c r="P23" s="430">
        <v>314.7409973</v>
      </c>
      <c r="Q23" s="431">
        <v>335.73699950000002</v>
      </c>
      <c r="R23" s="432">
        <v>285.006012</v>
      </c>
      <c r="S23" s="429">
        <v>18</v>
      </c>
      <c r="T23" s="430">
        <v>382.77999115</v>
      </c>
      <c r="U23" s="430">
        <v>390.15600400999995</v>
      </c>
      <c r="V23" s="431">
        <v>386.49800113000003</v>
      </c>
      <c r="W23" s="423">
        <v>379.87400246999994</v>
      </c>
    </row>
    <row r="24" spans="1:23" ht="11.25" customHeight="1">
      <c r="A24" s="77"/>
      <c r="B24" s="162"/>
      <c r="C24" s="39"/>
      <c r="D24" s="162"/>
      <c r="E24" s="162"/>
      <c r="F24" s="70"/>
      <c r="G24" s="66"/>
      <c r="H24" s="66"/>
      <c r="I24" s="71"/>
      <c r="J24" s="6"/>
      <c r="K24" s="6"/>
      <c r="L24" s="15"/>
      <c r="N24" s="429">
        <v>19</v>
      </c>
      <c r="O24" s="430">
        <v>363.43499759999997</v>
      </c>
      <c r="P24" s="430">
        <v>314.7409973</v>
      </c>
      <c r="Q24" s="431">
        <v>314.7409973</v>
      </c>
      <c r="R24" s="432">
        <v>314.7409973</v>
      </c>
      <c r="S24" s="429">
        <v>19</v>
      </c>
      <c r="T24" s="430">
        <v>381.91700169999996</v>
      </c>
      <c r="U24" s="430">
        <v>386.47099490999994</v>
      </c>
      <c r="V24" s="431">
        <v>384.38200000000001</v>
      </c>
      <c r="W24" s="423">
        <v>375.69400404000004</v>
      </c>
    </row>
    <row r="25" spans="1:23" ht="11.25" customHeight="1">
      <c r="A25" s="267" t="s">
        <v>473</v>
      </c>
      <c r="B25" s="162"/>
      <c r="C25" s="39"/>
      <c r="D25" s="162"/>
      <c r="E25" s="162"/>
      <c r="F25" s="70"/>
      <c r="G25" s="66"/>
      <c r="H25" s="66"/>
      <c r="I25" s="71"/>
      <c r="J25" s="3"/>
      <c r="K25" s="7"/>
      <c r="L25" s="16"/>
      <c r="N25" s="726">
        <v>20</v>
      </c>
      <c r="O25" s="430">
        <v>366.56100459999999</v>
      </c>
      <c r="P25" s="430">
        <v>314.7409973</v>
      </c>
      <c r="Q25" s="431">
        <v>315.3340149</v>
      </c>
      <c r="R25" s="432">
        <v>314.14801030000001</v>
      </c>
      <c r="S25" s="429">
        <v>20</v>
      </c>
      <c r="T25" s="430">
        <v>379.35699083999998</v>
      </c>
      <c r="U25" s="430">
        <v>382.00799562999993</v>
      </c>
      <c r="V25" s="431">
        <v>381.56399727000002</v>
      </c>
      <c r="W25" s="728">
        <v>370.56599616999995</v>
      </c>
    </row>
    <row r="26" spans="1:23" ht="11.25" customHeight="1">
      <c r="A26" s="54"/>
      <c r="B26" s="162"/>
      <c r="C26" s="39"/>
      <c r="D26" s="162"/>
      <c r="E26" s="162"/>
      <c r="F26" s="70"/>
      <c r="G26" s="66"/>
      <c r="H26" s="66"/>
      <c r="I26" s="71"/>
      <c r="J26" s="4"/>
      <c r="K26" s="6"/>
      <c r="L26" s="15"/>
      <c r="N26" s="429">
        <v>21</v>
      </c>
      <c r="O26" s="430">
        <v>357.21099850000002</v>
      </c>
      <c r="P26" s="430">
        <v>314.7409973</v>
      </c>
      <c r="Q26" s="431">
        <v>311.78100590000003</v>
      </c>
      <c r="R26" s="727">
        <v>312.37200927734301</v>
      </c>
      <c r="S26" s="429">
        <v>21</v>
      </c>
      <c r="T26" s="430">
        <v>375.59600258</v>
      </c>
      <c r="U26" s="430">
        <v>378.52099610999994</v>
      </c>
      <c r="V26" s="431">
        <v>376.47088237999998</v>
      </c>
      <c r="W26" s="423">
        <v>365.52200794219863</v>
      </c>
    </row>
    <row r="27" spans="1:23" ht="11.25" customHeight="1">
      <c r="A27" s="77"/>
      <c r="B27" s="162"/>
      <c r="C27" s="39"/>
      <c r="D27" s="162"/>
      <c r="E27" s="162"/>
      <c r="F27" s="73"/>
      <c r="G27" s="73"/>
      <c r="H27" s="73"/>
      <c r="I27" s="73"/>
      <c r="J27" s="4"/>
      <c r="K27" s="6"/>
      <c r="L27" s="15"/>
      <c r="N27" s="429">
        <v>22</v>
      </c>
      <c r="O27" s="430">
        <v>341.82</v>
      </c>
      <c r="P27" s="430">
        <v>311.78100590000003</v>
      </c>
      <c r="Q27" s="431">
        <v>310.60000609999997</v>
      </c>
      <c r="R27" s="727">
        <v>310.60000609999997</v>
      </c>
      <c r="S27" s="429">
        <v>22</v>
      </c>
      <c r="T27" s="430">
        <v>373.52000000000004</v>
      </c>
      <c r="U27" s="430">
        <v>375.20999716</v>
      </c>
      <c r="V27" s="431">
        <v>370.73099807</v>
      </c>
      <c r="W27" s="423">
        <v>359.19900507300002</v>
      </c>
    </row>
    <row r="28" spans="1:23" ht="11.25" customHeight="1">
      <c r="A28" s="77"/>
      <c r="B28" s="162"/>
      <c r="C28" s="39"/>
      <c r="D28" s="162"/>
      <c r="E28" s="162"/>
      <c r="F28" s="73"/>
      <c r="G28" s="73"/>
      <c r="H28" s="73"/>
      <c r="I28" s="73"/>
      <c r="J28" s="4"/>
      <c r="K28" s="6"/>
      <c r="L28" s="15"/>
      <c r="N28" s="429">
        <v>23</v>
      </c>
      <c r="O28" s="430">
        <v>326.67999270000001</v>
      </c>
      <c r="P28" s="430">
        <v>308.82998659999998</v>
      </c>
      <c r="Q28" s="431">
        <v>307.06500240000003</v>
      </c>
      <c r="R28" s="727">
        <v>307.06500240000003</v>
      </c>
      <c r="S28" s="429">
        <v>23</v>
      </c>
      <c r="T28" s="430">
        <v>369.22100255000004</v>
      </c>
      <c r="U28" s="430">
        <v>374.07600211999994</v>
      </c>
      <c r="V28" s="431">
        <v>363.24299430999997</v>
      </c>
      <c r="W28" s="423">
        <v>354.24799921000005</v>
      </c>
    </row>
    <row r="29" spans="1:23" ht="11.25" customHeight="1">
      <c r="A29" s="77"/>
      <c r="B29" s="162"/>
      <c r="C29" s="39"/>
      <c r="D29" s="162"/>
      <c r="E29" s="162"/>
      <c r="F29" s="73"/>
      <c r="G29" s="73"/>
      <c r="H29" s="73"/>
      <c r="I29" s="73"/>
      <c r="J29" s="4"/>
      <c r="K29" s="6"/>
      <c r="L29" s="15"/>
      <c r="N29" s="429">
        <v>24</v>
      </c>
      <c r="O29" s="430">
        <v>308.82998659999998</v>
      </c>
      <c r="P29" s="430">
        <v>300.0379944</v>
      </c>
      <c r="Q29" s="431">
        <v>302.9590149</v>
      </c>
      <c r="R29" s="727">
        <v>300.621002197265</v>
      </c>
      <c r="S29" s="429">
        <v>24</v>
      </c>
      <c r="T29" s="430">
        <v>364.44200138999997</v>
      </c>
      <c r="U29" s="430">
        <v>370.89200402</v>
      </c>
      <c r="V29" s="431">
        <v>357.21200376000002</v>
      </c>
      <c r="W29" s="423">
        <v>348.87000203132561</v>
      </c>
    </row>
    <row r="30" spans="1:23" ht="11.25" customHeight="1">
      <c r="A30" s="74"/>
      <c r="B30" s="73"/>
      <c r="C30" s="73"/>
      <c r="D30" s="73"/>
      <c r="E30" s="73"/>
      <c r="F30" s="73"/>
      <c r="G30" s="73"/>
      <c r="H30" s="73"/>
      <c r="I30" s="73"/>
      <c r="J30" s="3"/>
      <c r="K30" s="6"/>
      <c r="L30" s="15"/>
      <c r="N30" s="429">
        <v>25</v>
      </c>
      <c r="O30" s="430">
        <v>291.33300780000002</v>
      </c>
      <c r="P30" s="430">
        <v>294.22500609999997</v>
      </c>
      <c r="Q30" s="431">
        <v>300.0379944</v>
      </c>
      <c r="R30" s="727">
        <v>286.72698969999999</v>
      </c>
      <c r="S30" s="429">
        <v>25</v>
      </c>
      <c r="T30" s="430">
        <v>359.61999897999999</v>
      </c>
      <c r="U30" s="430">
        <v>366.71700096999996</v>
      </c>
      <c r="V30" s="431">
        <v>352.1909981</v>
      </c>
      <c r="W30" s="423">
        <v>343.83099551700002</v>
      </c>
    </row>
    <row r="31" spans="1:23" ht="11.25" customHeight="1">
      <c r="A31" s="74"/>
      <c r="B31" s="73"/>
      <c r="C31" s="73"/>
      <c r="D31" s="73"/>
      <c r="E31" s="73"/>
      <c r="F31" s="73"/>
      <c r="G31" s="73"/>
      <c r="H31" s="73"/>
      <c r="I31" s="73"/>
      <c r="J31" s="3"/>
      <c r="K31" s="6"/>
      <c r="L31" s="15"/>
      <c r="N31" s="429">
        <v>26</v>
      </c>
      <c r="O31" s="430">
        <v>268.55099489999998</v>
      </c>
      <c r="P31" s="430">
        <v>282.71701050000001</v>
      </c>
      <c r="Q31" s="431">
        <v>296.06698610000001</v>
      </c>
      <c r="R31" s="727">
        <v>266.86801150000002</v>
      </c>
      <c r="S31" s="429">
        <v>26</v>
      </c>
      <c r="T31" s="430">
        <v>354.77499773999995</v>
      </c>
      <c r="U31" s="430">
        <v>361.43599508999995</v>
      </c>
      <c r="V31" s="431">
        <v>346.62612917400003</v>
      </c>
      <c r="W31" s="423">
        <v>338.47100355099997</v>
      </c>
    </row>
    <row r="32" spans="1:23" ht="11.25" customHeight="1">
      <c r="A32" s="74"/>
      <c r="B32" s="73"/>
      <c r="C32" s="73"/>
      <c r="D32" s="73"/>
      <c r="E32" s="73"/>
      <c r="F32" s="73"/>
      <c r="G32" s="73"/>
      <c r="H32" s="73"/>
      <c r="I32" s="73"/>
      <c r="J32" s="3"/>
      <c r="K32" s="6"/>
      <c r="L32" s="15"/>
      <c r="N32" s="429">
        <v>27</v>
      </c>
      <c r="O32" s="430">
        <v>265.7470093</v>
      </c>
      <c r="P32" s="430">
        <v>271.36</v>
      </c>
      <c r="Q32" s="431">
        <v>275.89</v>
      </c>
      <c r="R32" s="727">
        <v>255.73500061035099</v>
      </c>
      <c r="S32" s="429">
        <v>27</v>
      </c>
      <c r="T32" s="430">
        <v>349.77999684000002</v>
      </c>
      <c r="U32" s="430">
        <v>355.34</v>
      </c>
      <c r="V32" s="431">
        <v>341.25900444999996</v>
      </c>
      <c r="W32" s="423">
        <v>333.23996639251612</v>
      </c>
    </row>
    <row r="33" spans="1:23" ht="11.25" customHeight="1">
      <c r="A33" s="74"/>
      <c r="B33" s="73"/>
      <c r="C33" s="73"/>
      <c r="D33" s="73"/>
      <c r="E33" s="73"/>
      <c r="F33" s="73"/>
      <c r="G33" s="73"/>
      <c r="H33" s="73"/>
      <c r="I33" s="73"/>
      <c r="J33" s="3"/>
      <c r="K33" s="6"/>
      <c r="L33" s="15"/>
      <c r="N33" s="429">
        <v>28</v>
      </c>
      <c r="O33" s="430">
        <v>243.66999820000001</v>
      </c>
      <c r="P33" s="433">
        <v>260.16900629999998</v>
      </c>
      <c r="Q33" s="431">
        <v>248.58200070000001</v>
      </c>
      <c r="R33" s="727">
        <v>244.7590027</v>
      </c>
      <c r="S33" s="429">
        <v>28</v>
      </c>
      <c r="T33" s="430">
        <v>344.32400322999996</v>
      </c>
      <c r="U33" s="430">
        <v>349.01599981000004</v>
      </c>
      <c r="V33" s="431">
        <v>337.18899436699996</v>
      </c>
      <c r="W33" s="423">
        <v>327.71050074999999</v>
      </c>
    </row>
    <row r="34" spans="1:23" ht="11.25" customHeight="1">
      <c r="A34" s="74"/>
      <c r="B34" s="73"/>
      <c r="C34" s="73"/>
      <c r="D34" s="73"/>
      <c r="E34" s="73"/>
      <c r="F34" s="73"/>
      <c r="G34" s="73"/>
      <c r="H34" s="73"/>
      <c r="I34" s="73"/>
      <c r="J34" s="3"/>
      <c r="K34" s="6"/>
      <c r="L34" s="15"/>
      <c r="N34" s="429">
        <v>29</v>
      </c>
      <c r="O34" s="430">
        <v>227.5220032</v>
      </c>
      <c r="P34" s="430">
        <v>251.88</v>
      </c>
      <c r="Q34" s="431">
        <v>238.787994384765</v>
      </c>
      <c r="R34" s="727">
        <v>231.25799559999999</v>
      </c>
      <c r="S34" s="429">
        <v>29</v>
      </c>
      <c r="T34" s="430">
        <v>338.60699847999996</v>
      </c>
      <c r="U34" s="430">
        <v>343.97999999999996</v>
      </c>
      <c r="V34" s="431">
        <v>333.50600986443789</v>
      </c>
      <c r="W34" s="423">
        <v>322.11699965099996</v>
      </c>
    </row>
    <row r="35" spans="1:23" ht="11.25" customHeight="1">
      <c r="A35" s="74"/>
      <c r="B35" s="73"/>
      <c r="C35" s="73"/>
      <c r="D35" s="73"/>
      <c r="E35" s="73"/>
      <c r="F35" s="73"/>
      <c r="G35" s="73"/>
      <c r="H35" s="73"/>
      <c r="I35" s="73"/>
      <c r="J35" s="6"/>
      <c r="K35" s="6"/>
      <c r="L35" s="15"/>
      <c r="N35" s="429">
        <v>30</v>
      </c>
      <c r="O35" s="430">
        <v>216.95199579999999</v>
      </c>
      <c r="P35" s="430">
        <v>232.8650055</v>
      </c>
      <c r="Q35" s="431">
        <v>229.12</v>
      </c>
      <c r="R35" s="727">
        <v>219.58000179999999</v>
      </c>
      <c r="S35" s="429">
        <v>30</v>
      </c>
      <c r="T35" s="430">
        <v>332.49400331000004</v>
      </c>
      <c r="U35" s="430">
        <v>342.06599807739167</v>
      </c>
      <c r="V35" s="431">
        <v>324.04999999999995</v>
      </c>
      <c r="W35" s="423">
        <v>316.39600081599997</v>
      </c>
    </row>
    <row r="36" spans="1:23" ht="11.25" customHeight="1">
      <c r="A36" s="74"/>
      <c r="B36" s="73"/>
      <c r="C36" s="73"/>
      <c r="D36" s="73"/>
      <c r="E36" s="73"/>
      <c r="F36" s="73"/>
      <c r="G36" s="73"/>
      <c r="H36" s="73"/>
      <c r="I36" s="73"/>
      <c r="J36" s="3"/>
      <c r="K36" s="6"/>
      <c r="L36" s="15"/>
      <c r="N36" s="429">
        <v>31</v>
      </c>
      <c r="O36" s="430">
        <v>209.128006</v>
      </c>
      <c r="P36" s="430">
        <v>211.726</v>
      </c>
      <c r="Q36" s="431">
        <v>219.05400090000001</v>
      </c>
      <c r="R36" s="727">
        <v>209.128006</v>
      </c>
      <c r="S36" s="429">
        <v>31</v>
      </c>
      <c r="T36" s="430">
        <v>324</v>
      </c>
      <c r="U36" s="430">
        <v>335.23199999999997</v>
      </c>
      <c r="V36" s="431">
        <v>318.10600236499999</v>
      </c>
      <c r="W36" s="423">
        <v>310.66199637099999</v>
      </c>
    </row>
    <row r="37" spans="1:23" ht="11.25" customHeight="1">
      <c r="A37" s="74"/>
      <c r="B37" s="73"/>
      <c r="C37" s="73"/>
      <c r="D37" s="73"/>
      <c r="E37" s="73"/>
      <c r="F37" s="73"/>
      <c r="G37" s="73"/>
      <c r="H37" s="73"/>
      <c r="I37" s="73"/>
      <c r="J37" s="3"/>
      <c r="K37" s="10"/>
      <c r="L37" s="15"/>
      <c r="N37" s="429">
        <v>32</v>
      </c>
      <c r="O37" s="430">
        <v>198.83200070000001</v>
      </c>
      <c r="P37" s="430">
        <v>181.19200129999999</v>
      </c>
      <c r="Q37" s="431">
        <v>209.128006</v>
      </c>
      <c r="R37" s="432">
        <v>201.39199830000001</v>
      </c>
      <c r="S37" s="429">
        <v>32</v>
      </c>
      <c r="T37" s="430">
        <v>320.73399734000003</v>
      </c>
      <c r="U37" s="430">
        <v>329.56800555999996</v>
      </c>
      <c r="V37" s="431">
        <v>312.078003352</v>
      </c>
      <c r="W37" s="423">
        <v>304.63100243800005</v>
      </c>
    </row>
    <row r="38" spans="1:23" ht="11.25" customHeight="1">
      <c r="A38" s="74"/>
      <c r="B38" s="73"/>
      <c r="C38" s="73"/>
      <c r="D38" s="73"/>
      <c r="E38" s="73"/>
      <c r="F38" s="73"/>
      <c r="G38" s="73"/>
      <c r="H38" s="73"/>
      <c r="I38" s="73"/>
      <c r="J38" s="3"/>
      <c r="K38" s="10"/>
      <c r="L38" s="38"/>
      <c r="N38" s="429">
        <v>33</v>
      </c>
      <c r="O38" s="430">
        <v>188.69299319999999</v>
      </c>
      <c r="P38" s="430">
        <v>152.0650024</v>
      </c>
      <c r="Q38" s="431">
        <v>199.85499569999999</v>
      </c>
      <c r="R38" s="432">
        <v>189.6999969</v>
      </c>
      <c r="S38" s="429">
        <v>33</v>
      </c>
      <c r="T38" s="430">
        <v>314.19900131999998</v>
      </c>
      <c r="U38" s="430">
        <v>323.79099748000004</v>
      </c>
      <c r="V38" s="431">
        <v>312.078003352</v>
      </c>
      <c r="W38" s="423">
        <v>299.14499665</v>
      </c>
    </row>
    <row r="39" spans="1:23" ht="11.25" customHeight="1">
      <c r="A39" s="74"/>
      <c r="B39" s="73"/>
      <c r="C39" s="73"/>
      <c r="D39" s="73"/>
      <c r="E39" s="73"/>
      <c r="F39" s="73"/>
      <c r="G39" s="73"/>
      <c r="H39" s="73"/>
      <c r="I39" s="73"/>
      <c r="J39" s="3"/>
      <c r="K39" s="7"/>
      <c r="L39" s="15"/>
      <c r="N39" s="429">
        <v>34</v>
      </c>
      <c r="O39" s="430">
        <v>183.68200680000001</v>
      </c>
      <c r="P39" s="430">
        <v>156.8220062</v>
      </c>
      <c r="Q39" s="431">
        <v>188.69299319999999</v>
      </c>
      <c r="R39" s="432">
        <v>178.71099849999999</v>
      </c>
      <c r="S39" s="429">
        <v>34</v>
      </c>
      <c r="T39" s="430">
        <v>307.85200500000002</v>
      </c>
      <c r="U39" s="430">
        <v>317.64699750999995</v>
      </c>
      <c r="V39" s="431">
        <v>299.58200316099999</v>
      </c>
      <c r="W39" s="423">
        <v>293.22399712800001</v>
      </c>
    </row>
    <row r="40" spans="1:23" ht="11.25" customHeight="1">
      <c r="A40" s="74"/>
      <c r="B40" s="73"/>
      <c r="C40" s="73"/>
      <c r="D40" s="73"/>
      <c r="E40" s="73"/>
      <c r="F40" s="73"/>
      <c r="G40" s="73"/>
      <c r="H40" s="73"/>
      <c r="I40" s="73"/>
      <c r="J40" s="3"/>
      <c r="K40" s="7"/>
      <c r="L40" s="15"/>
      <c r="N40" s="429">
        <v>35</v>
      </c>
      <c r="O40" s="430">
        <v>176.23899840000001</v>
      </c>
      <c r="P40" s="434">
        <v>156.82</v>
      </c>
      <c r="Q40" s="431">
        <v>177.72099299999999</v>
      </c>
      <c r="R40" s="432">
        <v>167.91000366210901</v>
      </c>
      <c r="S40" s="429">
        <v>35</v>
      </c>
      <c r="T40" s="430">
        <v>300.83900069999999</v>
      </c>
      <c r="U40" s="430">
        <v>311.42</v>
      </c>
      <c r="V40" s="431">
        <v>292.71899843200003</v>
      </c>
      <c r="W40" s="423">
        <v>287.11000061035065</v>
      </c>
    </row>
    <row r="41" spans="1:23" ht="11.25" customHeight="1">
      <c r="A41" s="74"/>
      <c r="B41" s="73"/>
      <c r="C41" s="73"/>
      <c r="D41" s="73"/>
      <c r="E41" s="73"/>
      <c r="F41" s="73"/>
      <c r="G41" s="73"/>
      <c r="H41" s="73"/>
      <c r="I41" s="73"/>
      <c r="J41" s="3"/>
      <c r="K41" s="7"/>
      <c r="L41" s="15"/>
      <c r="N41" s="429">
        <v>36</v>
      </c>
      <c r="O41" s="430">
        <v>168.8840027</v>
      </c>
      <c r="P41" s="434">
        <v>159.21</v>
      </c>
      <c r="Q41" s="431">
        <v>164.99800110000001</v>
      </c>
      <c r="R41" s="432">
        <v>158.25599670410099</v>
      </c>
      <c r="S41" s="429">
        <v>36</v>
      </c>
      <c r="T41" s="430">
        <v>293.46100233999999</v>
      </c>
      <c r="U41" s="430">
        <v>305.20999999999998</v>
      </c>
      <c r="V41" s="431">
        <v>286.64699412499999</v>
      </c>
      <c r="W41" s="423">
        <v>280.34500217437699</v>
      </c>
    </row>
    <row r="42" spans="1:23" ht="11.25" customHeight="1">
      <c r="A42" s="74"/>
      <c r="B42" s="73"/>
      <c r="C42" s="73"/>
      <c r="D42" s="73"/>
      <c r="E42" s="73"/>
      <c r="F42" s="73"/>
      <c r="G42" s="73"/>
      <c r="H42" s="73"/>
      <c r="I42" s="73"/>
      <c r="J42" s="6"/>
      <c r="K42" s="10"/>
      <c r="L42" s="15"/>
      <c r="N42" s="429">
        <v>37</v>
      </c>
      <c r="O42" s="430">
        <v>159.2149963</v>
      </c>
      <c r="P42" s="434">
        <v>159.2149963</v>
      </c>
      <c r="Q42" s="431">
        <v>154.53400055</v>
      </c>
      <c r="R42" s="432">
        <v>147.34800720214801</v>
      </c>
      <c r="S42" s="429">
        <v>37</v>
      </c>
      <c r="T42" s="430">
        <v>287.76599501999999</v>
      </c>
      <c r="U42" s="430">
        <v>299.17000225600003</v>
      </c>
      <c r="V42" s="431">
        <v>280.605003845</v>
      </c>
      <c r="W42" s="423">
        <v>273.90200042724575</v>
      </c>
    </row>
    <row r="43" spans="1:23" ht="11.25" customHeight="1">
      <c r="A43" s="74"/>
      <c r="B43" s="73"/>
      <c r="C43" s="73"/>
      <c r="D43" s="73"/>
      <c r="E43" s="73"/>
      <c r="F43" s="73"/>
      <c r="G43" s="73"/>
      <c r="H43" s="73"/>
      <c r="I43" s="73"/>
      <c r="J43" s="3"/>
      <c r="K43" s="10"/>
      <c r="L43" s="15"/>
      <c r="N43" s="429">
        <v>38</v>
      </c>
      <c r="O43" s="430">
        <v>149.70199579999999</v>
      </c>
      <c r="P43" s="434">
        <v>149.70199579999999</v>
      </c>
      <c r="Q43" s="431">
        <v>144.07</v>
      </c>
      <c r="R43" s="432">
        <v>136.64599609375</v>
      </c>
      <c r="S43" s="429">
        <v>38</v>
      </c>
      <c r="T43" s="430">
        <v>282.07300377000001</v>
      </c>
      <c r="U43" s="430">
        <v>292.45899891799996</v>
      </c>
      <c r="V43" s="431">
        <v>274.21999999999997</v>
      </c>
      <c r="W43" s="423">
        <v>267.16300058364783</v>
      </c>
    </row>
    <row r="44" spans="1:23" ht="11.25" customHeight="1">
      <c r="A44" s="74"/>
      <c r="B44" s="73"/>
      <c r="C44" s="73"/>
      <c r="D44" s="73"/>
      <c r="E44" s="73"/>
      <c r="F44" s="73"/>
      <c r="G44" s="73"/>
      <c r="H44" s="73"/>
      <c r="I44" s="73"/>
      <c r="J44" s="3"/>
      <c r="K44" s="10"/>
      <c r="L44" s="15"/>
      <c r="N44" s="429">
        <v>39</v>
      </c>
      <c r="O44" s="430">
        <v>138.02999879999999</v>
      </c>
      <c r="P44" s="434">
        <v>117.6380005</v>
      </c>
      <c r="Q44" s="431">
        <v>135.725006103515</v>
      </c>
      <c r="R44" s="432">
        <v>131.14500430000001</v>
      </c>
      <c r="S44" s="429">
        <v>39</v>
      </c>
      <c r="T44" s="430">
        <v>275.53000069000001</v>
      </c>
      <c r="U44" s="430">
        <v>286.11999916000002</v>
      </c>
      <c r="V44" s="431">
        <v>267.58499765396107</v>
      </c>
      <c r="W44" s="423">
        <v>262.426999588</v>
      </c>
    </row>
    <row r="45" spans="1:23" ht="11.25" customHeight="1">
      <c r="A45" s="74"/>
      <c r="B45" s="73"/>
      <c r="C45" s="73"/>
      <c r="D45" s="73"/>
      <c r="E45" s="73"/>
      <c r="F45" s="73"/>
      <c r="G45" s="73"/>
      <c r="H45" s="73"/>
      <c r="I45" s="73"/>
      <c r="J45" s="11"/>
      <c r="K45" s="11"/>
      <c r="L45" s="11"/>
      <c r="N45" s="429">
        <v>40</v>
      </c>
      <c r="O45" s="430">
        <v>131.14500430000001</v>
      </c>
      <c r="P45" s="430">
        <v>91.680000309999997</v>
      </c>
      <c r="Q45" s="431">
        <v>127.0559998</v>
      </c>
      <c r="R45" s="432">
        <v>120.7580032</v>
      </c>
      <c r="S45" s="429">
        <v>40</v>
      </c>
      <c r="T45" s="430">
        <v>268.25699615000002</v>
      </c>
      <c r="U45" s="430">
        <v>278.57999837699998</v>
      </c>
      <c r="V45" s="431">
        <v>260.96199703900004</v>
      </c>
      <c r="W45" s="423">
        <v>258.968997</v>
      </c>
    </row>
    <row r="46" spans="1:23" ht="11.25" customHeight="1">
      <c r="A46" s="74"/>
      <c r="B46" s="73"/>
      <c r="C46" s="73"/>
      <c r="D46" s="73"/>
      <c r="E46" s="73"/>
      <c r="F46" s="73"/>
      <c r="G46" s="73"/>
      <c r="H46" s="73"/>
      <c r="I46" s="73"/>
      <c r="J46" s="11"/>
      <c r="K46" s="11"/>
      <c r="L46" s="11"/>
      <c r="N46" s="429">
        <v>41</v>
      </c>
      <c r="O46" s="430">
        <v>108.82900239999999</v>
      </c>
      <c r="P46" s="430">
        <v>71.125</v>
      </c>
      <c r="Q46" s="431">
        <v>110.13999939999999</v>
      </c>
      <c r="R46" s="432">
        <v>102.3249969</v>
      </c>
      <c r="S46" s="429">
        <v>41</v>
      </c>
      <c r="T46" s="430">
        <v>261.21399689000003</v>
      </c>
      <c r="U46" s="430">
        <v>271.23250496387476</v>
      </c>
      <c r="V46" s="431">
        <v>253.29600046600001</v>
      </c>
      <c r="W46" s="423">
        <v>255.76199719799999</v>
      </c>
    </row>
    <row r="47" spans="1:23" ht="11.25" customHeight="1">
      <c r="A47" s="74"/>
      <c r="B47" s="73"/>
      <c r="C47" s="73"/>
      <c r="D47" s="73"/>
      <c r="E47" s="73"/>
      <c r="F47" s="73"/>
      <c r="G47" s="73"/>
      <c r="H47" s="73"/>
      <c r="I47" s="73"/>
      <c r="J47" s="11"/>
      <c r="K47" s="11"/>
      <c r="L47" s="11"/>
      <c r="N47" s="429">
        <v>42</v>
      </c>
      <c r="O47" s="430">
        <v>95.908996579999993</v>
      </c>
      <c r="P47" s="430">
        <v>59.261001586913999</v>
      </c>
      <c r="Q47" s="431">
        <v>100.61</v>
      </c>
      <c r="R47" s="432">
        <v>92.944999694824205</v>
      </c>
      <c r="S47" s="429">
        <v>42</v>
      </c>
      <c r="T47" s="430">
        <v>255.58900451</v>
      </c>
      <c r="U47" s="430">
        <v>256.27199935913058</v>
      </c>
      <c r="V47" s="431">
        <v>246.06</v>
      </c>
      <c r="W47" s="423">
        <v>251.31199836730943</v>
      </c>
    </row>
    <row r="48" spans="1:23" ht="11.25" customHeight="1">
      <c r="A48" s="74"/>
      <c r="B48" s="73"/>
      <c r="C48" s="73"/>
      <c r="D48" s="73"/>
      <c r="E48" s="73"/>
      <c r="F48" s="73"/>
      <c r="G48" s="73"/>
      <c r="H48" s="73"/>
      <c r="I48" s="73"/>
      <c r="J48" s="11"/>
      <c r="K48" s="11"/>
      <c r="L48" s="11"/>
      <c r="N48" s="429">
        <v>43</v>
      </c>
      <c r="O48" s="430">
        <v>83.341003420000007</v>
      </c>
      <c r="P48" s="430">
        <v>47.749000549316399</v>
      </c>
      <c r="Q48" s="431">
        <v>95.484001160000005</v>
      </c>
      <c r="R48" s="432">
        <v>84.166999820000001</v>
      </c>
      <c r="S48" s="429">
        <v>43</v>
      </c>
      <c r="T48" s="430">
        <v>249.85500335</v>
      </c>
      <c r="U48" s="430">
        <v>249.67099761962871</v>
      </c>
      <c r="V48" s="431">
        <v>241.02699661899999</v>
      </c>
      <c r="W48" s="423">
        <v>245.88199755799999</v>
      </c>
    </row>
    <row r="49" spans="1:23" ht="11.25" customHeight="1">
      <c r="A49" s="74"/>
      <c r="B49" s="73"/>
      <c r="C49" s="73"/>
      <c r="D49" s="73"/>
      <c r="E49" s="73"/>
      <c r="F49" s="73"/>
      <c r="G49" s="73"/>
      <c r="H49" s="73"/>
      <c r="I49" s="73"/>
      <c r="J49" s="11"/>
      <c r="K49" s="11"/>
      <c r="L49" s="11"/>
      <c r="N49" s="429">
        <v>44</v>
      </c>
      <c r="O49" s="430">
        <v>75.16</v>
      </c>
      <c r="P49" s="430">
        <v>38.424999239999998</v>
      </c>
      <c r="Q49" s="431">
        <v>89.581001279999995</v>
      </c>
      <c r="R49" s="432">
        <v>82.51499939</v>
      </c>
      <c r="S49" s="429">
        <v>44</v>
      </c>
      <c r="T49" s="430">
        <v>242.79000000000002</v>
      </c>
      <c r="U49" s="430">
        <v>249.67099761962871</v>
      </c>
      <c r="V49" s="431">
        <v>234.19399833099999</v>
      </c>
      <c r="W49" s="423">
        <v>239.051002463</v>
      </c>
    </row>
    <row r="50" spans="1:23" ht="12.75">
      <c r="A50" s="74"/>
      <c r="B50" s="73"/>
      <c r="C50" s="73"/>
      <c r="D50" s="73"/>
      <c r="E50" s="73"/>
      <c r="F50" s="73"/>
      <c r="G50" s="73"/>
      <c r="H50" s="73"/>
      <c r="I50" s="73"/>
      <c r="J50" s="11"/>
      <c r="K50" s="11"/>
      <c r="L50" s="11"/>
      <c r="N50" s="429">
        <v>45</v>
      </c>
      <c r="O50" s="430">
        <v>65.149002080000002</v>
      </c>
      <c r="P50" s="430">
        <v>31.142000199999998</v>
      </c>
      <c r="Q50" s="431">
        <v>79.638999940000005</v>
      </c>
      <c r="R50" s="432"/>
      <c r="S50" s="429">
        <v>45</v>
      </c>
      <c r="T50" s="430">
        <v>235.60499572000001</v>
      </c>
      <c r="U50" s="430">
        <v>243.378839739</v>
      </c>
      <c r="V50" s="431">
        <v>228.64612817499997</v>
      </c>
    </row>
    <row r="51" spans="1:23" ht="12.75">
      <c r="A51" s="74"/>
      <c r="B51" s="73"/>
      <c r="C51" s="73"/>
      <c r="D51" s="73"/>
      <c r="E51" s="73"/>
      <c r="F51" s="73"/>
      <c r="G51" s="73"/>
      <c r="H51" s="73"/>
      <c r="I51" s="73"/>
      <c r="J51" s="11"/>
      <c r="K51" s="11"/>
      <c r="L51" s="11"/>
      <c r="N51" s="429">
        <v>46</v>
      </c>
      <c r="O51" s="430">
        <v>47.749000549999998</v>
      </c>
      <c r="P51" s="430">
        <v>22.26</v>
      </c>
      <c r="Q51" s="431">
        <v>80.049003600000006</v>
      </c>
      <c r="R51" s="432"/>
      <c r="S51" s="429">
        <v>46</v>
      </c>
      <c r="T51" s="430">
        <v>230.54900361099999</v>
      </c>
      <c r="U51" s="430">
        <v>236.34</v>
      </c>
      <c r="V51" s="431">
        <v>222.81199835999999</v>
      </c>
    </row>
    <row r="52" spans="1:23" ht="12.75">
      <c r="A52" s="74"/>
      <c r="B52" s="73"/>
      <c r="C52" s="73"/>
      <c r="D52" s="73"/>
      <c r="E52" s="73"/>
      <c r="F52" s="73"/>
      <c r="G52" s="73"/>
      <c r="H52" s="73"/>
      <c r="I52" s="73"/>
      <c r="J52" s="11"/>
      <c r="K52" s="11"/>
      <c r="L52" s="11"/>
      <c r="N52" s="429">
        <v>47</v>
      </c>
      <c r="O52" s="430">
        <v>34.763999939999998</v>
      </c>
      <c r="P52" s="430">
        <v>17.044000629999999</v>
      </c>
      <c r="Q52" s="431">
        <v>85.825996399999994</v>
      </c>
      <c r="R52" s="432"/>
      <c r="S52" s="429">
        <v>47</v>
      </c>
      <c r="T52" s="430">
        <v>223.60000467499998</v>
      </c>
      <c r="U52" s="430">
        <v>227.62000255999999</v>
      </c>
      <c r="V52" s="431">
        <v>216.31200409100001</v>
      </c>
    </row>
    <row r="53" spans="1:23" ht="12.75">
      <c r="A53" s="74"/>
      <c r="B53" s="73"/>
      <c r="C53" s="73"/>
      <c r="D53" s="73"/>
      <c r="E53" s="73"/>
      <c r="F53" s="73"/>
      <c r="G53" s="73"/>
      <c r="H53" s="73"/>
      <c r="I53" s="73"/>
      <c r="J53" s="11"/>
      <c r="K53" s="11"/>
      <c r="L53" s="11"/>
      <c r="N53" s="429">
        <v>48</v>
      </c>
      <c r="O53" s="430">
        <v>13.618000029999999</v>
      </c>
      <c r="P53" s="430">
        <v>36.5890007</v>
      </c>
      <c r="Q53" s="431">
        <v>77.596000669999995</v>
      </c>
      <c r="R53" s="432"/>
      <c r="S53" s="429">
        <v>48</v>
      </c>
      <c r="T53" s="430">
        <v>217.17600035300001</v>
      </c>
      <c r="U53" s="430">
        <v>220.01436420799999</v>
      </c>
      <c r="V53" s="431">
        <v>210.250997547</v>
      </c>
    </row>
    <row r="54" spans="1:23" ht="13.5">
      <c r="A54" s="74"/>
      <c r="B54" s="73"/>
      <c r="C54" s="73"/>
      <c r="D54" s="73"/>
      <c r="E54" s="73"/>
      <c r="F54" s="73"/>
      <c r="G54" s="73"/>
      <c r="H54" s="73"/>
      <c r="I54" s="73"/>
      <c r="J54" s="11"/>
      <c r="K54" s="11"/>
      <c r="L54" s="11"/>
      <c r="N54" s="429">
        <v>49</v>
      </c>
      <c r="O54" s="435">
        <v>8.5520000459999999</v>
      </c>
      <c r="P54" s="430">
        <v>36.590000000000003</v>
      </c>
      <c r="Q54" s="431">
        <v>54.613998410000001</v>
      </c>
      <c r="R54" s="432"/>
      <c r="S54" s="429">
        <v>49</v>
      </c>
      <c r="T54" s="430">
        <v>210.45100211699997</v>
      </c>
      <c r="U54" s="430">
        <v>212.37999999999997</v>
      </c>
      <c r="V54" s="431">
        <v>202.73299884100001</v>
      </c>
    </row>
    <row r="55" spans="1:23" ht="12.75">
      <c r="A55" s="74"/>
      <c r="B55" s="73"/>
      <c r="C55" s="73"/>
      <c r="D55" s="73"/>
      <c r="E55" s="73"/>
      <c r="F55" s="73"/>
      <c r="G55" s="73"/>
      <c r="H55" s="73"/>
      <c r="I55" s="73"/>
      <c r="J55" s="11"/>
      <c r="K55" s="11"/>
      <c r="L55" s="11"/>
      <c r="N55" s="429">
        <v>50</v>
      </c>
      <c r="O55" s="430">
        <v>13.618000029999999</v>
      </c>
      <c r="P55" s="430">
        <v>34.763999939999998</v>
      </c>
      <c r="Q55" s="431">
        <v>64.358001709999996</v>
      </c>
      <c r="R55" s="432"/>
      <c r="S55" s="429">
        <v>50</v>
      </c>
      <c r="T55" s="430">
        <v>203.37099885499998</v>
      </c>
      <c r="U55" s="430">
        <v>205.46782675599999</v>
      </c>
      <c r="V55" s="431">
        <v>195.51400422099999</v>
      </c>
    </row>
    <row r="56" spans="1:23" ht="12.75">
      <c r="A56" s="74"/>
      <c r="B56" s="73"/>
      <c r="C56" s="73"/>
      <c r="D56" s="73"/>
      <c r="E56" s="73"/>
      <c r="F56" s="73"/>
      <c r="G56" s="73"/>
      <c r="H56" s="73"/>
      <c r="I56" s="73"/>
      <c r="J56" s="11"/>
      <c r="K56" s="11"/>
      <c r="L56" s="11"/>
      <c r="N56" s="429">
        <v>51</v>
      </c>
      <c r="O56" s="430">
        <v>18.771999359999999</v>
      </c>
      <c r="P56" s="430">
        <v>38.4</v>
      </c>
      <c r="Q56" s="431">
        <v>80.049003600000006</v>
      </c>
      <c r="R56" s="432"/>
      <c r="S56" s="429">
        <v>51</v>
      </c>
      <c r="T56" s="430">
        <v>202.35899971500001</v>
      </c>
      <c r="U56" s="430">
        <v>199</v>
      </c>
      <c r="V56" s="431">
        <v>188.995997891</v>
      </c>
    </row>
    <row r="57" spans="1:23" ht="12.75">
      <c r="A57" s="74"/>
      <c r="B57" s="73"/>
      <c r="C57" s="73"/>
      <c r="D57" s="73"/>
      <c r="E57" s="73"/>
      <c r="F57" s="73"/>
      <c r="G57" s="73"/>
      <c r="H57" s="73"/>
      <c r="I57" s="73"/>
      <c r="N57" s="429">
        <v>52</v>
      </c>
      <c r="O57" s="430">
        <v>25.781999590000002</v>
      </c>
      <c r="P57" s="430">
        <v>59.261001589999999</v>
      </c>
      <c r="Q57" s="431">
        <v>108.82900239999999</v>
      </c>
      <c r="R57" s="432"/>
      <c r="S57" s="429">
        <v>52</v>
      </c>
      <c r="T57" s="430">
        <v>201.25199794899999</v>
      </c>
      <c r="U57" s="430">
        <v>192.88799664499999</v>
      </c>
      <c r="V57" s="431">
        <v>184.65400219100002</v>
      </c>
    </row>
    <row r="58" spans="1:23" ht="12.75">
      <c r="A58" s="74"/>
      <c r="B58" s="73"/>
      <c r="C58" s="73"/>
      <c r="D58" s="73"/>
      <c r="E58" s="73"/>
      <c r="F58" s="73"/>
      <c r="G58" s="73"/>
      <c r="H58" s="73"/>
      <c r="I58" s="73"/>
      <c r="N58" s="429">
        <v>53</v>
      </c>
      <c r="O58" s="432"/>
      <c r="P58" s="432"/>
      <c r="Q58" s="432">
        <v>140.34500120000001</v>
      </c>
      <c r="R58" s="432"/>
      <c r="S58" s="429">
        <v>53</v>
      </c>
      <c r="T58" s="430"/>
      <c r="U58" s="430"/>
      <c r="V58" s="431"/>
    </row>
    <row r="59" spans="1:23" ht="12.75">
      <c r="B59" s="73"/>
      <c r="C59" s="73"/>
      <c r="D59" s="73"/>
      <c r="E59" s="73"/>
      <c r="F59" s="73"/>
      <c r="G59" s="73"/>
      <c r="H59" s="73"/>
      <c r="I59" s="73"/>
    </row>
    <row r="60" spans="1:23" ht="12.75">
      <c r="A60" s="74"/>
      <c r="B60" s="73"/>
      <c r="C60" s="73"/>
      <c r="D60" s="73"/>
      <c r="E60" s="73"/>
      <c r="F60" s="73"/>
      <c r="G60" s="73"/>
      <c r="H60" s="73"/>
      <c r="I60" s="73"/>
    </row>
    <row r="63" spans="1:23">
      <c r="A63" s="267" t="s">
        <v>474</v>
      </c>
    </row>
  </sheetData>
  <mergeCells count="2">
    <mergeCell ref="A5:I5"/>
    <mergeCell ref="B7:C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Mensual-Octubre 2020
INFSGI-MES-10-2020
12/11/2020
Versión: 01</oddHeader>
    <oddFooter>&amp;L&amp;7COES, 2020&amp;C11&amp;R&amp;7Dirección Ejecutiva
Sub Dirección de Gestión de Información</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tabColor theme="4"/>
  </sheetPr>
  <dimension ref="A1:U231"/>
  <sheetViews>
    <sheetView showGridLines="0" view="pageBreakPreview" zoomScaleNormal="100" zoomScaleSheetLayoutView="100" zoomScalePageLayoutView="130" workbookViewId="0">
      <selection activeCell="Q40" sqref="Q40"/>
    </sheetView>
  </sheetViews>
  <sheetFormatPr defaultColWidth="9.33203125" defaultRowHeight="11.25"/>
  <cols>
    <col min="3" max="3" width="28.5" customWidth="1"/>
    <col min="4" max="5" width="12" customWidth="1"/>
    <col min="6" max="6" width="12.33203125" customWidth="1"/>
    <col min="8" max="9" width="9.33203125" customWidth="1"/>
    <col min="10" max="10" width="9.33203125" style="111"/>
    <col min="11" max="11" width="9.33203125" style="846"/>
    <col min="12" max="12" width="3.1640625" style="846" bestFit="1" customWidth="1"/>
    <col min="13" max="16" width="9.33203125" style="432"/>
    <col min="17" max="21" width="9.33203125" style="423"/>
  </cols>
  <sheetData>
    <row r="1" spans="1:15" ht="11.25" customHeight="1"/>
    <row r="2" spans="1:15" ht="11.25" customHeight="1">
      <c r="A2" s="17"/>
      <c r="B2" s="17"/>
      <c r="C2" s="17"/>
      <c r="D2" s="17"/>
      <c r="E2" s="73"/>
      <c r="F2" s="73"/>
      <c r="G2" s="73"/>
    </row>
    <row r="3" spans="1:15" ht="17.25" customHeight="1">
      <c r="A3" s="961" t="s">
        <v>384</v>
      </c>
      <c r="B3" s="961"/>
      <c r="C3" s="961"/>
      <c r="D3" s="961"/>
      <c r="E3" s="961"/>
      <c r="F3" s="961"/>
      <c r="G3" s="961"/>
      <c r="H3" s="36"/>
      <c r="I3" s="36"/>
      <c r="K3" s="846" t="s">
        <v>262</v>
      </c>
      <c r="M3" s="432" t="s">
        <v>263</v>
      </c>
      <c r="N3" s="432" t="s">
        <v>264</v>
      </c>
      <c r="O3" s="432" t="s">
        <v>265</v>
      </c>
    </row>
    <row r="4" spans="1:15" ht="11.25" customHeight="1">
      <c r="A4" s="74"/>
      <c r="B4" s="73"/>
      <c r="C4" s="73"/>
      <c r="D4" s="73"/>
      <c r="E4" s="73"/>
      <c r="F4" s="73"/>
      <c r="G4" s="73"/>
      <c r="H4" s="36"/>
      <c r="I4" s="36"/>
      <c r="J4" s="111">
        <v>2017</v>
      </c>
      <c r="K4" s="846">
        <v>1</v>
      </c>
      <c r="L4" s="846">
        <v>1</v>
      </c>
      <c r="M4" s="847">
        <v>41.55</v>
      </c>
      <c r="N4" s="847">
        <v>103.58</v>
      </c>
      <c r="O4" s="847">
        <v>29.67</v>
      </c>
    </row>
    <row r="5" spans="1:15" ht="11.25" customHeight="1">
      <c r="A5" s="74"/>
      <c r="B5" s="73"/>
      <c r="C5" s="73"/>
      <c r="D5" s="73"/>
      <c r="E5" s="73"/>
      <c r="F5" s="73"/>
      <c r="G5" s="73"/>
      <c r="H5" s="12"/>
      <c r="I5" s="12"/>
      <c r="L5" s="846">
        <v>2</v>
      </c>
      <c r="M5" s="847">
        <v>39.6</v>
      </c>
      <c r="N5" s="847">
        <v>105.01</v>
      </c>
      <c r="O5" s="847">
        <v>51.2</v>
      </c>
    </row>
    <row r="6" spans="1:15" ht="29.25" customHeight="1">
      <c r="A6" s="136"/>
      <c r="C6" s="484" t="s">
        <v>146</v>
      </c>
      <c r="D6" s="487" t="str">
        <f>UPPER('1. Resumen'!Q4)&amp;"
 "&amp;'1. Resumen'!Q5</f>
        <v>OCTUBRE
 2020</v>
      </c>
      <c r="E6" s="488" t="str">
        <f>UPPER('1. Resumen'!Q4)&amp;"
 "&amp;'1. Resumen'!Q5-1</f>
        <v>OCTUBRE
 2019</v>
      </c>
      <c r="F6" s="489" t="s">
        <v>442</v>
      </c>
      <c r="G6" s="138"/>
      <c r="H6" s="24"/>
      <c r="I6" s="12"/>
      <c r="L6" s="846">
        <v>3</v>
      </c>
      <c r="M6" s="847">
        <v>73.650000000000006</v>
      </c>
      <c r="N6" s="847">
        <v>137.41</v>
      </c>
      <c r="O6" s="847">
        <v>43.26</v>
      </c>
    </row>
    <row r="7" spans="1:15" ht="11.25" customHeight="1">
      <c r="A7" s="174"/>
      <c r="C7" s="545" t="s">
        <v>147</v>
      </c>
      <c r="D7" s="546">
        <v>6.2884516023820387</v>
      </c>
      <c r="E7" s="766">
        <v>8.402354824927535</v>
      </c>
      <c r="F7" s="547">
        <f>IF(E7=0,"",(D7-E7)/E7)</f>
        <v>-0.25158461724017084</v>
      </c>
      <c r="G7" s="138"/>
      <c r="H7" s="25"/>
      <c r="I7" s="3"/>
      <c r="L7" s="846">
        <v>4</v>
      </c>
      <c r="M7" s="847">
        <v>65.03</v>
      </c>
      <c r="N7" s="847">
        <v>127.83</v>
      </c>
      <c r="O7" s="847">
        <v>32.72</v>
      </c>
    </row>
    <row r="8" spans="1:15" ht="11.25" customHeight="1">
      <c r="A8" s="174"/>
      <c r="C8" s="548" t="s">
        <v>153</v>
      </c>
      <c r="D8" s="549">
        <v>7.2631290804955233</v>
      </c>
      <c r="E8" s="549">
        <v>10.074258004465396</v>
      </c>
      <c r="F8" s="550">
        <f t="shared" ref="F8:F30" si="0">IF(E8=0,"",(D8-E8)/E8)</f>
        <v>-0.2790407911653488</v>
      </c>
      <c r="G8" s="138"/>
      <c r="H8" s="23"/>
      <c r="I8" s="3"/>
      <c r="L8" s="846">
        <v>5</v>
      </c>
      <c r="M8" s="847">
        <v>56.95</v>
      </c>
      <c r="N8" s="847">
        <v>97.31</v>
      </c>
      <c r="O8" s="847">
        <v>48.46</v>
      </c>
    </row>
    <row r="9" spans="1:15" ht="11.25" customHeight="1">
      <c r="A9" s="174"/>
      <c r="C9" s="551" t="s">
        <v>154</v>
      </c>
      <c r="D9" s="552">
        <v>35.229838709677388</v>
      </c>
      <c r="E9" s="552">
        <v>47.894935238745845</v>
      </c>
      <c r="F9" s="553">
        <f t="shared" si="0"/>
        <v>-0.26443498599456711</v>
      </c>
      <c r="G9" s="138"/>
      <c r="H9" s="25"/>
      <c r="I9" s="3"/>
      <c r="L9" s="846">
        <v>6</v>
      </c>
      <c r="M9" s="847">
        <v>61.87</v>
      </c>
      <c r="N9" s="847">
        <v>123.44</v>
      </c>
      <c r="O9" s="847">
        <v>72.52</v>
      </c>
    </row>
    <row r="10" spans="1:15" ht="11.25" customHeight="1">
      <c r="A10" s="174"/>
      <c r="C10" s="548" t="s">
        <v>161</v>
      </c>
      <c r="D10" s="549">
        <v>31.181451551375797</v>
      </c>
      <c r="E10" s="549">
        <v>35.936774100026732</v>
      </c>
      <c r="F10" s="550">
        <f t="shared" si="0"/>
        <v>-0.13232469156566273</v>
      </c>
      <c r="G10" s="138"/>
      <c r="H10" s="25"/>
      <c r="I10" s="3"/>
      <c r="L10" s="846">
        <v>7</v>
      </c>
      <c r="M10" s="847">
        <v>77.569999999999993</v>
      </c>
      <c r="N10" s="847">
        <v>145.02000000000001</v>
      </c>
      <c r="O10" s="847">
        <v>59.16</v>
      </c>
    </row>
    <row r="11" spans="1:15" ht="11.25" customHeight="1">
      <c r="A11" s="174"/>
      <c r="C11" s="551" t="s">
        <v>162</v>
      </c>
      <c r="D11" s="552">
        <v>7.7699032137470727</v>
      </c>
      <c r="E11" s="552">
        <v>12.279322793406811</v>
      </c>
      <c r="F11" s="553">
        <f t="shared" si="0"/>
        <v>-0.36723683020052217</v>
      </c>
      <c r="G11" s="138"/>
      <c r="H11" s="25"/>
      <c r="I11" s="3"/>
      <c r="K11" s="846">
        <v>8</v>
      </c>
      <c r="L11" s="846">
        <v>8</v>
      </c>
      <c r="M11" s="847">
        <v>86.94</v>
      </c>
      <c r="N11" s="847">
        <v>175.03</v>
      </c>
      <c r="O11" s="847">
        <v>24.36</v>
      </c>
    </row>
    <row r="12" spans="1:15" ht="11.25" customHeight="1">
      <c r="A12" s="174"/>
      <c r="C12" s="548" t="s">
        <v>164</v>
      </c>
      <c r="D12" s="549">
        <v>0.98312902642834488</v>
      </c>
      <c r="E12" s="549">
        <v>4.7640967522897997</v>
      </c>
      <c r="F12" s="550">
        <f t="shared" si="0"/>
        <v>-0.79363789663679329</v>
      </c>
      <c r="G12" s="138"/>
      <c r="H12" s="25"/>
      <c r="I12" s="3"/>
      <c r="L12" s="846">
        <v>9</v>
      </c>
      <c r="M12" s="847">
        <v>85.13</v>
      </c>
      <c r="N12" s="847">
        <v>206.14</v>
      </c>
      <c r="O12" s="847">
        <v>39.07</v>
      </c>
    </row>
    <row r="13" spans="1:15" ht="11.25" customHeight="1">
      <c r="A13" s="174"/>
      <c r="C13" s="551" t="s">
        <v>152</v>
      </c>
      <c r="D13" s="552">
        <v>10.56989247311828</v>
      </c>
      <c r="E13" s="552">
        <v>9.513440860215054</v>
      </c>
      <c r="F13" s="553">
        <f t="shared" si="0"/>
        <v>0.1110483187341057</v>
      </c>
      <c r="G13" s="138"/>
      <c r="H13" s="23"/>
      <c r="I13" s="3"/>
      <c r="L13" s="846">
        <v>10</v>
      </c>
      <c r="M13" s="847">
        <v>84.78</v>
      </c>
      <c r="N13" s="847">
        <v>270.17</v>
      </c>
      <c r="O13" s="847">
        <v>109.16</v>
      </c>
    </row>
    <row r="14" spans="1:15" ht="11.25" customHeight="1">
      <c r="A14" s="174"/>
      <c r="C14" s="548" t="s">
        <v>253</v>
      </c>
      <c r="D14" s="549">
        <v>19.844642300759546</v>
      </c>
      <c r="E14" s="549">
        <v>27.751158314366457</v>
      </c>
      <c r="F14" s="550">
        <f t="shared" si="0"/>
        <v>-0.28490760364095497</v>
      </c>
      <c r="G14" s="138"/>
      <c r="H14" s="25"/>
      <c r="I14" s="3"/>
      <c r="L14" s="846">
        <v>11</v>
      </c>
      <c r="M14" s="847">
        <v>84.78</v>
      </c>
      <c r="N14" s="847">
        <v>376.42</v>
      </c>
      <c r="O14" s="847">
        <v>188.18</v>
      </c>
    </row>
    <row r="15" spans="1:15" ht="11.25" customHeight="1">
      <c r="A15" s="174"/>
      <c r="C15" s="551" t="s">
        <v>254</v>
      </c>
      <c r="D15" s="552">
        <v>46.755322487123522</v>
      </c>
      <c r="E15" s="552">
        <v>41.826774474113186</v>
      </c>
      <c r="F15" s="553">
        <f t="shared" si="0"/>
        <v>0.11783237113013914</v>
      </c>
      <c r="G15" s="138"/>
      <c r="H15" s="25"/>
      <c r="I15" s="3"/>
      <c r="L15" s="846">
        <v>12</v>
      </c>
      <c r="M15" s="847">
        <v>106.16</v>
      </c>
      <c r="N15" s="847">
        <v>351.57</v>
      </c>
      <c r="O15" s="847">
        <v>159.6</v>
      </c>
    </row>
    <row r="16" spans="1:15" ht="11.25" customHeight="1">
      <c r="A16" s="174"/>
      <c r="C16" s="548" t="s">
        <v>159</v>
      </c>
      <c r="D16" s="549">
        <v>16.262451756385019</v>
      </c>
      <c r="E16" s="549">
        <v>15.204225724743205</v>
      </c>
      <c r="F16" s="550">
        <f t="shared" si="0"/>
        <v>6.9600784071474783E-2</v>
      </c>
      <c r="G16" s="138"/>
      <c r="H16" s="25"/>
      <c r="I16" s="3"/>
      <c r="L16" s="846">
        <v>13</v>
      </c>
      <c r="M16" s="847">
        <v>101.71</v>
      </c>
      <c r="N16" s="847">
        <v>384.37</v>
      </c>
      <c r="O16" s="847">
        <v>161.77000000000001</v>
      </c>
    </row>
    <row r="17" spans="1:17" ht="11.25" customHeight="1">
      <c r="A17" s="174"/>
      <c r="C17" s="551" t="s">
        <v>163</v>
      </c>
      <c r="D17" s="552">
        <v>6.4545806915529287</v>
      </c>
      <c r="E17" s="552">
        <v>8.0407418743256542</v>
      </c>
      <c r="F17" s="553">
        <f t="shared" si="0"/>
        <v>-0.19726552693320362</v>
      </c>
      <c r="G17" s="138"/>
      <c r="H17" s="25"/>
      <c r="I17" s="3"/>
      <c r="L17" s="846">
        <v>14</v>
      </c>
      <c r="M17" s="847">
        <v>83.1</v>
      </c>
      <c r="N17" s="847">
        <v>337.84</v>
      </c>
      <c r="O17" s="847">
        <v>115.43</v>
      </c>
    </row>
    <row r="18" spans="1:17" ht="11.25" customHeight="1">
      <c r="A18" s="174"/>
      <c r="C18" s="548" t="s">
        <v>255</v>
      </c>
      <c r="D18" s="549">
        <v>13.080766093346337</v>
      </c>
      <c r="E18" s="549">
        <v>13.132607706131445</v>
      </c>
      <c r="F18" s="550">
        <f t="shared" si="0"/>
        <v>-3.947549027974344E-3</v>
      </c>
      <c r="G18" s="138"/>
      <c r="H18" s="25"/>
      <c r="I18" s="3"/>
      <c r="L18" s="846">
        <v>15</v>
      </c>
      <c r="M18" s="847">
        <v>61.23</v>
      </c>
      <c r="N18" s="847">
        <v>282.32</v>
      </c>
      <c r="O18" s="847">
        <v>98.92</v>
      </c>
    </row>
    <row r="19" spans="1:17" ht="11.25" customHeight="1">
      <c r="A19" s="174"/>
      <c r="C19" s="551" t="s">
        <v>256</v>
      </c>
      <c r="D19" s="552">
        <v>15.38767473118279</v>
      </c>
      <c r="E19" s="552">
        <v>14.197813293010753</v>
      </c>
      <c r="F19" s="553">
        <f t="shared" si="0"/>
        <v>8.3805964595813964E-2</v>
      </c>
      <c r="G19" s="138"/>
      <c r="H19" s="25"/>
      <c r="I19" s="3"/>
      <c r="K19" s="846">
        <v>16</v>
      </c>
      <c r="L19" s="846">
        <v>16</v>
      </c>
      <c r="M19" s="847">
        <v>49.8</v>
      </c>
      <c r="N19" s="847">
        <v>191.65</v>
      </c>
      <c r="O19" s="847">
        <v>82.48</v>
      </c>
      <c r="Q19" s="730"/>
    </row>
    <row r="20" spans="1:17" ht="11.25" customHeight="1">
      <c r="A20" s="174"/>
      <c r="C20" s="548" t="s">
        <v>257</v>
      </c>
      <c r="D20" s="549">
        <v>1.4639677463039238</v>
      </c>
      <c r="E20" s="549">
        <v>1.4369999900940882</v>
      </c>
      <c r="F20" s="550">
        <f t="shared" si="0"/>
        <v>1.8766705912134262E-2</v>
      </c>
      <c r="G20" s="138"/>
      <c r="H20" s="25"/>
      <c r="I20" s="3"/>
      <c r="L20" s="846">
        <v>17</v>
      </c>
      <c r="M20" s="847">
        <v>40.21</v>
      </c>
      <c r="N20" s="847">
        <v>160.35</v>
      </c>
      <c r="O20" s="847">
        <v>77.02</v>
      </c>
    </row>
    <row r="21" spans="1:17" ht="11.25" customHeight="1">
      <c r="A21" s="174"/>
      <c r="C21" s="551" t="s">
        <v>150</v>
      </c>
      <c r="D21" s="552">
        <v>98.755580532935184</v>
      </c>
      <c r="E21" s="552">
        <v>95.526934962118759</v>
      </c>
      <c r="F21" s="553">
        <f t="shared" si="0"/>
        <v>3.3798274508616298E-2</v>
      </c>
      <c r="G21" s="138"/>
      <c r="H21" s="25"/>
      <c r="I21" s="3"/>
      <c r="L21" s="846">
        <v>18</v>
      </c>
      <c r="M21" s="847">
        <v>43.46</v>
      </c>
      <c r="N21" s="847">
        <v>136.65</v>
      </c>
      <c r="O21" s="847">
        <v>62.63</v>
      </c>
    </row>
    <row r="22" spans="1:17" ht="11.25" customHeight="1">
      <c r="A22" s="174"/>
      <c r="C22" s="548" t="s">
        <v>148</v>
      </c>
      <c r="D22" s="549">
        <v>3.4260644835810492</v>
      </c>
      <c r="E22" s="549">
        <v>2.886709674712149</v>
      </c>
      <c r="F22" s="550">
        <f t="shared" si="0"/>
        <v>0.18684068356222294</v>
      </c>
      <c r="G22" s="138"/>
      <c r="H22" s="25"/>
      <c r="I22" s="3"/>
      <c r="L22" s="846">
        <v>19</v>
      </c>
      <c r="M22" s="847">
        <v>35.65</v>
      </c>
      <c r="N22" s="847">
        <v>135.97</v>
      </c>
      <c r="O22" s="847">
        <v>93.03</v>
      </c>
    </row>
    <row r="23" spans="1:17" ht="11.25" customHeight="1">
      <c r="A23" s="174"/>
      <c r="C23" s="551" t="s">
        <v>149</v>
      </c>
      <c r="D23" s="552">
        <v>20.305128497462071</v>
      </c>
      <c r="E23" s="552">
        <v>20.37374176517606</v>
      </c>
      <c r="F23" s="553">
        <f t="shared" si="0"/>
        <v>-3.3677303121249151E-3</v>
      </c>
      <c r="G23" s="138"/>
      <c r="H23" s="25"/>
      <c r="I23" s="3"/>
      <c r="L23" s="846">
        <v>20</v>
      </c>
      <c r="M23" s="847">
        <v>26.22</v>
      </c>
      <c r="N23" s="847">
        <v>135.66</v>
      </c>
      <c r="O23" s="847">
        <v>72.349999999999994</v>
      </c>
    </row>
    <row r="24" spans="1:17" ht="11.25" customHeight="1">
      <c r="A24" s="174"/>
      <c r="C24" s="548" t="s">
        <v>165</v>
      </c>
      <c r="D24" s="549">
        <v>5.8985161319855699</v>
      </c>
      <c r="E24" s="549">
        <v>10.891645129649842</v>
      </c>
      <c r="F24" s="550">
        <f t="shared" si="0"/>
        <v>-0.45843662166991639</v>
      </c>
      <c r="G24" s="138"/>
      <c r="H24" s="26"/>
      <c r="I24" s="3"/>
      <c r="L24" s="846">
        <v>21</v>
      </c>
      <c r="M24" s="847">
        <v>27.95</v>
      </c>
      <c r="N24" s="847">
        <v>113.82</v>
      </c>
      <c r="O24" s="847">
        <v>90.75</v>
      </c>
    </row>
    <row r="25" spans="1:17" ht="11.25" customHeight="1">
      <c r="A25" s="138"/>
      <c r="C25" s="551" t="s">
        <v>155</v>
      </c>
      <c r="D25" s="552">
        <v>4.7268386733147292</v>
      </c>
      <c r="E25" s="552">
        <v>2.1171593550712795</v>
      </c>
      <c r="F25" s="553">
        <f t="shared" si="0"/>
        <v>1.2326324478091013</v>
      </c>
      <c r="G25" s="158"/>
      <c r="H25" s="25"/>
      <c r="I25" s="3"/>
      <c r="L25" s="846">
        <v>22</v>
      </c>
      <c r="M25" s="847">
        <v>32.409999999999997</v>
      </c>
      <c r="N25" s="847">
        <v>64.03</v>
      </c>
      <c r="O25" s="847">
        <v>53.02</v>
      </c>
    </row>
    <row r="26" spans="1:17" ht="11.25" customHeight="1">
      <c r="A26" s="175"/>
      <c r="C26" s="548" t="s">
        <v>156</v>
      </c>
      <c r="D26" s="549">
        <v>4.7159032514018371</v>
      </c>
      <c r="E26" s="549">
        <v>4.7801936057306085</v>
      </c>
      <c r="F26" s="550">
        <f t="shared" si="0"/>
        <v>-1.3449320180609129E-2</v>
      </c>
      <c r="G26" s="138"/>
      <c r="H26" s="23"/>
      <c r="I26" s="3"/>
      <c r="L26" s="846">
        <v>23</v>
      </c>
      <c r="M26" s="847">
        <v>28.93</v>
      </c>
      <c r="N26" s="847">
        <v>53.15</v>
      </c>
      <c r="O26" s="847">
        <v>32.43</v>
      </c>
    </row>
    <row r="27" spans="1:17" ht="11.25" customHeight="1">
      <c r="A27" s="138"/>
      <c r="C27" s="551" t="s">
        <v>157</v>
      </c>
      <c r="D27" s="552">
        <v>0.17622580547486544</v>
      </c>
      <c r="E27" s="552">
        <v>0.2620967732321825</v>
      </c>
      <c r="F27" s="553">
        <f t="shared" si="0"/>
        <v>-0.32763077049119921</v>
      </c>
      <c r="G27" s="138"/>
      <c r="H27" s="23"/>
      <c r="I27" s="3"/>
      <c r="K27" s="846">
        <v>24</v>
      </c>
      <c r="L27" s="846">
        <v>24</v>
      </c>
      <c r="M27" s="847">
        <v>26.59</v>
      </c>
      <c r="N27" s="847">
        <v>45.98</v>
      </c>
      <c r="O27" s="847">
        <v>27.75</v>
      </c>
    </row>
    <row r="28" spans="1:17" ht="11.25" customHeight="1">
      <c r="A28" s="138"/>
      <c r="C28" s="548" t="s">
        <v>158</v>
      </c>
      <c r="D28" s="549">
        <v>3.0310000000000001</v>
      </c>
      <c r="E28" s="549">
        <v>0</v>
      </c>
      <c r="F28" s="550" t="str">
        <f t="shared" si="0"/>
        <v/>
      </c>
      <c r="G28" s="138"/>
      <c r="H28" s="23"/>
      <c r="I28" s="3"/>
      <c r="L28" s="846">
        <v>25</v>
      </c>
      <c r="M28" s="847">
        <v>23.61</v>
      </c>
      <c r="N28" s="847">
        <v>38.68</v>
      </c>
      <c r="O28" s="847">
        <v>24.81</v>
      </c>
    </row>
    <row r="29" spans="1:17" ht="11.25" customHeight="1">
      <c r="A29" s="158"/>
      <c r="C29" s="551" t="s">
        <v>160</v>
      </c>
      <c r="D29" s="552">
        <v>4.1657741531248993</v>
      </c>
      <c r="E29" s="552">
        <v>7.3760000000000003</v>
      </c>
      <c r="F29" s="553">
        <f t="shared" si="0"/>
        <v>-0.43522584691907551</v>
      </c>
      <c r="G29" s="176"/>
      <c r="H29" s="23"/>
      <c r="I29" s="3"/>
      <c r="L29" s="846">
        <v>26</v>
      </c>
      <c r="M29" s="847">
        <v>24.94</v>
      </c>
      <c r="N29" s="847">
        <v>34.68</v>
      </c>
      <c r="O29" s="847">
        <v>21.81</v>
      </c>
    </row>
    <row r="30" spans="1:17" ht="11.25" customHeight="1">
      <c r="A30" s="175"/>
      <c r="C30" s="554" t="s">
        <v>151</v>
      </c>
      <c r="D30" s="555">
        <v>7.897849462365591</v>
      </c>
      <c r="E30" s="555">
        <v>3.7372154881877275</v>
      </c>
      <c r="F30" s="556">
        <f t="shared" si="0"/>
        <v>1.113297851656786</v>
      </c>
      <c r="G30" s="138"/>
      <c r="H30" s="25"/>
      <c r="I30" s="3"/>
      <c r="L30" s="846">
        <v>27</v>
      </c>
      <c r="M30" s="847">
        <v>25.54</v>
      </c>
      <c r="N30" s="847">
        <v>31.72</v>
      </c>
      <c r="O30" s="847">
        <v>18.649999999999999</v>
      </c>
    </row>
    <row r="31" spans="1:17" ht="11.25" customHeight="1">
      <c r="A31" s="137"/>
      <c r="C31" s="268" t="str">
        <f>"Cuadro N°10: Promedio de caudales en "&amp;'1. Resumen'!Q4</f>
        <v>Cuadro N°10: Promedio de caudales en octubre</v>
      </c>
      <c r="D31" s="137"/>
      <c r="E31" s="137"/>
      <c r="F31" s="137"/>
      <c r="G31" s="137"/>
      <c r="H31" s="25"/>
      <c r="I31" s="6"/>
      <c r="L31" s="846">
        <v>28</v>
      </c>
      <c r="M31" s="847">
        <v>23.56</v>
      </c>
      <c r="N31" s="847">
        <v>29.25</v>
      </c>
      <c r="O31" s="847">
        <v>14.27</v>
      </c>
    </row>
    <row r="32" spans="1:17" ht="11.25" customHeight="1">
      <c r="A32" s="137"/>
      <c r="B32" s="137"/>
      <c r="C32" s="137"/>
      <c r="D32" s="137"/>
      <c r="E32" s="137"/>
      <c r="F32" s="137"/>
      <c r="G32" s="137"/>
      <c r="H32" s="25"/>
      <c r="I32" s="6"/>
      <c r="L32" s="846">
        <v>29</v>
      </c>
      <c r="M32" s="847">
        <v>22.4</v>
      </c>
      <c r="N32" s="847">
        <v>29.53</v>
      </c>
      <c r="O32" s="847">
        <v>11.51</v>
      </c>
    </row>
    <row r="33" spans="1:15" ht="11.25" customHeight="1">
      <c r="A33" s="137"/>
      <c r="B33" s="137"/>
      <c r="C33" s="137"/>
      <c r="D33" s="137"/>
      <c r="E33" s="137"/>
      <c r="F33" s="137"/>
      <c r="G33" s="137"/>
      <c r="H33" s="25"/>
      <c r="I33" s="6"/>
      <c r="L33" s="846">
        <v>30</v>
      </c>
      <c r="M33" s="847">
        <v>21.29</v>
      </c>
      <c r="N33" s="847">
        <v>27.62</v>
      </c>
      <c r="O33" s="847">
        <v>9.7200000000000006</v>
      </c>
    </row>
    <row r="34" spans="1:15" ht="11.25" customHeight="1">
      <c r="A34" s="137"/>
      <c r="B34" s="137"/>
      <c r="C34" s="137"/>
      <c r="D34" s="137"/>
      <c r="E34" s="137"/>
      <c r="F34" s="137"/>
      <c r="G34" s="137"/>
      <c r="H34" s="25"/>
      <c r="I34" s="6"/>
      <c r="L34" s="846">
        <v>31</v>
      </c>
      <c r="M34" s="847">
        <v>19.34</v>
      </c>
      <c r="N34" s="847">
        <v>27.99</v>
      </c>
      <c r="O34" s="847">
        <v>8.09</v>
      </c>
    </row>
    <row r="35" spans="1:15" ht="17.25" customHeight="1">
      <c r="A35" s="961" t="s">
        <v>385</v>
      </c>
      <c r="B35" s="961"/>
      <c r="C35" s="961"/>
      <c r="D35" s="961"/>
      <c r="E35" s="961"/>
      <c r="F35" s="961"/>
      <c r="G35" s="961"/>
      <c r="H35" s="25"/>
      <c r="I35" s="6"/>
      <c r="K35" s="846">
        <v>32</v>
      </c>
      <c r="L35" s="846">
        <v>32</v>
      </c>
      <c r="M35" s="847">
        <v>19.649999999999999</v>
      </c>
      <c r="N35" s="847">
        <v>31.42</v>
      </c>
      <c r="O35" s="847">
        <v>7.62</v>
      </c>
    </row>
    <row r="36" spans="1:15" ht="11.25" customHeight="1">
      <c r="A36" s="137"/>
      <c r="B36" s="137"/>
      <c r="C36" s="137"/>
      <c r="D36" s="137"/>
      <c r="E36" s="137"/>
      <c r="F36" s="137"/>
      <c r="G36" s="137"/>
      <c r="H36" s="25"/>
      <c r="I36" s="6"/>
      <c r="L36" s="846">
        <v>33</v>
      </c>
      <c r="M36" s="847">
        <v>18.420000000000002</v>
      </c>
      <c r="N36" s="847">
        <v>29.71</v>
      </c>
      <c r="O36" s="847">
        <v>9.5500000000000007</v>
      </c>
    </row>
    <row r="37" spans="1:15" ht="11.25" customHeight="1">
      <c r="A37" s="136"/>
      <c r="B37" s="138"/>
      <c r="C37" s="138"/>
      <c r="D37" s="138"/>
      <c r="E37" s="138"/>
      <c r="F37" s="138"/>
      <c r="G37" s="138"/>
      <c r="H37" s="26"/>
      <c r="I37" s="6"/>
      <c r="L37" s="846">
        <v>34</v>
      </c>
      <c r="M37" s="847">
        <v>17.170000000000002</v>
      </c>
      <c r="N37" s="847">
        <v>30.51</v>
      </c>
      <c r="O37" s="847">
        <v>10.75</v>
      </c>
    </row>
    <row r="38" spans="1:15" ht="11.25" customHeight="1">
      <c r="A38" s="74"/>
      <c r="B38" s="73"/>
      <c r="C38" s="73"/>
      <c r="D38" s="73"/>
      <c r="E38" s="73"/>
      <c r="F38" s="73"/>
      <c r="G38" s="73"/>
      <c r="H38" s="3"/>
      <c r="I38" s="6"/>
      <c r="L38" s="846">
        <v>35</v>
      </c>
      <c r="M38" s="847">
        <v>17.47</v>
      </c>
      <c r="N38" s="847">
        <v>27.5</v>
      </c>
      <c r="O38" s="847">
        <v>8.31</v>
      </c>
    </row>
    <row r="39" spans="1:15" ht="11.25" customHeight="1">
      <c r="A39" s="74"/>
      <c r="B39" s="73"/>
      <c r="C39" s="73"/>
      <c r="D39" s="73"/>
      <c r="E39" s="73"/>
      <c r="F39" s="73"/>
      <c r="G39" s="73"/>
      <c r="H39" s="3"/>
      <c r="I39" s="10"/>
      <c r="L39" s="846">
        <v>36</v>
      </c>
      <c r="M39" s="847">
        <v>13.42</v>
      </c>
      <c r="N39" s="847">
        <v>26.21</v>
      </c>
      <c r="O39" s="847">
        <v>6.53</v>
      </c>
    </row>
    <row r="40" spans="1:15" ht="11.25" customHeight="1">
      <c r="A40" s="74"/>
      <c r="B40" s="73"/>
      <c r="C40" s="73"/>
      <c r="D40" s="73"/>
      <c r="E40" s="73"/>
      <c r="F40" s="73"/>
      <c r="G40" s="73"/>
      <c r="H40" s="3"/>
      <c r="I40" s="10"/>
      <c r="L40" s="846">
        <v>37</v>
      </c>
      <c r="M40" s="847">
        <v>11.2</v>
      </c>
      <c r="N40" s="847">
        <v>29.98</v>
      </c>
      <c r="O40" s="847">
        <v>9.7799999999999994</v>
      </c>
    </row>
    <row r="41" spans="1:15" ht="11.25" customHeight="1">
      <c r="A41" s="74"/>
      <c r="B41" s="73"/>
      <c r="C41" s="73"/>
      <c r="D41" s="73"/>
      <c r="E41" s="73"/>
      <c r="F41" s="73"/>
      <c r="G41" s="73"/>
      <c r="H41" s="3"/>
      <c r="I41" s="7"/>
      <c r="L41" s="846">
        <v>38</v>
      </c>
      <c r="M41" s="847">
        <v>11</v>
      </c>
      <c r="N41" s="847">
        <v>34.369999999999997</v>
      </c>
      <c r="O41" s="847">
        <v>7.47</v>
      </c>
    </row>
    <row r="42" spans="1:15" ht="11.25" customHeight="1">
      <c r="A42" s="74"/>
      <c r="B42" s="73"/>
      <c r="C42" s="73"/>
      <c r="D42" s="73"/>
      <c r="E42" s="73"/>
      <c r="F42" s="73"/>
      <c r="G42" s="73"/>
      <c r="H42" s="3"/>
      <c r="I42" s="7"/>
      <c r="L42" s="846">
        <v>39</v>
      </c>
      <c r="M42" s="847">
        <v>11.14</v>
      </c>
      <c r="N42" s="847">
        <v>42.17</v>
      </c>
      <c r="O42" s="847">
        <v>7.49</v>
      </c>
    </row>
    <row r="43" spans="1:15" ht="11.25" customHeight="1">
      <c r="A43" s="74"/>
      <c r="B43" s="73"/>
      <c r="C43" s="73"/>
      <c r="D43" s="73"/>
      <c r="E43" s="73"/>
      <c r="F43" s="73"/>
      <c r="G43" s="73"/>
      <c r="H43" s="3"/>
      <c r="I43" s="7"/>
      <c r="K43" s="846">
        <v>40</v>
      </c>
      <c r="L43" s="846">
        <v>40</v>
      </c>
      <c r="M43" s="847">
        <v>12.8</v>
      </c>
      <c r="N43" s="847">
        <v>37.270000000000003</v>
      </c>
      <c r="O43" s="847">
        <v>15.47</v>
      </c>
    </row>
    <row r="44" spans="1:15" ht="11.25" customHeight="1">
      <c r="A44" s="74"/>
      <c r="B44" s="73"/>
      <c r="C44" s="73"/>
      <c r="D44" s="73"/>
      <c r="E44" s="73"/>
      <c r="F44" s="73"/>
      <c r="G44" s="73"/>
      <c r="H44" s="6"/>
      <c r="I44" s="10"/>
      <c r="L44" s="846">
        <v>41</v>
      </c>
      <c r="M44" s="847">
        <v>14.41</v>
      </c>
      <c r="N44" s="847">
        <v>40.04</v>
      </c>
      <c r="O44" s="847">
        <v>18</v>
      </c>
    </row>
    <row r="45" spans="1:15" ht="11.25" customHeight="1">
      <c r="A45" s="74"/>
      <c r="B45" s="73"/>
      <c r="C45" s="73"/>
      <c r="D45" s="73"/>
      <c r="E45" s="73"/>
      <c r="F45" s="73"/>
      <c r="G45" s="73"/>
      <c r="H45" s="3"/>
      <c r="I45" s="10"/>
      <c r="L45" s="846">
        <v>42</v>
      </c>
      <c r="M45" s="847">
        <v>15.87</v>
      </c>
      <c r="N45" s="847">
        <v>35.79</v>
      </c>
      <c r="O45" s="847">
        <v>12.74</v>
      </c>
    </row>
    <row r="46" spans="1:15" ht="11.25" customHeight="1">
      <c r="A46" s="74"/>
      <c r="B46" s="73"/>
      <c r="C46" s="73"/>
      <c r="D46" s="73"/>
      <c r="E46" s="73"/>
      <c r="F46" s="73"/>
      <c r="G46" s="73"/>
      <c r="H46" s="3"/>
      <c r="I46" s="10"/>
      <c r="L46" s="846">
        <v>43</v>
      </c>
      <c r="M46" s="847">
        <v>19.61</v>
      </c>
      <c r="N46" s="847">
        <v>50.36</v>
      </c>
      <c r="O46" s="847">
        <v>30.75</v>
      </c>
    </row>
    <row r="47" spans="1:15" ht="11.25" customHeight="1">
      <c r="A47" s="74"/>
      <c r="B47" s="73"/>
      <c r="C47" s="73"/>
      <c r="D47" s="73"/>
      <c r="E47" s="73"/>
      <c r="F47" s="73"/>
      <c r="G47" s="73"/>
      <c r="H47" s="11"/>
      <c r="I47" s="11"/>
      <c r="L47" s="846">
        <v>44</v>
      </c>
      <c r="M47" s="847">
        <v>21.85</v>
      </c>
      <c r="N47" s="847">
        <v>54.94</v>
      </c>
      <c r="O47" s="847">
        <v>23.58</v>
      </c>
    </row>
    <row r="48" spans="1:15" ht="11.25" customHeight="1">
      <c r="A48" s="74"/>
      <c r="B48" s="73"/>
      <c r="C48" s="73"/>
      <c r="D48" s="73"/>
      <c r="E48" s="73"/>
      <c r="F48" s="73"/>
      <c r="G48" s="73"/>
      <c r="H48" s="11"/>
      <c r="I48" s="11"/>
      <c r="L48" s="846">
        <v>45</v>
      </c>
      <c r="M48" s="847">
        <v>16.79</v>
      </c>
      <c r="N48" s="847">
        <v>41.16</v>
      </c>
      <c r="O48" s="847">
        <v>11.77</v>
      </c>
    </row>
    <row r="49" spans="1:15" ht="11.25" customHeight="1">
      <c r="A49" s="74"/>
      <c r="B49" s="73"/>
      <c r="C49" s="73"/>
      <c r="D49" s="73"/>
      <c r="E49" s="73"/>
      <c r="F49" s="73"/>
      <c r="G49" s="73"/>
      <c r="H49" s="11"/>
      <c r="I49" s="11"/>
      <c r="L49" s="846">
        <v>46</v>
      </c>
      <c r="M49" s="847">
        <v>16.010000000000002</v>
      </c>
      <c r="N49" s="847">
        <v>42.65</v>
      </c>
      <c r="O49" s="847">
        <v>9.33</v>
      </c>
    </row>
    <row r="50" spans="1:15" ht="11.25" customHeight="1">
      <c r="A50" s="74"/>
      <c r="B50" s="73"/>
      <c r="C50" s="73"/>
      <c r="D50" s="73"/>
      <c r="E50" s="73"/>
      <c r="F50" s="73"/>
      <c r="G50" s="73"/>
      <c r="H50" s="11"/>
      <c r="I50" s="11"/>
      <c r="L50" s="846">
        <v>47</v>
      </c>
      <c r="M50" s="847">
        <v>14.72</v>
      </c>
      <c r="N50" s="847">
        <v>39.76</v>
      </c>
      <c r="O50" s="847">
        <v>8.19</v>
      </c>
    </row>
    <row r="51" spans="1:15" ht="11.25" customHeight="1">
      <c r="A51" s="74"/>
      <c r="B51" s="73"/>
      <c r="C51" s="73"/>
      <c r="D51" s="73"/>
      <c r="E51" s="73"/>
      <c r="F51" s="73"/>
      <c r="G51" s="73"/>
      <c r="H51" s="11"/>
      <c r="I51" s="11"/>
      <c r="K51" s="846">
        <v>48</v>
      </c>
      <c r="L51" s="846">
        <v>48</v>
      </c>
      <c r="M51" s="847">
        <v>18.932000297142856</v>
      </c>
      <c r="N51" s="847">
        <v>47.388000487142854</v>
      </c>
      <c r="O51" s="847">
        <v>19.661285946</v>
      </c>
    </row>
    <row r="52" spans="1:15" ht="11.25" customHeight="1">
      <c r="A52" s="74"/>
      <c r="B52" s="73"/>
      <c r="C52" s="73"/>
      <c r="D52" s="73"/>
      <c r="E52" s="73"/>
      <c r="F52" s="73"/>
      <c r="G52" s="73"/>
      <c r="H52" s="11"/>
      <c r="I52" s="11"/>
      <c r="L52" s="846">
        <v>49</v>
      </c>
      <c r="M52" s="847">
        <v>28.48371397</v>
      </c>
      <c r="N52" s="847">
        <v>78.087428497142852</v>
      </c>
      <c r="O52" s="847">
        <v>19.181428364285715</v>
      </c>
    </row>
    <row r="53" spans="1:15" ht="11.25" customHeight="1">
      <c r="A53" s="74"/>
      <c r="B53" s="73"/>
      <c r="C53" s="73"/>
      <c r="D53" s="73"/>
      <c r="E53" s="73"/>
      <c r="F53" s="73"/>
      <c r="G53" s="73"/>
      <c r="H53" s="11"/>
      <c r="I53" s="11"/>
      <c r="L53" s="846">
        <v>50</v>
      </c>
      <c r="M53" s="847">
        <v>32.583286012857144</v>
      </c>
      <c r="N53" s="847">
        <v>69.764142717142846</v>
      </c>
      <c r="O53" s="847">
        <v>23.7245715</v>
      </c>
    </row>
    <row r="54" spans="1:15" ht="11.25" customHeight="1">
      <c r="A54" s="74"/>
      <c r="B54" s="73"/>
      <c r="C54" s="73"/>
      <c r="D54" s="73"/>
      <c r="E54" s="73"/>
      <c r="F54" s="73"/>
      <c r="G54" s="73"/>
      <c r="H54" s="11"/>
      <c r="I54" s="11"/>
      <c r="L54" s="846">
        <v>51</v>
      </c>
      <c r="M54" s="847">
        <v>34.501856668571428</v>
      </c>
      <c r="N54" s="847">
        <v>71.14499991142857</v>
      </c>
      <c r="O54" s="847">
        <v>26.158142907142857</v>
      </c>
    </row>
    <row r="55" spans="1:15" ht="12.75">
      <c r="A55" s="74"/>
      <c r="B55" s="73"/>
      <c r="C55" s="73"/>
      <c r="D55" s="73"/>
      <c r="E55" s="73"/>
      <c r="F55" s="73"/>
      <c r="G55" s="73"/>
      <c r="H55" s="11"/>
      <c r="I55" s="11"/>
      <c r="K55" s="846">
        <v>52</v>
      </c>
      <c r="L55" s="846">
        <v>52</v>
      </c>
      <c r="M55" s="847">
        <v>27.781857355714287</v>
      </c>
      <c r="N55" s="847">
        <v>83.196000228571435</v>
      </c>
      <c r="O55" s="847">
        <v>21.776999882857144</v>
      </c>
    </row>
    <row r="56" spans="1:15" ht="12.75">
      <c r="A56" s="74"/>
      <c r="B56" s="73"/>
      <c r="C56" s="73"/>
      <c r="D56" s="73"/>
      <c r="E56" s="73"/>
      <c r="F56" s="73"/>
      <c r="G56" s="73"/>
      <c r="H56" s="11"/>
      <c r="I56" s="11"/>
      <c r="J56" s="111">
        <v>2018</v>
      </c>
      <c r="K56" s="846">
        <v>1</v>
      </c>
      <c r="L56" s="846">
        <v>1</v>
      </c>
      <c r="M56" s="847">
        <v>29.44</v>
      </c>
      <c r="N56" s="847">
        <v>69.087142857142865</v>
      </c>
      <c r="O56" s="847">
        <v>15.747142857142856</v>
      </c>
    </row>
    <row r="57" spans="1:15" ht="12.75">
      <c r="A57" s="74"/>
      <c r="B57" s="73"/>
      <c r="C57" s="73"/>
      <c r="D57" s="73"/>
      <c r="E57" s="73"/>
      <c r="F57" s="73"/>
      <c r="G57" s="73"/>
      <c r="H57" s="11"/>
      <c r="I57" s="11"/>
      <c r="L57" s="846">
        <v>2</v>
      </c>
      <c r="M57" s="847">
        <v>42.880857194285717</v>
      </c>
      <c r="N57" s="847">
        <v>96.785858138571413</v>
      </c>
      <c r="O57" s="847">
        <v>37.6</v>
      </c>
    </row>
    <row r="58" spans="1:15" ht="12.75">
      <c r="A58" s="74"/>
      <c r="B58" s="73"/>
      <c r="C58" s="73"/>
      <c r="D58" s="73"/>
      <c r="E58" s="73"/>
      <c r="F58" s="73"/>
      <c r="G58" s="73"/>
      <c r="H58" s="11"/>
      <c r="I58" s="11"/>
      <c r="L58" s="846">
        <v>3</v>
      </c>
      <c r="M58" s="847">
        <v>74.002572194285705</v>
      </c>
      <c r="N58" s="847">
        <v>158.17728531428571</v>
      </c>
      <c r="O58" s="847">
        <v>101.26128550142856</v>
      </c>
    </row>
    <row r="59" spans="1:15" ht="12.75">
      <c r="A59" s="74"/>
      <c r="B59" s="73"/>
      <c r="C59" s="73"/>
      <c r="D59" s="73"/>
      <c r="E59" s="73"/>
      <c r="F59" s="73"/>
      <c r="G59" s="73"/>
      <c r="H59" s="11"/>
      <c r="I59" s="11"/>
      <c r="L59" s="846">
        <v>4</v>
      </c>
      <c r="M59" s="847">
        <v>77.812570845714291</v>
      </c>
      <c r="N59" s="847">
        <v>167.02357267142858</v>
      </c>
      <c r="O59" s="847">
        <v>77.354000085714276</v>
      </c>
    </row>
    <row r="60" spans="1:15" ht="12.75">
      <c r="A60" s="74"/>
      <c r="B60" s="73"/>
      <c r="C60" s="73"/>
      <c r="D60" s="73"/>
      <c r="E60" s="73"/>
      <c r="F60" s="73"/>
      <c r="G60" s="73"/>
      <c r="H60" s="11"/>
      <c r="I60" s="11"/>
      <c r="L60" s="846">
        <v>5</v>
      </c>
      <c r="M60" s="847">
        <v>61.531714848571433</v>
      </c>
      <c r="N60" s="847">
        <v>113.19585745142855</v>
      </c>
      <c r="O60" s="847">
        <v>30.667142595714285</v>
      </c>
    </row>
    <row r="61" spans="1:15" ht="12.75">
      <c r="A61" s="268" t="s">
        <v>472</v>
      </c>
      <c r="B61" s="73"/>
      <c r="C61" s="73"/>
      <c r="D61" s="73"/>
      <c r="E61" s="73"/>
      <c r="F61" s="73"/>
      <c r="G61" s="73"/>
      <c r="H61" s="11"/>
      <c r="I61" s="11"/>
      <c r="L61" s="846">
        <v>6</v>
      </c>
      <c r="M61" s="847">
        <v>54.024142672857138</v>
      </c>
      <c r="N61" s="847">
        <v>88.535714287142852</v>
      </c>
      <c r="O61" s="847">
        <v>32.444142750000005</v>
      </c>
    </row>
    <row r="62" spans="1:15">
      <c r="L62" s="846">
        <v>7</v>
      </c>
      <c r="M62" s="847">
        <v>59.271427155714285</v>
      </c>
      <c r="N62" s="847">
        <v>99.37822619047617</v>
      </c>
      <c r="O62" s="847">
        <v>30.338148809523812</v>
      </c>
    </row>
    <row r="63" spans="1:15">
      <c r="K63" s="846">
        <v>8</v>
      </c>
      <c r="L63" s="846">
        <v>8</v>
      </c>
      <c r="M63" s="847">
        <v>78.025571005714284</v>
      </c>
      <c r="N63" s="847">
        <v>140.28</v>
      </c>
      <c r="O63" s="847">
        <v>62.97</v>
      </c>
    </row>
    <row r="64" spans="1:15">
      <c r="L64" s="846">
        <v>9</v>
      </c>
      <c r="M64" s="847">
        <v>61.11871501571428</v>
      </c>
      <c r="N64" s="847">
        <v>102.99642836285715</v>
      </c>
      <c r="O64" s="847">
        <v>31.244571685714288</v>
      </c>
    </row>
    <row r="65" spans="11:15">
      <c r="L65" s="846">
        <v>10</v>
      </c>
      <c r="M65" s="847">
        <v>84.500714981428573</v>
      </c>
      <c r="N65" s="847">
        <v>175.90485927142853</v>
      </c>
      <c r="O65" s="847">
        <v>36.038285662857142</v>
      </c>
    </row>
    <row r="66" spans="11:15">
      <c r="L66" s="846">
        <v>11</v>
      </c>
      <c r="M66" s="847">
        <v>83.643855504285725</v>
      </c>
      <c r="N66" s="847">
        <v>169.64671761428571</v>
      </c>
      <c r="O66" s="847">
        <v>25.076428275714282</v>
      </c>
    </row>
    <row r="67" spans="11:15">
      <c r="L67" s="846">
        <v>12</v>
      </c>
      <c r="M67" s="847">
        <v>98.99</v>
      </c>
      <c r="N67" s="847">
        <v>198.22</v>
      </c>
      <c r="O67" s="847">
        <v>24.63</v>
      </c>
    </row>
    <row r="68" spans="11:15">
      <c r="L68" s="846">
        <v>13</v>
      </c>
      <c r="M68" s="847">
        <v>106.64928652857144</v>
      </c>
      <c r="N68" s="847">
        <v>312.6314304857143</v>
      </c>
      <c r="O68" s="847">
        <v>38.701428550000003</v>
      </c>
    </row>
    <row r="69" spans="11:15">
      <c r="L69" s="846">
        <v>14</v>
      </c>
      <c r="M69" s="847">
        <v>86.488428389999996</v>
      </c>
      <c r="N69" s="847">
        <v>235.31328691428573</v>
      </c>
      <c r="O69" s="847">
        <v>94.596427907142839</v>
      </c>
    </row>
    <row r="70" spans="11:15">
      <c r="L70" s="846">
        <v>15</v>
      </c>
      <c r="M70" s="847">
        <v>88.217001778571429</v>
      </c>
      <c r="N70" s="847">
        <v>294.1721409428572</v>
      </c>
      <c r="O70" s="847">
        <v>92.07</v>
      </c>
    </row>
    <row r="71" spans="11:15">
      <c r="K71" s="846">
        <v>16</v>
      </c>
      <c r="L71" s="846">
        <v>16</v>
      </c>
      <c r="M71" s="847">
        <v>65.84</v>
      </c>
      <c r="N71" s="847">
        <v>149.18</v>
      </c>
      <c r="O71" s="847">
        <v>45.4</v>
      </c>
    </row>
    <row r="72" spans="11:15">
      <c r="L72" s="846">
        <v>17</v>
      </c>
      <c r="M72" s="847">
        <v>51.88</v>
      </c>
      <c r="N72" s="847">
        <v>104.35</v>
      </c>
      <c r="O72" s="847">
        <v>41.47</v>
      </c>
    </row>
    <row r="73" spans="11:15">
      <c r="L73" s="846">
        <v>18</v>
      </c>
      <c r="M73" s="847">
        <v>49.672285897142856</v>
      </c>
      <c r="N73" s="847">
        <v>78.038143701428567</v>
      </c>
      <c r="O73" s="847">
        <v>65.800999782857133</v>
      </c>
    </row>
    <row r="74" spans="11:15">
      <c r="L74" s="846">
        <v>19</v>
      </c>
      <c r="M74" s="847">
        <v>45.203000204285708</v>
      </c>
      <c r="N74" s="847">
        <v>78.313856942857129</v>
      </c>
      <c r="O74" s="847">
        <v>75.104713441428572</v>
      </c>
    </row>
    <row r="75" spans="11:15">
      <c r="L75" s="846">
        <v>20</v>
      </c>
      <c r="M75" s="847">
        <v>37.385857718571437</v>
      </c>
      <c r="N75" s="847">
        <v>130.92628696285712</v>
      </c>
      <c r="O75" s="847">
        <v>97.861000055714285</v>
      </c>
    </row>
    <row r="76" spans="11:15">
      <c r="L76" s="846">
        <v>21</v>
      </c>
      <c r="M76" s="847">
        <v>31.609713962857143</v>
      </c>
      <c r="N76" s="847">
        <v>64.449287412857146</v>
      </c>
      <c r="O76" s="847">
        <v>107.7964292242857</v>
      </c>
    </row>
    <row r="77" spans="11:15">
      <c r="L77" s="846">
        <v>22</v>
      </c>
      <c r="M77" s="847">
        <v>23.360142844285715</v>
      </c>
      <c r="N77" s="847">
        <v>64.449287412857146</v>
      </c>
      <c r="O77" s="847">
        <v>107.7964292242857</v>
      </c>
    </row>
    <row r="78" spans="11:15">
      <c r="L78" s="846">
        <v>23</v>
      </c>
      <c r="M78" s="847">
        <v>22.118571418571431</v>
      </c>
      <c r="N78" s="847">
        <v>39.50100054</v>
      </c>
      <c r="O78" s="847">
        <v>35.176713670000005</v>
      </c>
    </row>
    <row r="79" spans="11:15">
      <c r="K79" s="846">
        <v>24</v>
      </c>
      <c r="L79" s="846">
        <v>24</v>
      </c>
      <c r="M79" s="847">
        <v>18.655142918571432</v>
      </c>
      <c r="N79" s="847">
        <v>33.690285274285714</v>
      </c>
      <c r="O79" s="847">
        <v>23.41942841571429</v>
      </c>
    </row>
    <row r="80" spans="11:15">
      <c r="L80" s="846">
        <v>25</v>
      </c>
      <c r="M80" s="847">
        <v>15.664428437142856</v>
      </c>
      <c r="N80" s="847">
        <v>30.228428704285715</v>
      </c>
      <c r="O80" s="847">
        <v>15.98614284142857</v>
      </c>
    </row>
    <row r="81" spans="11:15">
      <c r="L81" s="846">
        <v>26</v>
      </c>
      <c r="M81" s="847">
        <v>13.848143032857147</v>
      </c>
      <c r="N81" s="847">
        <v>27.872285568571431</v>
      </c>
      <c r="O81" s="847">
        <v>14.09042848857143</v>
      </c>
    </row>
    <row r="82" spans="11:15">
      <c r="L82" s="846">
        <v>27</v>
      </c>
      <c r="M82" s="847">
        <v>12.865857259999999</v>
      </c>
      <c r="N82" s="847">
        <v>27.257571358571429</v>
      </c>
      <c r="O82" s="847">
        <v>11.838857105714284</v>
      </c>
    </row>
    <row r="83" spans="11:15">
      <c r="L83" s="846">
        <v>28</v>
      </c>
      <c r="M83" s="847">
        <v>12.915285789999999</v>
      </c>
      <c r="N83" s="847">
        <v>27.217285974285712</v>
      </c>
      <c r="O83" s="847">
        <v>9.7789998731428565</v>
      </c>
    </row>
    <row r="84" spans="11:15">
      <c r="L84" s="846">
        <v>29</v>
      </c>
      <c r="M84" s="847">
        <v>15.908571428571426</v>
      </c>
      <c r="N84" s="847">
        <v>24.955714285714286</v>
      </c>
      <c r="O84" s="847">
        <v>8.4957142857142856</v>
      </c>
    </row>
    <row r="85" spans="11:15">
      <c r="L85" s="846">
        <v>30</v>
      </c>
      <c r="M85" s="847">
        <v>16.584000042857145</v>
      </c>
      <c r="N85" s="847">
        <v>24.80942862142857</v>
      </c>
      <c r="O85" s="847">
        <v>7.807428428142857</v>
      </c>
    </row>
    <row r="86" spans="11:15">
      <c r="L86" s="846">
        <v>31</v>
      </c>
      <c r="M86" s="847">
        <v>18.553000000000001</v>
      </c>
      <c r="N86" s="847">
        <v>25.690999999999999</v>
      </c>
      <c r="O86" s="847">
        <v>7.53</v>
      </c>
    </row>
    <row r="87" spans="11:15">
      <c r="K87" s="846">
        <v>32</v>
      </c>
      <c r="L87" s="846">
        <v>32</v>
      </c>
      <c r="M87" s="847">
        <v>17.769714355714285</v>
      </c>
      <c r="N87" s="847">
        <v>27.630000251428573</v>
      </c>
      <c r="O87" s="847">
        <v>6.4074286734285701</v>
      </c>
    </row>
    <row r="88" spans="11:15">
      <c r="L88" s="846">
        <v>33</v>
      </c>
      <c r="M88" s="847">
        <v>14.782857348571428</v>
      </c>
      <c r="N88" s="847">
        <v>23.78</v>
      </c>
      <c r="O88" s="847">
        <v>4.9400000000000004</v>
      </c>
    </row>
    <row r="89" spans="11:15">
      <c r="L89" s="846">
        <v>34</v>
      </c>
      <c r="M89" s="847">
        <v>15.984000069999999</v>
      </c>
      <c r="N89" s="847">
        <v>23.527999878571428</v>
      </c>
      <c r="O89" s="847">
        <v>4.6688571658571432</v>
      </c>
    </row>
    <row r="90" spans="11:15">
      <c r="L90" s="846">
        <v>35</v>
      </c>
      <c r="M90" s="847">
        <v>15.55</v>
      </c>
      <c r="N90" s="847">
        <v>23.29</v>
      </c>
      <c r="O90" s="847">
        <v>4.5999999999999996</v>
      </c>
    </row>
    <row r="91" spans="11:15">
      <c r="L91" s="846">
        <v>36</v>
      </c>
      <c r="M91" s="847">
        <v>15.042857142857143</v>
      </c>
      <c r="N91" s="847">
        <v>23.007142857142856</v>
      </c>
      <c r="O91" s="847">
        <v>3.9657142857142857</v>
      </c>
    </row>
    <row r="92" spans="11:15">
      <c r="L92" s="846">
        <v>37</v>
      </c>
      <c r="M92" s="847">
        <v>13.386857033</v>
      </c>
      <c r="N92" s="847">
        <v>23.173571724285711</v>
      </c>
      <c r="O92" s="847">
        <v>3.5334285327142858</v>
      </c>
    </row>
    <row r="93" spans="11:15">
      <c r="L93" s="846">
        <v>38</v>
      </c>
      <c r="M93" s="847">
        <v>12.963714189999999</v>
      </c>
      <c r="N93" s="847">
        <v>26.454000201428567</v>
      </c>
      <c r="O93" s="847">
        <v>6.4914285118571433</v>
      </c>
    </row>
    <row r="94" spans="11:15">
      <c r="L94" s="846">
        <v>39</v>
      </c>
      <c r="M94" s="847">
        <v>9.4700000000000006</v>
      </c>
      <c r="N94" s="847">
        <v>23.7</v>
      </c>
      <c r="O94" s="847">
        <v>4.9000000000000004</v>
      </c>
    </row>
    <row r="95" spans="11:15">
      <c r="K95" s="846">
        <v>40</v>
      </c>
      <c r="L95" s="846">
        <v>40</v>
      </c>
      <c r="M95" s="847">
        <v>9.6714286802857146</v>
      </c>
      <c r="N95" s="847">
        <v>23.695143017142858</v>
      </c>
      <c r="O95" s="847">
        <v>4.898285797571428</v>
      </c>
    </row>
    <row r="96" spans="11:15">
      <c r="L96" s="846">
        <v>41</v>
      </c>
      <c r="M96" s="847">
        <v>13.23900018419533</v>
      </c>
      <c r="N96" s="847">
        <v>28.113285882132363</v>
      </c>
      <c r="O96" s="847">
        <v>8.3430000032697169</v>
      </c>
    </row>
    <row r="97" spans="10:15">
      <c r="L97" s="846">
        <v>42</v>
      </c>
      <c r="M97" s="847">
        <v>13.085142816816015</v>
      </c>
      <c r="N97" s="847">
        <v>37.073285511561743</v>
      </c>
      <c r="O97" s="847">
        <v>7.2735712868826683</v>
      </c>
    </row>
    <row r="98" spans="10:15">
      <c r="L98" s="846">
        <v>43</v>
      </c>
      <c r="M98" s="847">
        <v>24.981571742466489</v>
      </c>
      <c r="N98" s="847">
        <v>70.535571507045162</v>
      </c>
      <c r="O98" s="847">
        <v>7.4324284962245324</v>
      </c>
    </row>
    <row r="99" spans="10:15">
      <c r="L99" s="846">
        <v>44</v>
      </c>
      <c r="M99" s="847">
        <v>20.55814279714286</v>
      </c>
      <c r="N99" s="847">
        <v>55.183714184285712</v>
      </c>
      <c r="O99" s="847">
        <v>15.801856994857145</v>
      </c>
    </row>
    <row r="100" spans="10:15">
      <c r="L100" s="846">
        <v>45</v>
      </c>
      <c r="M100" s="847">
        <v>26.170000077142856</v>
      </c>
      <c r="N100" s="847">
        <v>60.445714132857141</v>
      </c>
      <c r="O100" s="847">
        <v>26.432857787142858</v>
      </c>
    </row>
    <row r="101" spans="10:15">
      <c r="L101" s="846">
        <v>46</v>
      </c>
      <c r="M101" s="847">
        <v>19.728571428571428</v>
      </c>
      <c r="N101" s="847">
        <v>57.005714285714291</v>
      </c>
      <c r="O101" s="847">
        <v>53.502857142857145</v>
      </c>
    </row>
    <row r="102" spans="10:15">
      <c r="L102" s="846">
        <v>47</v>
      </c>
      <c r="M102" s="847">
        <v>39.656714302857139</v>
      </c>
      <c r="N102" s="847">
        <v>103.00771440714287</v>
      </c>
      <c r="O102" s="847">
        <v>53.459142955714292</v>
      </c>
    </row>
    <row r="103" spans="10:15">
      <c r="L103" s="846">
        <v>48</v>
      </c>
      <c r="M103" s="847">
        <v>39.656714302857139</v>
      </c>
      <c r="N103" s="847">
        <v>99.828000734285709</v>
      </c>
      <c r="O103" s="847">
        <v>45.539571760000008</v>
      </c>
    </row>
    <row r="104" spans="10:15">
      <c r="L104" s="846">
        <v>49</v>
      </c>
      <c r="M104" s="847">
        <v>22.62857142857143</v>
      </c>
      <c r="N104" s="847">
        <v>60.27571428571428</v>
      </c>
      <c r="O104" s="847">
        <v>17.955714285714286</v>
      </c>
    </row>
    <row r="105" spans="10:15">
      <c r="L105" s="846">
        <v>50</v>
      </c>
      <c r="M105" s="847">
        <v>17.776714461428572</v>
      </c>
      <c r="N105" s="847">
        <v>46.701999664285715</v>
      </c>
      <c r="O105" s="847">
        <v>13.432571411428571</v>
      </c>
    </row>
    <row r="106" spans="10:15">
      <c r="L106" s="846">
        <v>51</v>
      </c>
      <c r="M106" s="847">
        <v>34.085714285714282</v>
      </c>
      <c r="N106" s="847">
        <v>68.7</v>
      </c>
      <c r="O106" s="847">
        <v>39.414285714285711</v>
      </c>
    </row>
    <row r="107" spans="10:15">
      <c r="K107" s="846">
        <v>52</v>
      </c>
      <c r="L107" s="846">
        <v>52</v>
      </c>
      <c r="M107" s="847">
        <v>52.094142914285719</v>
      </c>
      <c r="N107" s="847">
        <v>97.347143448571416</v>
      </c>
      <c r="O107" s="847">
        <v>65.679429182857149</v>
      </c>
    </row>
    <row r="108" spans="10:15">
      <c r="J108" s="111">
        <v>2019</v>
      </c>
      <c r="K108" s="846">
        <v>1</v>
      </c>
      <c r="L108" s="846">
        <v>1</v>
      </c>
      <c r="M108" s="847">
        <v>27.79999951142857</v>
      </c>
      <c r="N108" s="847">
        <v>78.298570904285711</v>
      </c>
      <c r="O108" s="847">
        <v>21.927143370000003</v>
      </c>
    </row>
    <row r="109" spans="10:15">
      <c r="L109" s="846">
        <v>2</v>
      </c>
      <c r="M109" s="847">
        <v>28.678571428571427</v>
      </c>
      <c r="N109" s="847">
        <v>95.081715179999989</v>
      </c>
      <c r="O109" s="847">
        <v>22.397999900000002</v>
      </c>
    </row>
    <row r="110" spans="10:15">
      <c r="L110" s="846">
        <v>3</v>
      </c>
      <c r="M110" s="847">
        <v>44.51</v>
      </c>
      <c r="N110" s="847">
        <v>95.65</v>
      </c>
      <c r="O110" s="847">
        <v>17.61</v>
      </c>
    </row>
    <row r="111" spans="10:15">
      <c r="L111" s="846">
        <v>4</v>
      </c>
      <c r="M111" s="847">
        <v>73.323141914285699</v>
      </c>
      <c r="N111" s="847">
        <v>109.29957036285714</v>
      </c>
      <c r="O111" s="847">
        <v>17.638000354285712</v>
      </c>
    </row>
    <row r="112" spans="10:15">
      <c r="L112" s="846">
        <v>5</v>
      </c>
      <c r="M112" s="847">
        <v>103.17716724333333</v>
      </c>
      <c r="N112" s="847">
        <v>149.65083311999999</v>
      </c>
      <c r="O112" s="847">
        <v>19.218833289999999</v>
      </c>
    </row>
    <row r="113" spans="11:15">
      <c r="L113" s="846">
        <v>6</v>
      </c>
      <c r="M113" s="847">
        <v>79.165714285714287</v>
      </c>
      <c r="N113" s="847">
        <v>136.57714285714286</v>
      </c>
      <c r="O113" s="847">
        <v>57.185714285714276</v>
      </c>
    </row>
    <row r="114" spans="11:15">
      <c r="L114" s="846">
        <v>7</v>
      </c>
      <c r="M114" s="847">
        <v>120.02256992142858</v>
      </c>
      <c r="N114" s="847">
        <v>224.71071514285714</v>
      </c>
      <c r="O114" s="847">
        <v>118.06042697857141</v>
      </c>
    </row>
    <row r="115" spans="11:15">
      <c r="K115" s="846">
        <v>8</v>
      </c>
      <c r="L115" s="846">
        <v>8</v>
      </c>
      <c r="M115" s="847">
        <v>97.560142514285715</v>
      </c>
      <c r="N115" s="847">
        <v>198.04342652857142</v>
      </c>
      <c r="O115" s="847">
        <v>106.29885756428571</v>
      </c>
    </row>
    <row r="116" spans="11:15">
      <c r="L116" s="846">
        <v>9</v>
      </c>
      <c r="M116" s="847">
        <v>97.560142514285715</v>
      </c>
      <c r="N116" s="847">
        <v>191.0112849857143</v>
      </c>
      <c r="O116" s="847">
        <v>142.12385776285717</v>
      </c>
    </row>
    <row r="117" spans="11:15">
      <c r="L117" s="846">
        <v>10</v>
      </c>
      <c r="M117" s="847">
        <v>97.497286117142863</v>
      </c>
      <c r="N117" s="847">
        <v>215.64014109999999</v>
      </c>
      <c r="O117" s="847">
        <v>164.59685624285717</v>
      </c>
    </row>
    <row r="118" spans="11:15">
      <c r="L118" s="846">
        <v>11</v>
      </c>
      <c r="M118" s="847">
        <v>98.21585736955906</v>
      </c>
      <c r="N118" s="847">
        <v>236.76099940708642</v>
      </c>
      <c r="O118" s="847">
        <v>121.6507121494835</v>
      </c>
    </row>
    <row r="119" spans="11:15">
      <c r="L119" s="846">
        <v>12</v>
      </c>
      <c r="M119" s="847">
        <v>91.857713972857141</v>
      </c>
      <c r="N119" s="847">
        <v>250.8679761904763</v>
      </c>
      <c r="O119" s="847">
        <v>166.63136904761905</v>
      </c>
    </row>
    <row r="120" spans="11:15">
      <c r="L120" s="846">
        <v>13</v>
      </c>
      <c r="M120" s="847">
        <v>100.0137132957143</v>
      </c>
      <c r="N120" s="847">
        <v>301.45971681428574</v>
      </c>
      <c r="O120" s="847">
        <v>180.07000078571429</v>
      </c>
    </row>
    <row r="121" spans="11:15">
      <c r="L121" s="846">
        <v>14</v>
      </c>
      <c r="M121" s="847">
        <v>84.272714885714294</v>
      </c>
      <c r="N121" s="847">
        <v>253.08542525714284</v>
      </c>
      <c r="O121" s="847">
        <v>143.43971579999999</v>
      </c>
    </row>
    <row r="122" spans="11:15">
      <c r="L122" s="846">
        <v>15</v>
      </c>
      <c r="M122" s="847">
        <v>61.074856892857142</v>
      </c>
      <c r="N122" s="847">
        <v>253.08542525714284</v>
      </c>
      <c r="O122" s="847">
        <v>152.6561442857143</v>
      </c>
    </row>
    <row r="123" spans="11:15">
      <c r="K123" s="846">
        <v>16</v>
      </c>
      <c r="L123" s="846">
        <v>16</v>
      </c>
      <c r="M123" s="847">
        <v>47.843714031428576</v>
      </c>
      <c r="N123" s="847">
        <v>141.0458592</v>
      </c>
      <c r="O123" s="847">
        <v>83.844285145714295</v>
      </c>
    </row>
    <row r="124" spans="11:15">
      <c r="L124" s="846">
        <v>17</v>
      </c>
      <c r="M124" s="847">
        <v>50.907143728571427</v>
      </c>
      <c r="N124" s="847">
        <v>123.86656951428571</v>
      </c>
      <c r="O124" s="847">
        <v>125.28814153857142</v>
      </c>
    </row>
    <row r="125" spans="11:15">
      <c r="L125" s="846">
        <v>18</v>
      </c>
      <c r="M125" s="847">
        <v>39.120999471428568</v>
      </c>
      <c r="N125" s="847">
        <v>85.173857551428583</v>
      </c>
      <c r="O125" s="847">
        <v>66.347143447142855</v>
      </c>
    </row>
    <row r="126" spans="11:15">
      <c r="L126" s="846">
        <v>19</v>
      </c>
      <c r="M126" s="847">
        <v>35.410856791428571</v>
      </c>
      <c r="N126" s="847">
        <v>71.224285714285699</v>
      </c>
      <c r="O126" s="847">
        <v>42.216071428571425</v>
      </c>
    </row>
    <row r="127" spans="11:15">
      <c r="L127" s="846">
        <v>20</v>
      </c>
      <c r="M127" s="847">
        <v>32.405142920000003</v>
      </c>
      <c r="N127" s="847">
        <v>76.857142859999996</v>
      </c>
      <c r="O127" s="847">
        <v>58.324429100000003</v>
      </c>
    </row>
    <row r="128" spans="11:15">
      <c r="L128" s="846">
        <v>21</v>
      </c>
      <c r="M128" s="847">
        <v>26.58385740142857</v>
      </c>
      <c r="N128" s="847">
        <v>47.97114345</v>
      </c>
      <c r="O128" s="847">
        <v>34.032571519999998</v>
      </c>
    </row>
    <row r="129" spans="11:15">
      <c r="L129" s="846">
        <v>22</v>
      </c>
      <c r="M129" s="847">
        <v>19.653714315714286</v>
      </c>
      <c r="N129" s="847">
        <v>37.624285945285713</v>
      </c>
      <c r="O129" s="847">
        <v>40.524285998571429</v>
      </c>
    </row>
    <row r="130" spans="11:15">
      <c r="L130" s="846">
        <v>23</v>
      </c>
      <c r="M130" s="847">
        <v>16.50400011857143</v>
      </c>
      <c r="N130" s="847">
        <v>37.806285858571421</v>
      </c>
      <c r="O130" s="847">
        <v>25.010571342857141</v>
      </c>
    </row>
    <row r="131" spans="11:15">
      <c r="L131" s="846">
        <v>24</v>
      </c>
      <c r="M131" s="847">
        <v>14.890428544285713</v>
      </c>
      <c r="N131" s="847">
        <v>35.468714032857143</v>
      </c>
      <c r="O131" s="847">
        <v>18.242713997857145</v>
      </c>
    </row>
    <row r="132" spans="11:15">
      <c r="L132" s="846">
        <v>25</v>
      </c>
      <c r="M132" s="847">
        <v>15.340000017142858</v>
      </c>
      <c r="N132" s="847">
        <v>33.200142724285719</v>
      </c>
      <c r="O132" s="847">
        <v>16.013142995714286</v>
      </c>
    </row>
    <row r="133" spans="11:15">
      <c r="K133" s="846">
        <v>26</v>
      </c>
      <c r="L133" s="846">
        <v>26</v>
      </c>
      <c r="M133" s="847">
        <v>15.521142687142857</v>
      </c>
      <c r="N133" s="847">
        <v>28.376285825714287</v>
      </c>
      <c r="O133" s="847">
        <v>12.961571557142857</v>
      </c>
    </row>
    <row r="134" spans="11:15">
      <c r="L134" s="846">
        <v>27</v>
      </c>
      <c r="M134" s="847">
        <v>15.32</v>
      </c>
      <c r="N134" s="847">
        <v>28.47</v>
      </c>
      <c r="O134" s="847">
        <v>11.39</v>
      </c>
    </row>
    <row r="135" spans="11:15">
      <c r="L135" s="846">
        <v>28</v>
      </c>
      <c r="M135" s="847">
        <v>14.809428488571427</v>
      </c>
      <c r="N135" s="848">
        <v>28.920333226666667</v>
      </c>
      <c r="O135" s="847">
        <v>11.405166626666668</v>
      </c>
    </row>
    <row r="136" spans="11:15">
      <c r="L136" s="846">
        <v>29</v>
      </c>
      <c r="M136" s="847">
        <v>13.666428565978956</v>
      </c>
      <c r="N136" s="848">
        <v>24.422333717346149</v>
      </c>
      <c r="O136" s="847">
        <v>10.173999945322651</v>
      </c>
    </row>
    <row r="137" spans="11:15">
      <c r="L137" s="846">
        <v>30</v>
      </c>
      <c r="M137" s="847">
        <v>13.392857142857142</v>
      </c>
      <c r="N137" s="848">
        <v>24.086666666666662</v>
      </c>
      <c r="O137" s="847">
        <v>9.1716666666666669</v>
      </c>
    </row>
    <row r="138" spans="11:15">
      <c r="L138" s="846">
        <v>31</v>
      </c>
      <c r="M138" s="847">
        <v>13.098428589999999</v>
      </c>
      <c r="N138" s="848">
        <v>22.471285411428575</v>
      </c>
      <c r="O138" s="847">
        <v>8.5915715354285727</v>
      </c>
    </row>
    <row r="139" spans="11:15">
      <c r="L139" s="846">
        <v>32</v>
      </c>
      <c r="M139" s="847">
        <v>12.228285654285713</v>
      </c>
      <c r="N139" s="848">
        <v>25.212714058571429</v>
      </c>
      <c r="O139" s="847">
        <v>6.6260000637142857</v>
      </c>
    </row>
    <row r="140" spans="11:15">
      <c r="L140" s="846">
        <v>33</v>
      </c>
      <c r="M140" s="847">
        <v>12.838714327142856</v>
      </c>
      <c r="N140" s="848">
        <v>28.061000278571431</v>
      </c>
      <c r="O140" s="847">
        <v>5.9311428751428581</v>
      </c>
    </row>
    <row r="141" spans="11:15">
      <c r="K141" s="846">
        <v>34</v>
      </c>
      <c r="L141" s="846">
        <v>34</v>
      </c>
      <c r="M141" s="847">
        <v>12.37928554</v>
      </c>
      <c r="N141" s="848">
        <v>28.455856868571431</v>
      </c>
      <c r="O141" s="847">
        <v>5.2604285648571434</v>
      </c>
    </row>
    <row r="142" spans="11:15">
      <c r="L142" s="846">
        <v>35</v>
      </c>
      <c r="M142" s="847">
        <v>11.92371409142857</v>
      </c>
      <c r="N142" s="848">
        <v>26.646000226666668</v>
      </c>
      <c r="O142" s="847">
        <v>4.7316666444999997</v>
      </c>
    </row>
    <row r="143" spans="11:15">
      <c r="L143" s="846">
        <v>36</v>
      </c>
      <c r="M143" s="847">
        <v>10.731857162857143</v>
      </c>
      <c r="N143" s="847">
        <v>27.720570974285714</v>
      </c>
      <c r="O143" s="847">
        <v>4.5542856622857144</v>
      </c>
    </row>
    <row r="144" spans="11:15">
      <c r="L144" s="846">
        <v>37</v>
      </c>
      <c r="M144" s="847">
        <v>11.481428825714286</v>
      </c>
      <c r="N144" s="847">
        <v>27.967571258571429</v>
      </c>
      <c r="O144" s="847">
        <v>4.1919999124285718</v>
      </c>
    </row>
    <row r="145" spans="11:15">
      <c r="L145" s="846">
        <v>38</v>
      </c>
      <c r="M145" s="847">
        <v>12.217142857142859</v>
      </c>
      <c r="N145" s="847">
        <v>31.354000000000003</v>
      </c>
      <c r="O145" s="847">
        <v>4.1759999999999993</v>
      </c>
    </row>
    <row r="146" spans="11:15">
      <c r="L146" s="846">
        <v>39</v>
      </c>
      <c r="M146" s="847">
        <v>15.0261430740356</v>
      </c>
      <c r="N146" s="847">
        <v>37.146399307250938</v>
      </c>
      <c r="O146" s="847">
        <v>4.8932001113891559</v>
      </c>
    </row>
    <row r="147" spans="11:15">
      <c r="L147" s="846">
        <v>40</v>
      </c>
      <c r="M147" s="847">
        <v>13.292000225714288</v>
      </c>
      <c r="N147" s="849">
        <v>29.934999783333328</v>
      </c>
      <c r="O147" s="847">
        <v>5.3130000431666664</v>
      </c>
    </row>
    <row r="148" spans="11:15">
      <c r="L148" s="846">
        <v>41</v>
      </c>
      <c r="M148" s="847">
        <v>15.472143037142859</v>
      </c>
      <c r="N148" s="849">
        <v>31.668000084285715</v>
      </c>
      <c r="O148" s="847">
        <v>8.3924286701428574</v>
      </c>
    </row>
    <row r="149" spans="11:15">
      <c r="L149" s="846">
        <v>42</v>
      </c>
      <c r="M149" s="847">
        <v>14.602857142857143</v>
      </c>
      <c r="N149" s="849">
        <v>30.061428571428571</v>
      </c>
      <c r="O149" s="847">
        <v>9.2871428571428574</v>
      </c>
    </row>
    <row r="150" spans="11:15">
      <c r="L150" s="846">
        <v>43</v>
      </c>
      <c r="M150" s="847">
        <v>18.763999527142854</v>
      </c>
      <c r="N150" s="849">
        <v>48.129999975714291</v>
      </c>
      <c r="O150" s="847">
        <v>18.153714861428572</v>
      </c>
    </row>
    <row r="151" spans="11:15">
      <c r="K151" s="846">
        <v>44</v>
      </c>
      <c r="L151" s="846">
        <v>44</v>
      </c>
      <c r="M151" s="847">
        <v>12.722428322857143</v>
      </c>
      <c r="N151" s="849">
        <v>37.781833011666663</v>
      </c>
      <c r="O151" s="847">
        <v>19.903499760000003</v>
      </c>
    </row>
    <row r="152" spans="11:15">
      <c r="L152" s="846">
        <v>45</v>
      </c>
      <c r="M152" s="847">
        <v>22.372000012857146</v>
      </c>
      <c r="N152" s="847">
        <v>60.721429549999996</v>
      </c>
      <c r="O152" s="847">
        <v>69.077428547142844</v>
      </c>
    </row>
    <row r="153" spans="11:15">
      <c r="L153" s="846">
        <v>46</v>
      </c>
      <c r="M153" s="847">
        <v>28.101571491428576</v>
      </c>
      <c r="N153" s="847">
        <v>68.569856369999997</v>
      </c>
      <c r="O153" s="847">
        <v>51.190428054285711</v>
      </c>
    </row>
    <row r="154" spans="11:15">
      <c r="L154" s="846">
        <v>47</v>
      </c>
      <c r="M154" s="847">
        <v>22.222285951428574</v>
      </c>
      <c r="N154" s="847">
        <v>51.534999302857152</v>
      </c>
      <c r="O154" s="847">
        <v>21.676285608571426</v>
      </c>
    </row>
    <row r="155" spans="11:15">
      <c r="L155" s="846">
        <v>48</v>
      </c>
      <c r="M155" s="847">
        <v>18.796428408571426</v>
      </c>
      <c r="N155" s="847">
        <v>45.115714484285718</v>
      </c>
      <c r="O155" s="847">
        <v>19.428714208571428</v>
      </c>
    </row>
    <row r="156" spans="11:15">
      <c r="L156" s="846">
        <v>49</v>
      </c>
      <c r="M156" s="847">
        <v>40.459857124285712</v>
      </c>
      <c r="N156" s="847">
        <v>84.846428458571424</v>
      </c>
      <c r="O156" s="847">
        <v>67.787142617142862</v>
      </c>
    </row>
    <row r="157" spans="11:15">
      <c r="L157" s="846">
        <v>50</v>
      </c>
      <c r="M157" s="847">
        <v>55.208571570000004</v>
      </c>
      <c r="N157" s="847">
        <v>99.139714364285723</v>
      </c>
      <c r="O157" s="847">
        <v>46.000713344285714</v>
      </c>
    </row>
    <row r="158" spans="11:15">
      <c r="L158" s="846">
        <v>51</v>
      </c>
      <c r="M158" s="847">
        <v>84.778857641428559</v>
      </c>
      <c r="N158" s="847">
        <v>201.52657207142857</v>
      </c>
      <c r="O158" s="847">
        <v>43.586286274285712</v>
      </c>
    </row>
    <row r="159" spans="11:15">
      <c r="K159" s="846">
        <v>52</v>
      </c>
      <c r="L159" s="846">
        <v>52</v>
      </c>
      <c r="M159" s="847">
        <v>90.21400125571428</v>
      </c>
      <c r="N159" s="847">
        <v>224.1094316857143</v>
      </c>
      <c r="O159" s="847">
        <v>50.483570642857153</v>
      </c>
    </row>
    <row r="160" spans="11:15">
      <c r="L160" s="846">
        <v>53</v>
      </c>
      <c r="M160" s="847">
        <v>80.061285835714287</v>
      </c>
      <c r="N160" s="847">
        <v>205.2461395</v>
      </c>
      <c r="O160" s="847">
        <v>83.637714931428576</v>
      </c>
    </row>
    <row r="161" spans="10:15">
      <c r="J161" s="111">
        <v>2020</v>
      </c>
      <c r="L161" s="846">
        <v>1</v>
      </c>
      <c r="M161" s="847">
        <v>42.7519994463239</v>
      </c>
      <c r="N161" s="847">
        <v>129.33128356933543</v>
      </c>
      <c r="O161" s="847">
        <v>35.412713732038192</v>
      </c>
    </row>
    <row r="162" spans="10:15">
      <c r="L162" s="846">
        <v>2</v>
      </c>
      <c r="M162" s="847">
        <v>30.679571151428568</v>
      </c>
      <c r="N162" s="847">
        <v>73.393001012857141</v>
      </c>
      <c r="O162" s="847">
        <v>22.044856754285714</v>
      </c>
    </row>
    <row r="163" spans="10:15">
      <c r="L163" s="846">
        <v>3</v>
      </c>
      <c r="M163" s="847">
        <v>46.443999700000006</v>
      </c>
      <c r="N163" s="847">
        <v>73.092571804285726</v>
      </c>
      <c r="O163" s="847">
        <v>18.210142817142859</v>
      </c>
    </row>
    <row r="164" spans="10:15">
      <c r="L164" s="846">
        <v>4</v>
      </c>
      <c r="M164" s="847">
        <v>56.559571404285713</v>
      </c>
      <c r="N164" s="847">
        <v>140.69343129999999</v>
      </c>
      <c r="O164" s="847">
        <v>15.934428624285713</v>
      </c>
    </row>
    <row r="165" spans="10:15">
      <c r="L165" s="846">
        <v>5</v>
      </c>
      <c r="M165" s="847">
        <v>85.997285015714283</v>
      </c>
      <c r="N165" s="847">
        <v>189.96014404285714</v>
      </c>
      <c r="O165" s="847">
        <v>16.347999845714288</v>
      </c>
    </row>
    <row r="166" spans="10:15">
      <c r="L166" s="846">
        <v>6</v>
      </c>
      <c r="M166" s="847">
        <v>79.643857683454215</v>
      </c>
      <c r="N166" s="847">
        <v>184.55100359235459</v>
      </c>
      <c r="O166" s="847">
        <v>24.545571190970243</v>
      </c>
    </row>
    <row r="167" spans="10:15">
      <c r="L167" s="846">
        <v>7</v>
      </c>
      <c r="M167" s="847">
        <v>62.11542837857143</v>
      </c>
      <c r="N167" s="847">
        <v>141.4891401142857</v>
      </c>
      <c r="O167" s="847">
        <v>17.933714184285712</v>
      </c>
    </row>
    <row r="168" spans="10:15">
      <c r="K168" s="846">
        <v>8</v>
      </c>
      <c r="L168" s="846">
        <v>8</v>
      </c>
      <c r="M168" s="847">
        <v>41.134571620396166</v>
      </c>
      <c r="N168" s="847">
        <v>83.969571794782198</v>
      </c>
      <c r="O168" s="847">
        <v>15.5625712530953</v>
      </c>
    </row>
    <row r="169" spans="10:15">
      <c r="L169" s="846">
        <v>9</v>
      </c>
      <c r="M169" s="847">
        <v>70.027142117142859</v>
      </c>
      <c r="N169" s="847">
        <v>124.34114185428572</v>
      </c>
      <c r="O169" s="847">
        <v>23.340428760000002</v>
      </c>
    </row>
    <row r="170" spans="10:15">
      <c r="L170" s="846">
        <v>10</v>
      </c>
      <c r="M170" s="847">
        <v>51.713285718571434</v>
      </c>
      <c r="N170" s="847">
        <v>110.96499854142857</v>
      </c>
      <c r="O170" s="847">
        <v>51.143429344285714</v>
      </c>
    </row>
    <row r="171" spans="10:15">
      <c r="L171" s="846">
        <v>11</v>
      </c>
      <c r="M171" s="847">
        <v>64.999999455714274</v>
      </c>
      <c r="N171" s="847">
        <v>130.17914037142856</v>
      </c>
      <c r="O171" s="847">
        <v>73.820713587142862</v>
      </c>
    </row>
    <row r="172" spans="10:15">
      <c r="L172" s="846">
        <v>12</v>
      </c>
      <c r="M172" s="847">
        <v>70.530143192836164</v>
      </c>
      <c r="N172" s="847">
        <v>127.86657169886942</v>
      </c>
      <c r="O172" s="847">
        <v>34.1388571602957</v>
      </c>
    </row>
    <row r="173" spans="10:15">
      <c r="L173" s="846">
        <v>13</v>
      </c>
      <c r="M173" s="847">
        <v>73.710714612688278</v>
      </c>
      <c r="N173" s="847">
        <v>138.12900325230143</v>
      </c>
      <c r="O173" s="847">
        <v>66.457714898245612</v>
      </c>
    </row>
    <row r="174" spans="10:15">
      <c r="L174" s="846">
        <v>14</v>
      </c>
      <c r="M174" s="847">
        <v>57.796857017142862</v>
      </c>
      <c r="N174" s="847">
        <v>109.14457049285714</v>
      </c>
      <c r="O174" s="847">
        <v>82.626999985714278</v>
      </c>
    </row>
    <row r="175" spans="10:15">
      <c r="K175" s="850"/>
      <c r="L175" s="846">
        <v>15</v>
      </c>
      <c r="M175" s="847">
        <v>44.430285317142861</v>
      </c>
      <c r="N175" s="847">
        <v>80.133571635714276</v>
      </c>
      <c r="O175" s="847">
        <v>89.91342707714287</v>
      </c>
    </row>
    <row r="176" spans="10:15">
      <c r="K176" s="850">
        <v>16</v>
      </c>
      <c r="L176" s="846">
        <v>16</v>
      </c>
      <c r="M176" s="847">
        <v>30.701856885714285</v>
      </c>
      <c r="N176" s="847">
        <v>57.13714327142857</v>
      </c>
      <c r="O176" s="847">
        <v>73.487428932857142</v>
      </c>
    </row>
    <row r="177" spans="10:21" s="730" customFormat="1">
      <c r="J177" s="111"/>
      <c r="K177" s="850"/>
      <c r="L177" s="846">
        <v>17</v>
      </c>
      <c r="M177" s="847">
        <v>24.932857240949314</v>
      </c>
      <c r="N177" s="847">
        <v>55.184285845075259</v>
      </c>
      <c r="O177" s="847">
        <v>80.585714067731558</v>
      </c>
      <c r="P177" s="432"/>
      <c r="Q177" s="423"/>
      <c r="R177" s="423"/>
      <c r="S177" s="423"/>
      <c r="T177" s="423"/>
      <c r="U177" s="423"/>
    </row>
    <row r="178" spans="10:21" s="730" customFormat="1">
      <c r="J178" s="111"/>
      <c r="K178" s="850"/>
      <c r="L178" s="846">
        <v>18</v>
      </c>
      <c r="M178" s="847">
        <v>46.867285591428576</v>
      </c>
      <c r="N178" s="847">
        <v>80.201000221428572</v>
      </c>
      <c r="O178" s="847">
        <v>93.131286082857144</v>
      </c>
      <c r="P178" s="432"/>
      <c r="Q178" s="423"/>
      <c r="R178" s="423"/>
      <c r="S178" s="423"/>
      <c r="T178" s="423"/>
      <c r="U178" s="423"/>
    </row>
    <row r="179" spans="10:21" s="730" customFormat="1">
      <c r="J179" s="111"/>
      <c r="K179" s="850"/>
      <c r="L179" s="846">
        <v>19</v>
      </c>
      <c r="M179" s="847">
        <v>39.880857740000003</v>
      </c>
      <c r="N179" s="847">
        <v>73.398713792857151</v>
      </c>
      <c r="O179" s="847">
        <v>43.960427964285714</v>
      </c>
      <c r="P179" s="432"/>
      <c r="Q179" s="423"/>
      <c r="R179" s="423"/>
      <c r="S179" s="423"/>
      <c r="T179" s="423"/>
      <c r="U179" s="423"/>
    </row>
    <row r="180" spans="10:21" s="730" customFormat="1">
      <c r="J180" s="111"/>
      <c r="K180" s="850"/>
      <c r="L180" s="846">
        <v>20</v>
      </c>
      <c r="M180" s="847">
        <v>34.332998821428575</v>
      </c>
      <c r="N180" s="847">
        <v>57.629714421428567</v>
      </c>
      <c r="O180" s="847">
        <v>29.038571492857141</v>
      </c>
      <c r="P180" s="432"/>
      <c r="Q180" s="423"/>
      <c r="R180" s="423"/>
      <c r="S180" s="423"/>
      <c r="T180" s="423"/>
      <c r="U180" s="423"/>
    </row>
    <row r="181" spans="10:21" s="730" customFormat="1">
      <c r="J181" s="111"/>
      <c r="K181" s="850"/>
      <c r="L181" s="846">
        <v>21</v>
      </c>
      <c r="M181" s="847">
        <v>28.39914212908057</v>
      </c>
      <c r="N181" s="847">
        <v>47.208427974155924</v>
      </c>
      <c r="O181" s="847">
        <v>20.747856957571798</v>
      </c>
      <c r="P181" s="432"/>
      <c r="Q181" s="423"/>
      <c r="R181" s="423"/>
      <c r="S181" s="423"/>
      <c r="T181" s="423"/>
      <c r="U181" s="423"/>
    </row>
    <row r="182" spans="10:21" s="730" customFormat="1">
      <c r="J182" s="111"/>
      <c r="K182" s="850"/>
      <c r="L182" s="846">
        <v>22</v>
      </c>
      <c r="M182" s="847">
        <v>19.016142710000004</v>
      </c>
      <c r="N182" s="847">
        <v>39.635571071428572</v>
      </c>
      <c r="O182" s="847">
        <v>28.597570964285715</v>
      </c>
      <c r="P182" s="432"/>
      <c r="Q182" s="423"/>
      <c r="R182" s="423"/>
      <c r="S182" s="423"/>
      <c r="T182" s="423"/>
      <c r="U182" s="423"/>
    </row>
    <row r="183" spans="10:21" s="730" customFormat="1">
      <c r="J183" s="111"/>
      <c r="K183" s="850"/>
      <c r="L183" s="846">
        <v>23</v>
      </c>
      <c r="M183" s="847">
        <v>16.323713982857143</v>
      </c>
      <c r="N183" s="847">
        <v>49.136857168571431</v>
      </c>
      <c r="O183" s="847">
        <v>19.104714530000003</v>
      </c>
      <c r="P183" s="432"/>
      <c r="Q183" s="423"/>
      <c r="R183" s="423"/>
      <c r="S183" s="423"/>
      <c r="T183" s="423"/>
      <c r="U183" s="423"/>
    </row>
    <row r="184" spans="10:21" s="730" customFormat="1">
      <c r="J184" s="111"/>
      <c r="K184" s="850">
        <v>24</v>
      </c>
      <c r="L184" s="846">
        <v>24</v>
      </c>
      <c r="M184" s="847">
        <v>14.458999906267413</v>
      </c>
      <c r="N184" s="847">
        <v>34.150428227015844</v>
      </c>
      <c r="O184" s="847">
        <v>14.211285591125442</v>
      </c>
      <c r="P184" s="432"/>
      <c r="Q184" s="423"/>
      <c r="R184" s="423"/>
      <c r="S184" s="423"/>
      <c r="T184" s="423"/>
      <c r="U184" s="423"/>
    </row>
    <row r="185" spans="10:21" s="730" customFormat="1">
      <c r="J185" s="111"/>
      <c r="K185" s="850"/>
      <c r="L185" s="846">
        <v>25</v>
      </c>
      <c r="M185" s="847">
        <v>13.476999827142858</v>
      </c>
      <c r="N185" s="847">
        <v>32.288857598571425</v>
      </c>
      <c r="O185" s="847">
        <v>11.628714288571429</v>
      </c>
      <c r="P185" s="432"/>
      <c r="Q185" s="423"/>
      <c r="R185" s="423"/>
      <c r="S185" s="423"/>
      <c r="T185" s="423"/>
      <c r="U185" s="423"/>
    </row>
    <row r="186" spans="10:21" s="730" customFormat="1">
      <c r="J186" s="111"/>
      <c r="K186" s="850"/>
      <c r="L186" s="846">
        <v>26</v>
      </c>
      <c r="M186" s="847">
        <v>14.175142699999999</v>
      </c>
      <c r="N186" s="847">
        <v>29.45585686714286</v>
      </c>
      <c r="O186" s="847">
        <v>11.67571422</v>
      </c>
      <c r="P186" s="432"/>
      <c r="Q186" s="423"/>
      <c r="R186" s="423"/>
      <c r="S186" s="423"/>
      <c r="T186" s="423"/>
      <c r="U186" s="423"/>
    </row>
    <row r="187" spans="10:21" s="730" customFormat="1">
      <c r="J187" s="111"/>
      <c r="K187" s="850"/>
      <c r="L187" s="846">
        <v>27</v>
      </c>
      <c r="M187" s="847">
        <v>12.859571456909155</v>
      </c>
      <c r="N187" s="847">
        <v>27.986428669520745</v>
      </c>
      <c r="O187" s="847">
        <v>27.48885754176543</v>
      </c>
      <c r="P187" s="432"/>
      <c r="Q187" s="423"/>
      <c r="R187" s="423"/>
      <c r="S187" s="423"/>
      <c r="T187" s="423"/>
      <c r="U187" s="423"/>
    </row>
    <row r="188" spans="10:21" s="730" customFormat="1">
      <c r="J188" s="111"/>
      <c r="K188" s="850"/>
      <c r="L188" s="846">
        <v>28</v>
      </c>
      <c r="M188" s="847">
        <v>11.472142902857144</v>
      </c>
      <c r="N188" s="847">
        <v>24.371857235714284</v>
      </c>
      <c r="O188" s="847">
        <v>32.395143782857147</v>
      </c>
      <c r="P188" s="432"/>
      <c r="Q188" s="423"/>
      <c r="R188" s="423"/>
      <c r="S188" s="423"/>
      <c r="T188" s="423"/>
      <c r="U188" s="423"/>
    </row>
    <row r="189" spans="10:21" s="730" customFormat="1">
      <c r="J189" s="111"/>
      <c r="K189" s="850"/>
      <c r="L189" s="846">
        <v>29</v>
      </c>
      <c r="M189" s="847">
        <v>11.32885715142857</v>
      </c>
      <c r="N189" s="847">
        <v>23.620857238571428</v>
      </c>
      <c r="O189" s="847">
        <v>14.974999971428572</v>
      </c>
      <c r="P189" s="432"/>
      <c r="Q189" s="423"/>
      <c r="R189" s="423"/>
      <c r="S189" s="423"/>
      <c r="T189" s="423"/>
      <c r="U189" s="423"/>
    </row>
    <row r="190" spans="10:21" s="730" customFormat="1">
      <c r="J190" s="111"/>
      <c r="K190" s="850"/>
      <c r="L190" s="846">
        <v>30</v>
      </c>
      <c r="M190" s="847">
        <v>11.152000155714285</v>
      </c>
      <c r="N190" s="847">
        <v>26.757428577142853</v>
      </c>
      <c r="O190" s="847">
        <v>14.12842846</v>
      </c>
      <c r="P190" s="432"/>
      <c r="Q190" s="423"/>
      <c r="R190" s="423"/>
      <c r="S190" s="423"/>
      <c r="T190" s="423"/>
      <c r="U190" s="423"/>
    </row>
    <row r="191" spans="10:21" s="730" customFormat="1">
      <c r="J191" s="111"/>
      <c r="K191" s="850"/>
      <c r="L191" s="846">
        <v>31</v>
      </c>
      <c r="M191" s="847">
        <v>10.852571488571428</v>
      </c>
      <c r="N191" s="847">
        <v>26.481285638571428</v>
      </c>
      <c r="O191" s="847">
        <v>10.121857098285714</v>
      </c>
      <c r="P191" s="432"/>
      <c r="Q191" s="423"/>
      <c r="R191" s="423"/>
      <c r="S191" s="423"/>
      <c r="T191" s="423"/>
      <c r="U191" s="423"/>
    </row>
    <row r="192" spans="10:21" s="730" customFormat="1">
      <c r="J192" s="111"/>
      <c r="K192" s="850">
        <v>32</v>
      </c>
      <c r="L192" s="846">
        <v>32</v>
      </c>
      <c r="M192" s="847">
        <v>10.338285718645329</v>
      </c>
      <c r="N192" s="847">
        <v>25.506571633475126</v>
      </c>
      <c r="O192" s="847">
        <v>7.7241428239004906</v>
      </c>
      <c r="P192" s="432"/>
      <c r="Q192" s="423"/>
      <c r="R192" s="423"/>
      <c r="S192" s="423"/>
      <c r="T192" s="423"/>
      <c r="U192" s="423"/>
    </row>
    <row r="193" spans="10:21" s="730" customFormat="1">
      <c r="J193" s="111"/>
      <c r="K193" s="850"/>
      <c r="L193" s="846">
        <v>33</v>
      </c>
      <c r="M193" s="847">
        <v>11.413999967142857</v>
      </c>
      <c r="N193" s="847">
        <v>31.441428594285707</v>
      </c>
      <c r="O193" s="847">
        <v>8.5772858349999996</v>
      </c>
      <c r="P193" s="432"/>
      <c r="Q193" s="423"/>
      <c r="R193" s="423"/>
      <c r="S193" s="423"/>
      <c r="T193" s="423"/>
      <c r="U193" s="423"/>
    </row>
    <row r="194" spans="10:21" s="730" customFormat="1">
      <c r="J194" s="111"/>
      <c r="K194" s="850"/>
      <c r="L194" s="846">
        <v>34</v>
      </c>
      <c r="M194" s="847">
        <v>11.662143027142859</v>
      </c>
      <c r="N194" s="847">
        <v>33.365713935714282</v>
      </c>
      <c r="O194" s="847">
        <v>6.7090001108571427</v>
      </c>
      <c r="P194" s="432"/>
      <c r="Q194" s="423"/>
      <c r="R194" s="423"/>
      <c r="S194" s="423"/>
      <c r="T194" s="423"/>
      <c r="U194" s="423"/>
    </row>
    <row r="195" spans="10:21">
      <c r="K195" s="850"/>
      <c r="L195" s="846">
        <v>35</v>
      </c>
      <c r="M195" s="847">
        <v>11.541428702218141</v>
      </c>
      <c r="N195" s="847">
        <v>29.068999699183816</v>
      </c>
      <c r="O195" s="847">
        <v>5.7295714105878517</v>
      </c>
    </row>
    <row r="196" spans="10:21">
      <c r="K196" s="850"/>
      <c r="L196" s="846">
        <v>36</v>
      </c>
      <c r="M196" s="847">
        <v>13.286857196262856</v>
      </c>
      <c r="N196" s="847">
        <v>26.005428859165701</v>
      </c>
      <c r="O196" s="847">
        <v>5.6865714618137853</v>
      </c>
    </row>
    <row r="197" spans="10:21">
      <c r="K197" s="850"/>
      <c r="L197" s="850">
        <v>37</v>
      </c>
      <c r="M197" s="847">
        <v>15.49071434565947</v>
      </c>
      <c r="N197" s="847">
        <v>25.021857125418485</v>
      </c>
      <c r="O197" s="847">
        <v>5.3568570954459016</v>
      </c>
    </row>
    <row r="198" spans="10:21">
      <c r="K198" s="850"/>
      <c r="L198" s="850">
        <v>38</v>
      </c>
      <c r="M198" s="847">
        <v>16.166143281119158</v>
      </c>
      <c r="N198" s="847">
        <v>27.854714257376486</v>
      </c>
      <c r="O198" s="847">
        <v>6.9268571308680906</v>
      </c>
    </row>
    <row r="199" spans="10:21">
      <c r="K199" s="850"/>
      <c r="L199" s="850">
        <v>39</v>
      </c>
      <c r="M199" s="432">
        <v>16.810999734285712</v>
      </c>
      <c r="N199" s="847">
        <v>27.986571175714282</v>
      </c>
      <c r="O199" s="432">
        <v>9.9768571861428565</v>
      </c>
    </row>
    <row r="200" spans="10:21">
      <c r="K200" s="850">
        <v>40</v>
      </c>
      <c r="L200" s="850">
        <v>40</v>
      </c>
      <c r="M200" s="847">
        <v>14.579285758571428</v>
      </c>
      <c r="N200" s="847">
        <v>25.258999961428572</v>
      </c>
      <c r="O200" s="847">
        <v>7.1328571184285705</v>
      </c>
    </row>
    <row r="201" spans="10:21">
      <c r="K201" s="850"/>
      <c r="L201" s="850">
        <v>41</v>
      </c>
      <c r="M201" s="847">
        <v>13.048857279999998</v>
      </c>
      <c r="N201" s="847">
        <v>25.185571671428566</v>
      </c>
      <c r="O201" s="847">
        <v>4.9102856772857146</v>
      </c>
    </row>
    <row r="202" spans="10:21">
      <c r="K202" s="850"/>
      <c r="L202" s="850">
        <v>42</v>
      </c>
      <c r="M202" s="847">
        <v>14.871000289916955</v>
      </c>
      <c r="N202" s="847">
        <v>33.125999450683558</v>
      </c>
      <c r="O202" s="847">
        <v>6.3367142677306969</v>
      </c>
    </row>
    <row r="203" spans="10:21">
      <c r="K203" s="850"/>
      <c r="L203" s="850">
        <v>43</v>
      </c>
      <c r="M203" s="432">
        <v>21.991714477142857</v>
      </c>
      <c r="N203" s="847">
        <v>41.127143314285711</v>
      </c>
      <c r="O203" s="432">
        <v>11.867142950714285</v>
      </c>
    </row>
    <row r="204" spans="10:21">
      <c r="K204" s="850">
        <v>44</v>
      </c>
      <c r="L204" s="850">
        <v>44</v>
      </c>
      <c r="M204" s="847">
        <v>13.904857091428573</v>
      </c>
      <c r="N204" s="847">
        <v>33.038428169999996</v>
      </c>
      <c r="O204" s="847">
        <v>5.2337141718571427</v>
      </c>
    </row>
    <row r="205" spans="10:21">
      <c r="K205" s="850"/>
      <c r="L205" s="850"/>
      <c r="M205" s="847"/>
      <c r="N205" s="847"/>
      <c r="O205" s="847"/>
    </row>
    <row r="206" spans="10:21">
      <c r="K206" s="850"/>
      <c r="L206" s="850"/>
      <c r="M206" s="847"/>
      <c r="N206" s="847"/>
      <c r="O206" s="847"/>
    </row>
    <row r="207" spans="10:21">
      <c r="K207" s="850"/>
      <c r="L207" s="850"/>
      <c r="M207" s="847" t="s">
        <v>263</v>
      </c>
      <c r="N207" s="847" t="s">
        <v>264</v>
      </c>
      <c r="O207" s="847" t="s">
        <v>265</v>
      </c>
    </row>
    <row r="208" spans="10:21">
      <c r="K208" s="850"/>
      <c r="L208" s="850"/>
      <c r="M208" s="847"/>
      <c r="N208" s="847"/>
      <c r="O208" s="847"/>
    </row>
    <row r="209" spans="11:15">
      <c r="K209" s="850"/>
      <c r="L209" s="850"/>
      <c r="M209" s="847"/>
      <c r="N209" s="847"/>
      <c r="O209" s="847"/>
    </row>
    <row r="210" spans="11:15">
      <c r="K210" s="850"/>
      <c r="L210" s="850"/>
      <c r="M210" s="847"/>
      <c r="N210" s="847"/>
      <c r="O210" s="847"/>
    </row>
    <row r="211" spans="11:15">
      <c r="K211" s="850"/>
      <c r="L211" s="850"/>
      <c r="M211" s="847"/>
      <c r="N211" s="847"/>
      <c r="O211" s="847"/>
    </row>
    <row r="212" spans="11:15">
      <c r="K212" s="850"/>
      <c r="L212" s="850"/>
      <c r="M212" s="847"/>
      <c r="N212" s="847"/>
      <c r="O212" s="847"/>
    </row>
    <row r="213" spans="11:15">
      <c r="K213" s="850"/>
      <c r="L213" s="850"/>
      <c r="M213" s="847"/>
      <c r="N213" s="847"/>
      <c r="O213" s="847"/>
    </row>
    <row r="214" spans="11:15">
      <c r="K214" s="850"/>
      <c r="L214" s="850"/>
      <c r="M214" s="847"/>
      <c r="N214" s="847"/>
      <c r="O214" s="847"/>
    </row>
    <row r="215" spans="11:15">
      <c r="K215" s="850"/>
      <c r="L215" s="850"/>
      <c r="M215" s="847"/>
      <c r="N215" s="847"/>
      <c r="O215" s="847"/>
    </row>
    <row r="216" spans="11:15">
      <c r="M216" s="847"/>
      <c r="N216" s="847"/>
      <c r="O216" s="847"/>
    </row>
    <row r="217" spans="11:15">
      <c r="M217" s="847"/>
      <c r="N217" s="847"/>
      <c r="O217" s="847"/>
    </row>
    <row r="218" spans="11:15">
      <c r="M218" s="847"/>
      <c r="N218" s="847"/>
      <c r="O218" s="847"/>
    </row>
    <row r="219" spans="11:15">
      <c r="M219" s="847"/>
      <c r="N219" s="847"/>
      <c r="O219" s="847"/>
    </row>
    <row r="220" spans="11:15">
      <c r="M220" s="847"/>
      <c r="N220" s="847"/>
      <c r="O220" s="847"/>
    </row>
    <row r="221" spans="11:15">
      <c r="M221" s="847"/>
      <c r="N221" s="847"/>
      <c r="O221" s="847"/>
    </row>
    <row r="222" spans="11:15">
      <c r="M222" s="847"/>
      <c r="N222" s="847"/>
      <c r="O222" s="847"/>
    </row>
    <row r="223" spans="11:15">
      <c r="M223" s="847"/>
      <c r="N223" s="847"/>
      <c r="O223" s="847"/>
    </row>
    <row r="224" spans="11:15">
      <c r="M224" s="847"/>
      <c r="N224" s="847"/>
      <c r="O224" s="847"/>
    </row>
    <row r="225" spans="13:15">
      <c r="M225" s="847"/>
      <c r="N225" s="847"/>
      <c r="O225" s="847"/>
    </row>
    <row r="226" spans="13:15">
      <c r="M226" s="847"/>
      <c r="N226" s="847"/>
      <c r="O226" s="847"/>
    </row>
    <row r="227" spans="13:15">
      <c r="M227" s="847"/>
      <c r="N227" s="847"/>
      <c r="O227" s="847"/>
    </row>
    <row r="228" spans="13:15">
      <c r="M228" s="847"/>
      <c r="N228" s="847"/>
      <c r="O228" s="847"/>
    </row>
    <row r="229" spans="13:15">
      <c r="M229" s="847"/>
      <c r="N229" s="847"/>
      <c r="O229" s="847"/>
    </row>
    <row r="231" spans="13:15">
      <c r="M231" s="432" t="s">
        <v>263</v>
      </c>
      <c r="N231" s="432" t="s">
        <v>264</v>
      </c>
      <c r="O231" s="432" t="s">
        <v>265</v>
      </c>
    </row>
  </sheetData>
  <mergeCells count="2">
    <mergeCell ref="A3:G3"/>
    <mergeCell ref="A35:G35"/>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Mensual-Octubre 2020
INFSGI-MES-10-2020
12/11/2020
Versión: 01</oddHeader>
    <oddFooter>&amp;L&amp;7COES, 2020&amp;C12&amp;R&amp;7Dirección Ejecutiva
Sub Dirección de Gestión de Información</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theme="4"/>
  </sheetPr>
  <dimension ref="A1:AF243"/>
  <sheetViews>
    <sheetView showGridLines="0" view="pageBreakPreview" zoomScale="130" zoomScaleNormal="100" zoomScaleSheetLayoutView="130" zoomScalePageLayoutView="130" workbookViewId="0">
      <selection activeCell="Q18" sqref="Q18"/>
    </sheetView>
  </sheetViews>
  <sheetFormatPr defaultColWidth="9.33203125" defaultRowHeight="11.25"/>
  <cols>
    <col min="10" max="11" width="9.33203125" customWidth="1"/>
    <col min="13" max="16" width="9.33203125" style="423"/>
    <col min="17" max="17" width="11.6640625" style="423" bestFit="1" customWidth="1"/>
    <col min="18" max="18" width="15.1640625" style="423" customWidth="1"/>
    <col min="19" max="19" width="14.33203125" style="423" customWidth="1"/>
    <col min="20" max="20" width="14.5" style="423" customWidth="1"/>
    <col min="21" max="21" width="9.5" style="423" bestFit="1" customWidth="1"/>
    <col min="22" max="22" width="14.6640625" style="423" customWidth="1"/>
    <col min="23" max="23" width="9.5" style="423" customWidth="1"/>
    <col min="24" max="24" width="9.6640625" style="423" bestFit="1" customWidth="1"/>
    <col min="25" max="25" width="9.5" style="423" bestFit="1" customWidth="1"/>
    <col min="26" max="26" width="9.33203125" style="413"/>
    <col min="27" max="30" width="9.33203125" style="298"/>
    <col min="31" max="32" width="9.33203125" style="286"/>
  </cols>
  <sheetData>
    <row r="1" spans="1:25" ht="11.25" customHeight="1"/>
    <row r="2" spans="1:25" ht="11.25" customHeight="1">
      <c r="A2" s="299"/>
      <c r="B2" s="300"/>
      <c r="C2" s="300"/>
      <c r="D2" s="300"/>
      <c r="E2" s="300"/>
      <c r="F2" s="300"/>
      <c r="G2" s="174"/>
      <c r="H2" s="174"/>
      <c r="I2" s="132"/>
    </row>
    <row r="3" spans="1:25" ht="11.25" customHeight="1">
      <c r="A3" s="132"/>
      <c r="B3" s="132"/>
      <c r="C3" s="132"/>
      <c r="D3" s="132"/>
      <c r="E3" s="132"/>
      <c r="F3" s="132"/>
      <c r="G3" s="138"/>
      <c r="H3" s="138"/>
      <c r="I3" s="138"/>
      <c r="J3" s="148"/>
      <c r="K3" s="148"/>
      <c r="L3" s="148"/>
      <c r="O3" s="423" t="s">
        <v>262</v>
      </c>
      <c r="P3" s="424"/>
      <c r="Q3" s="423" t="s">
        <v>266</v>
      </c>
      <c r="R3" s="423" t="s">
        <v>267</v>
      </c>
      <c r="S3" s="423" t="s">
        <v>268</v>
      </c>
      <c r="T3" s="423" t="s">
        <v>269</v>
      </c>
      <c r="U3" s="423" t="s">
        <v>270</v>
      </c>
      <c r="V3" s="423" t="s">
        <v>271</v>
      </c>
      <c r="W3" s="423" t="s">
        <v>272</v>
      </c>
      <c r="X3" s="423" t="s">
        <v>273</v>
      </c>
      <c r="Y3" s="423" t="s">
        <v>274</v>
      </c>
    </row>
    <row r="4" spans="1:25" ht="11.25" customHeight="1">
      <c r="A4" s="132"/>
      <c r="B4" s="132"/>
      <c r="C4" s="132"/>
      <c r="D4" s="132"/>
      <c r="E4" s="132"/>
      <c r="F4" s="132"/>
      <c r="G4" s="138"/>
      <c r="H4" s="138"/>
      <c r="I4" s="138"/>
      <c r="J4" s="148"/>
      <c r="K4" s="148"/>
      <c r="L4" s="148"/>
      <c r="N4" s="423">
        <v>2017</v>
      </c>
      <c r="O4" s="423">
        <v>1</v>
      </c>
      <c r="P4" s="424">
        <v>1</v>
      </c>
      <c r="Q4" s="425">
        <v>13.85</v>
      </c>
      <c r="R4" s="425">
        <v>11.3</v>
      </c>
      <c r="S4" s="425">
        <v>104.02</v>
      </c>
      <c r="T4" s="425">
        <v>148.43</v>
      </c>
      <c r="U4" s="425">
        <v>24.1</v>
      </c>
      <c r="V4" s="425">
        <v>10.220000000000001</v>
      </c>
      <c r="W4" s="425">
        <v>3.28</v>
      </c>
      <c r="X4" s="425">
        <v>89.46</v>
      </c>
      <c r="Y4" s="425">
        <v>25.43</v>
      </c>
    </row>
    <row r="5" spans="1:25" ht="11.25" customHeight="1">
      <c r="A5" s="176"/>
      <c r="B5" s="176"/>
      <c r="C5" s="176"/>
      <c r="D5" s="176"/>
      <c r="E5" s="176"/>
      <c r="F5" s="176"/>
      <c r="G5" s="176"/>
      <c r="H5" s="176"/>
      <c r="I5" s="176"/>
      <c r="J5" s="24"/>
      <c r="K5" s="24"/>
      <c r="L5" s="131"/>
      <c r="P5" s="424">
        <v>2</v>
      </c>
      <c r="Q5" s="425">
        <v>14.96</v>
      </c>
      <c r="R5" s="425">
        <v>15.4</v>
      </c>
      <c r="S5" s="425">
        <v>143.97</v>
      </c>
      <c r="T5" s="425">
        <v>175.88</v>
      </c>
      <c r="U5" s="425">
        <v>33.74</v>
      </c>
      <c r="V5" s="425">
        <v>10.17</v>
      </c>
      <c r="W5" s="425">
        <v>6.45</v>
      </c>
      <c r="X5" s="425">
        <v>178.14</v>
      </c>
      <c r="Y5" s="425">
        <v>55.67</v>
      </c>
    </row>
    <row r="6" spans="1:25" ht="11.25" customHeight="1">
      <c r="A6" s="132"/>
      <c r="B6" s="301"/>
      <c r="C6" s="302"/>
      <c r="D6" s="303"/>
      <c r="E6" s="303"/>
      <c r="F6" s="177"/>
      <c r="G6" s="178"/>
      <c r="H6" s="178"/>
      <c r="I6" s="179"/>
      <c r="J6" s="24"/>
      <c r="K6" s="24"/>
      <c r="L6" s="19"/>
      <c r="P6" s="424">
        <v>3</v>
      </c>
      <c r="Q6" s="425">
        <v>28.98</v>
      </c>
      <c r="R6" s="425">
        <v>21.94</v>
      </c>
      <c r="S6" s="425">
        <v>355.12</v>
      </c>
      <c r="T6" s="425">
        <v>177.57</v>
      </c>
      <c r="U6" s="425">
        <v>35.49</v>
      </c>
      <c r="V6" s="425">
        <v>10</v>
      </c>
      <c r="W6" s="425">
        <v>9.0500000000000007</v>
      </c>
      <c r="X6" s="425">
        <v>174.94</v>
      </c>
      <c r="Y6" s="425">
        <v>58.31</v>
      </c>
    </row>
    <row r="7" spans="1:25" ht="11.25" customHeight="1">
      <c r="A7" s="132"/>
      <c r="B7" s="180"/>
      <c r="C7" s="180"/>
      <c r="D7" s="181"/>
      <c r="E7" s="181"/>
      <c r="F7" s="177"/>
      <c r="G7" s="178"/>
      <c r="H7" s="178"/>
      <c r="I7" s="179"/>
      <c r="J7" s="25"/>
      <c r="K7" s="25"/>
      <c r="L7" s="22"/>
      <c r="P7" s="424">
        <v>4</v>
      </c>
      <c r="Q7" s="425">
        <v>30.46</v>
      </c>
      <c r="R7" s="425">
        <v>23.91</v>
      </c>
      <c r="S7" s="425">
        <v>519.4</v>
      </c>
      <c r="T7" s="425">
        <v>205.76</v>
      </c>
      <c r="U7" s="425">
        <v>48.48</v>
      </c>
      <c r="V7" s="425">
        <v>10</v>
      </c>
      <c r="W7" s="425">
        <v>2.4300000000000002</v>
      </c>
      <c r="X7" s="425">
        <v>141.31</v>
      </c>
      <c r="Y7" s="425">
        <v>47.49</v>
      </c>
    </row>
    <row r="8" spans="1:25" ht="11.25" customHeight="1">
      <c r="A8" s="132"/>
      <c r="B8" s="182"/>
      <c r="C8" s="132"/>
      <c r="D8" s="156"/>
      <c r="E8" s="156"/>
      <c r="F8" s="177"/>
      <c r="G8" s="178"/>
      <c r="H8" s="178"/>
      <c r="I8" s="179"/>
      <c r="J8" s="23"/>
      <c r="K8" s="23"/>
      <c r="L8" s="24"/>
      <c r="P8" s="424">
        <v>5</v>
      </c>
      <c r="Q8" s="425">
        <v>21.36</v>
      </c>
      <c r="R8" s="425">
        <v>18.07</v>
      </c>
      <c r="S8" s="425">
        <v>330.78</v>
      </c>
      <c r="T8" s="425">
        <v>123.41</v>
      </c>
      <c r="U8" s="425">
        <v>25.33</v>
      </c>
      <c r="V8" s="425">
        <v>11.41</v>
      </c>
      <c r="W8" s="425">
        <v>2.87</v>
      </c>
      <c r="X8" s="425">
        <v>123.59</v>
      </c>
      <c r="Y8" s="425">
        <v>45.46</v>
      </c>
    </row>
    <row r="9" spans="1:25" ht="11.25" customHeight="1">
      <c r="A9" s="132"/>
      <c r="B9" s="182"/>
      <c r="C9" s="132"/>
      <c r="D9" s="156"/>
      <c r="E9" s="156"/>
      <c r="F9" s="177"/>
      <c r="G9" s="178"/>
      <c r="H9" s="178"/>
      <c r="I9" s="179"/>
      <c r="J9" s="25"/>
      <c r="K9" s="26"/>
      <c r="L9" s="22"/>
      <c r="P9" s="424">
        <v>6</v>
      </c>
      <c r="Q9" s="425">
        <v>25.42</v>
      </c>
      <c r="R9" s="425">
        <v>21.42</v>
      </c>
      <c r="S9" s="425">
        <v>200.58</v>
      </c>
      <c r="T9" s="425">
        <v>108.48</v>
      </c>
      <c r="U9" s="425">
        <v>22.99</v>
      </c>
      <c r="V9" s="425">
        <v>10.57</v>
      </c>
      <c r="W9" s="425">
        <v>3.01</v>
      </c>
      <c r="X9" s="425">
        <v>85.48</v>
      </c>
      <c r="Y9" s="425">
        <v>28.56</v>
      </c>
    </row>
    <row r="10" spans="1:25" ht="11.25" customHeight="1">
      <c r="A10" s="132"/>
      <c r="B10" s="182"/>
      <c r="C10" s="132"/>
      <c r="D10" s="156"/>
      <c r="E10" s="156"/>
      <c r="F10" s="177"/>
      <c r="G10" s="178"/>
      <c r="H10" s="178"/>
      <c r="I10" s="179"/>
      <c r="J10" s="25"/>
      <c r="K10" s="25"/>
      <c r="L10" s="22"/>
      <c r="P10" s="424">
        <v>7</v>
      </c>
      <c r="Q10" s="425">
        <v>35.43</v>
      </c>
      <c r="R10" s="425">
        <v>25.12</v>
      </c>
      <c r="S10" s="425">
        <v>393.69</v>
      </c>
      <c r="T10" s="425">
        <v>144.62</v>
      </c>
      <c r="U10" s="425">
        <v>39.44</v>
      </c>
      <c r="V10" s="425">
        <v>10</v>
      </c>
      <c r="W10" s="425">
        <v>2.88</v>
      </c>
      <c r="X10" s="425">
        <v>100.57</v>
      </c>
      <c r="Y10" s="425">
        <v>25.04</v>
      </c>
    </row>
    <row r="11" spans="1:25" ht="11.25" customHeight="1">
      <c r="A11" s="132"/>
      <c r="B11" s="156"/>
      <c r="C11" s="132"/>
      <c r="D11" s="156"/>
      <c r="E11" s="156"/>
      <c r="F11" s="177"/>
      <c r="G11" s="178"/>
      <c r="H11" s="178"/>
      <c r="I11" s="179"/>
      <c r="J11" s="25"/>
      <c r="K11" s="25"/>
      <c r="L11" s="22"/>
      <c r="O11" s="423">
        <v>8</v>
      </c>
      <c r="P11" s="424">
        <v>8</v>
      </c>
      <c r="Q11" s="425">
        <v>30.45</v>
      </c>
      <c r="R11" s="425">
        <v>23.33</v>
      </c>
      <c r="S11" s="425">
        <v>345.37</v>
      </c>
      <c r="T11" s="425">
        <v>140.63</v>
      </c>
      <c r="U11" s="425">
        <v>30.47</v>
      </c>
      <c r="V11" s="425">
        <v>9.58</v>
      </c>
      <c r="W11" s="425">
        <v>2.0699999999999998</v>
      </c>
      <c r="X11" s="425">
        <v>163.72999999999999</v>
      </c>
      <c r="Y11" s="425">
        <v>58.84</v>
      </c>
    </row>
    <row r="12" spans="1:25" ht="11.25" customHeight="1">
      <c r="A12" s="132"/>
      <c r="B12" s="156"/>
      <c r="C12" s="132"/>
      <c r="D12" s="156"/>
      <c r="E12" s="156"/>
      <c r="F12" s="177"/>
      <c r="G12" s="178"/>
      <c r="H12" s="178"/>
      <c r="I12" s="179"/>
      <c r="J12" s="25"/>
      <c r="K12" s="25"/>
      <c r="L12" s="22"/>
      <c r="P12" s="424">
        <v>9</v>
      </c>
      <c r="Q12" s="425">
        <v>37.72</v>
      </c>
      <c r="R12" s="425">
        <v>24.83</v>
      </c>
      <c r="S12" s="425">
        <v>567.22</v>
      </c>
      <c r="T12" s="425">
        <v>245.85</v>
      </c>
      <c r="U12" s="425">
        <v>67.56</v>
      </c>
      <c r="V12" s="425">
        <v>9.01</v>
      </c>
      <c r="W12" s="425">
        <v>7.33</v>
      </c>
      <c r="X12" s="425">
        <v>285.31</v>
      </c>
      <c r="Y12" s="425">
        <v>102.26</v>
      </c>
    </row>
    <row r="13" spans="1:25" ht="11.25" customHeight="1">
      <c r="A13" s="132"/>
      <c r="B13" s="156"/>
      <c r="C13" s="132"/>
      <c r="D13" s="156"/>
      <c r="E13" s="156"/>
      <c r="F13" s="177"/>
      <c r="G13" s="178"/>
      <c r="H13" s="178"/>
      <c r="I13" s="179"/>
      <c r="J13" s="23"/>
      <c r="K13" s="23"/>
      <c r="L13" s="24"/>
      <c r="P13" s="424">
        <v>10</v>
      </c>
      <c r="Q13" s="425">
        <v>36.46</v>
      </c>
      <c r="R13" s="425">
        <v>24.95</v>
      </c>
      <c r="S13" s="425">
        <v>467.04</v>
      </c>
      <c r="T13" s="425">
        <v>188.01</v>
      </c>
      <c r="U13" s="425">
        <v>50.5</v>
      </c>
      <c r="V13" s="425">
        <v>10.06</v>
      </c>
      <c r="W13" s="425">
        <v>3.71</v>
      </c>
      <c r="X13" s="425">
        <v>374.33</v>
      </c>
      <c r="Y13" s="425">
        <v>83.74</v>
      </c>
    </row>
    <row r="14" spans="1:25" ht="11.25" customHeight="1">
      <c r="A14" s="132"/>
      <c r="B14" s="156"/>
      <c r="C14" s="132"/>
      <c r="D14" s="156"/>
      <c r="E14" s="156"/>
      <c r="F14" s="177"/>
      <c r="G14" s="178"/>
      <c r="H14" s="178"/>
      <c r="I14" s="179"/>
      <c r="J14" s="25"/>
      <c r="K14" s="26"/>
      <c r="L14" s="22"/>
      <c r="P14" s="424">
        <v>11</v>
      </c>
      <c r="Q14" s="425">
        <v>35.590000000000003</v>
      </c>
      <c r="R14" s="425">
        <v>26.89</v>
      </c>
      <c r="S14" s="425">
        <v>448.3</v>
      </c>
      <c r="T14" s="425">
        <v>169.95</v>
      </c>
      <c r="U14" s="425">
        <v>51.21</v>
      </c>
      <c r="V14" s="425">
        <v>26.15</v>
      </c>
      <c r="W14" s="425">
        <v>8.66</v>
      </c>
      <c r="X14" s="425">
        <v>219.86</v>
      </c>
      <c r="Y14" s="425">
        <v>62.42</v>
      </c>
    </row>
    <row r="15" spans="1:25" ht="11.25" customHeight="1">
      <c r="A15" s="132"/>
      <c r="B15" s="156"/>
      <c r="C15" s="132"/>
      <c r="D15" s="156"/>
      <c r="E15" s="156"/>
      <c r="F15" s="177"/>
      <c r="G15" s="178"/>
      <c r="H15" s="178"/>
      <c r="I15" s="179"/>
      <c r="J15" s="25"/>
      <c r="K15" s="26"/>
      <c r="L15" s="22"/>
      <c r="P15" s="424">
        <v>12</v>
      </c>
      <c r="Q15" s="425">
        <v>37.82</v>
      </c>
      <c r="R15" s="425">
        <v>20.6</v>
      </c>
      <c r="S15" s="425">
        <v>350.87</v>
      </c>
      <c r="T15" s="425">
        <v>146.01</v>
      </c>
      <c r="U15" s="425">
        <v>38.08</v>
      </c>
      <c r="V15" s="425">
        <v>12.43</v>
      </c>
      <c r="W15" s="425">
        <v>5.63</v>
      </c>
      <c r="X15" s="425">
        <v>190.11</v>
      </c>
      <c r="Y15" s="425">
        <v>52.01</v>
      </c>
    </row>
    <row r="16" spans="1:25" ht="11.25" customHeight="1">
      <c r="A16" s="132"/>
      <c r="B16" s="156"/>
      <c r="C16" s="132"/>
      <c r="D16" s="156"/>
      <c r="E16" s="156"/>
      <c r="F16" s="177"/>
      <c r="G16" s="178"/>
      <c r="H16" s="178"/>
      <c r="I16" s="179"/>
      <c r="J16" s="25"/>
      <c r="K16" s="26"/>
      <c r="L16" s="22"/>
      <c r="P16" s="424">
        <v>13</v>
      </c>
      <c r="Q16" s="425">
        <v>35.93</v>
      </c>
      <c r="R16" s="425">
        <v>24.02</v>
      </c>
      <c r="S16" s="425">
        <v>380.48</v>
      </c>
      <c r="T16" s="425">
        <v>173.02</v>
      </c>
      <c r="U16" s="425">
        <v>38.869999999999997</v>
      </c>
      <c r="V16" s="425">
        <v>11.98</v>
      </c>
      <c r="W16" s="425">
        <v>5.83</v>
      </c>
      <c r="X16" s="425">
        <v>272.08999999999997</v>
      </c>
      <c r="Y16" s="425">
        <v>65.430000000000007</v>
      </c>
    </row>
    <row r="17" spans="1:25" ht="11.25" customHeight="1">
      <c r="A17" s="132"/>
      <c r="B17" s="156"/>
      <c r="C17" s="132"/>
      <c r="D17" s="156"/>
      <c r="E17" s="156"/>
      <c r="F17" s="177"/>
      <c r="G17" s="178"/>
      <c r="H17" s="178"/>
      <c r="I17" s="179"/>
      <c r="J17" s="25"/>
      <c r="K17" s="26"/>
      <c r="L17" s="22"/>
      <c r="P17" s="424">
        <v>14</v>
      </c>
      <c r="Q17" s="425">
        <v>42.9</v>
      </c>
      <c r="R17" s="425">
        <v>17.87</v>
      </c>
      <c r="S17" s="425">
        <v>427.28</v>
      </c>
      <c r="T17" s="425">
        <v>137.65</v>
      </c>
      <c r="U17" s="425">
        <v>35.950000000000003</v>
      </c>
      <c r="V17" s="425">
        <v>28.72</v>
      </c>
      <c r="W17" s="425">
        <v>4.95</v>
      </c>
      <c r="X17" s="425">
        <v>301.82</v>
      </c>
      <c r="Y17" s="425">
        <v>71.06</v>
      </c>
    </row>
    <row r="18" spans="1:25" ht="11.25" customHeight="1">
      <c r="A18" s="962" t="s">
        <v>469</v>
      </c>
      <c r="B18" s="962"/>
      <c r="C18" s="962"/>
      <c r="D18" s="962"/>
      <c r="E18" s="962"/>
      <c r="F18" s="962"/>
      <c r="G18" s="962"/>
      <c r="H18" s="962"/>
      <c r="I18" s="962"/>
      <c r="J18" s="962"/>
      <c r="K18" s="962"/>
      <c r="L18" s="962"/>
      <c r="P18" s="424">
        <v>15</v>
      </c>
      <c r="Q18" s="425">
        <v>31.19</v>
      </c>
      <c r="R18" s="425">
        <v>17.87</v>
      </c>
      <c r="S18" s="425">
        <v>334.14</v>
      </c>
      <c r="T18" s="425">
        <v>129.9</v>
      </c>
      <c r="U18" s="425">
        <v>29.93</v>
      </c>
      <c r="V18" s="425">
        <v>16.28</v>
      </c>
      <c r="W18" s="425">
        <v>1.82</v>
      </c>
      <c r="X18" s="425">
        <v>203.49</v>
      </c>
      <c r="Y18" s="425">
        <v>77.099999999999994</v>
      </c>
    </row>
    <row r="19" spans="1:25" ht="11.25" customHeight="1">
      <c r="A19" s="25"/>
      <c r="B19" s="156"/>
      <c r="C19" s="132"/>
      <c r="D19" s="156"/>
      <c r="E19" s="156"/>
      <c r="F19" s="177"/>
      <c r="G19" s="178"/>
      <c r="H19" s="178"/>
      <c r="I19" s="179"/>
      <c r="J19" s="25"/>
      <c r="K19" s="26"/>
      <c r="L19" s="22"/>
      <c r="O19" s="423">
        <v>16</v>
      </c>
      <c r="P19" s="424">
        <v>16</v>
      </c>
      <c r="Q19" s="425">
        <v>22.8</v>
      </c>
      <c r="R19" s="425">
        <v>11.46</v>
      </c>
      <c r="S19" s="425">
        <v>218.96</v>
      </c>
      <c r="T19" s="425">
        <v>100.66</v>
      </c>
      <c r="U19" s="425">
        <v>21.85</v>
      </c>
      <c r="V19" s="425">
        <v>15.43</v>
      </c>
      <c r="W19" s="425">
        <v>2.33</v>
      </c>
      <c r="X19" s="425">
        <v>155.33000000000001</v>
      </c>
      <c r="Y19" s="425">
        <v>48.77</v>
      </c>
    </row>
    <row r="20" spans="1:25" ht="11.25" customHeight="1">
      <c r="A20" s="132"/>
      <c r="B20" s="156"/>
      <c r="C20" s="132"/>
      <c r="D20" s="156"/>
      <c r="E20" s="156"/>
      <c r="F20" s="177"/>
      <c r="G20" s="178"/>
      <c r="H20" s="178"/>
      <c r="I20" s="179"/>
      <c r="J20" s="25"/>
      <c r="K20" s="26"/>
      <c r="L20" s="22"/>
      <c r="P20" s="424">
        <v>17</v>
      </c>
      <c r="Q20" s="425">
        <v>20.18</v>
      </c>
      <c r="R20" s="425">
        <v>11.46</v>
      </c>
      <c r="S20" s="425">
        <v>180.47</v>
      </c>
      <c r="T20" s="425">
        <v>91.24</v>
      </c>
      <c r="U20" s="425">
        <v>18.89</v>
      </c>
      <c r="V20" s="425">
        <v>12.29</v>
      </c>
      <c r="W20" s="425">
        <v>1.9</v>
      </c>
      <c r="X20" s="425">
        <v>111.37</v>
      </c>
      <c r="Y20" s="425">
        <v>34.409999999999997</v>
      </c>
    </row>
    <row r="21" spans="1:25" ht="11.25" customHeight="1">
      <c r="A21" s="132"/>
      <c r="B21" s="156"/>
      <c r="C21" s="132"/>
      <c r="D21" s="156"/>
      <c r="E21" s="156"/>
      <c r="F21" s="177"/>
      <c r="G21" s="178"/>
      <c r="H21" s="178"/>
      <c r="I21" s="179"/>
      <c r="J21" s="25"/>
      <c r="K21" s="29"/>
      <c r="L21" s="30"/>
      <c r="P21" s="424">
        <v>18</v>
      </c>
      <c r="Q21" s="425">
        <v>19.84</v>
      </c>
      <c r="R21" s="425">
        <v>10.36</v>
      </c>
      <c r="S21" s="425">
        <v>212.89</v>
      </c>
      <c r="T21" s="425">
        <v>98.95</v>
      </c>
      <c r="U21" s="425">
        <v>19.899999999999999</v>
      </c>
      <c r="V21" s="425">
        <v>11.64</v>
      </c>
      <c r="W21" s="425">
        <v>1.46</v>
      </c>
      <c r="X21" s="425">
        <v>117.05</v>
      </c>
      <c r="Y21" s="425">
        <v>28.8</v>
      </c>
    </row>
    <row r="22" spans="1:25" ht="11.25" customHeight="1">
      <c r="A22" s="137"/>
      <c r="B22" s="156"/>
      <c r="C22" s="132"/>
      <c r="D22" s="156"/>
      <c r="E22" s="156"/>
      <c r="F22" s="177"/>
      <c r="G22" s="178"/>
      <c r="H22" s="178"/>
      <c r="I22" s="179"/>
      <c r="J22" s="25"/>
      <c r="K22" s="26"/>
      <c r="L22" s="22"/>
      <c r="P22" s="424">
        <v>19</v>
      </c>
      <c r="Q22" s="425">
        <v>21.4</v>
      </c>
      <c r="R22" s="425">
        <v>9.25</v>
      </c>
      <c r="S22" s="425">
        <v>199.54</v>
      </c>
      <c r="T22" s="425">
        <v>89.02</v>
      </c>
      <c r="U22" s="425">
        <v>15.9</v>
      </c>
      <c r="V22" s="425">
        <v>11</v>
      </c>
      <c r="W22" s="425">
        <v>1.36</v>
      </c>
      <c r="X22" s="425">
        <v>79.2</v>
      </c>
      <c r="Y22" s="425">
        <v>22.78</v>
      </c>
    </row>
    <row r="23" spans="1:25" ht="11.25" customHeight="1">
      <c r="A23" s="137"/>
      <c r="B23" s="156"/>
      <c r="C23" s="132"/>
      <c r="D23" s="156"/>
      <c r="E23" s="156"/>
      <c r="F23" s="177"/>
      <c r="G23" s="178"/>
      <c r="H23" s="178"/>
      <c r="I23" s="179"/>
      <c r="J23" s="25"/>
      <c r="K23" s="26"/>
      <c r="L23" s="22"/>
      <c r="P23" s="424">
        <v>20</v>
      </c>
      <c r="Q23" s="425">
        <v>17.23</v>
      </c>
      <c r="R23" s="425">
        <v>6.32</v>
      </c>
      <c r="S23" s="425">
        <v>136.84</v>
      </c>
      <c r="T23" s="425">
        <v>72.95</v>
      </c>
      <c r="U23" s="425">
        <v>15.03</v>
      </c>
      <c r="V23" s="425">
        <v>11</v>
      </c>
      <c r="W23" s="425">
        <v>1.98</v>
      </c>
      <c r="X23" s="425">
        <v>69.37</v>
      </c>
      <c r="Y23" s="425">
        <v>17.8</v>
      </c>
    </row>
    <row r="24" spans="1:25" ht="11.25" customHeight="1">
      <c r="A24" s="137"/>
      <c r="B24" s="156"/>
      <c r="C24" s="132"/>
      <c r="D24" s="156"/>
      <c r="E24" s="156"/>
      <c r="F24" s="177"/>
      <c r="G24" s="178"/>
      <c r="H24" s="178"/>
      <c r="I24" s="179"/>
      <c r="J24" s="26"/>
      <c r="K24" s="26"/>
      <c r="L24" s="22"/>
      <c r="P24" s="424">
        <v>21</v>
      </c>
      <c r="Q24" s="425">
        <v>16.09</v>
      </c>
      <c r="R24" s="425">
        <v>6.32</v>
      </c>
      <c r="S24" s="425">
        <v>116.86</v>
      </c>
      <c r="T24" s="425">
        <v>99.42</v>
      </c>
      <c r="U24" s="425">
        <v>20.059999999999999</v>
      </c>
      <c r="V24" s="425">
        <v>11.01</v>
      </c>
      <c r="W24" s="425">
        <v>1.6</v>
      </c>
      <c r="X24" s="425">
        <v>68.8</v>
      </c>
      <c r="Y24" s="425">
        <v>17.84</v>
      </c>
    </row>
    <row r="25" spans="1:25" ht="11.25" customHeight="1">
      <c r="A25" s="137"/>
      <c r="B25" s="156"/>
      <c r="C25" s="132"/>
      <c r="D25" s="156"/>
      <c r="E25" s="156"/>
      <c r="F25" s="177"/>
      <c r="G25" s="178"/>
      <c r="H25" s="178"/>
      <c r="I25" s="179"/>
      <c r="J25" s="25"/>
      <c r="K25" s="29"/>
      <c r="L25" s="30"/>
      <c r="P25" s="424">
        <v>22</v>
      </c>
      <c r="Q25" s="425">
        <v>15.1</v>
      </c>
      <c r="R25" s="425">
        <v>5.59</v>
      </c>
      <c r="S25" s="425">
        <v>118.58</v>
      </c>
      <c r="T25" s="425">
        <v>79.099999999999994</v>
      </c>
      <c r="U25" s="425">
        <v>16</v>
      </c>
      <c r="V25" s="425">
        <v>11</v>
      </c>
      <c r="W25" s="425">
        <v>1.01</v>
      </c>
      <c r="X25" s="425">
        <v>69.05</v>
      </c>
      <c r="Y25" s="425">
        <v>16.37</v>
      </c>
    </row>
    <row r="26" spans="1:25" ht="11.25" customHeight="1">
      <c r="A26" s="137"/>
      <c r="B26" s="156"/>
      <c r="C26" s="132"/>
      <c r="D26" s="156"/>
      <c r="E26" s="156"/>
      <c r="F26" s="138"/>
      <c r="G26" s="138"/>
      <c r="H26" s="138"/>
      <c r="I26" s="138"/>
      <c r="J26" s="23"/>
      <c r="K26" s="26"/>
      <c r="L26" s="22"/>
      <c r="P26" s="424">
        <v>23</v>
      </c>
      <c r="Q26" s="425">
        <v>14.28</v>
      </c>
      <c r="R26" s="425">
        <v>4.8499999999999996</v>
      </c>
      <c r="S26" s="425">
        <v>112.05</v>
      </c>
      <c r="T26" s="425">
        <v>63.27</v>
      </c>
      <c r="U26" s="425">
        <v>13.78</v>
      </c>
      <c r="V26" s="425">
        <v>11</v>
      </c>
      <c r="W26" s="425">
        <v>1.82</v>
      </c>
      <c r="X26" s="425">
        <v>54.09</v>
      </c>
      <c r="Y26" s="425">
        <v>13.15</v>
      </c>
    </row>
    <row r="27" spans="1:25" ht="11.25" customHeight="1">
      <c r="A27" s="137"/>
      <c r="B27" s="156"/>
      <c r="C27" s="132"/>
      <c r="D27" s="156"/>
      <c r="E27" s="156"/>
      <c r="F27" s="138"/>
      <c r="G27" s="138"/>
      <c r="H27" s="138"/>
      <c r="I27" s="138"/>
      <c r="J27" s="23"/>
      <c r="K27" s="26"/>
      <c r="L27" s="22"/>
      <c r="O27" s="423">
        <v>24</v>
      </c>
      <c r="P27" s="424">
        <v>24</v>
      </c>
      <c r="Q27" s="425">
        <v>13.3</v>
      </c>
      <c r="R27" s="425">
        <v>4.8499999999999996</v>
      </c>
      <c r="S27" s="425">
        <v>91.62</v>
      </c>
      <c r="T27" s="425">
        <v>49.79</v>
      </c>
      <c r="U27" s="425">
        <v>11.29</v>
      </c>
      <c r="V27" s="425">
        <v>11</v>
      </c>
      <c r="W27" s="425">
        <v>1.89</v>
      </c>
      <c r="X27" s="425">
        <v>45.31</v>
      </c>
      <c r="Y27" s="425">
        <v>10.85</v>
      </c>
    </row>
    <row r="28" spans="1:25" ht="11.25" customHeight="1">
      <c r="A28" s="136"/>
      <c r="B28" s="138"/>
      <c r="C28" s="138"/>
      <c r="D28" s="138"/>
      <c r="E28" s="138"/>
      <c r="F28" s="138"/>
      <c r="G28" s="138"/>
      <c r="H28" s="138"/>
      <c r="I28" s="138"/>
      <c r="J28" s="25"/>
      <c r="K28" s="26"/>
      <c r="L28" s="22"/>
      <c r="P28" s="424">
        <v>25</v>
      </c>
      <c r="Q28" s="425">
        <v>12.63</v>
      </c>
      <c r="R28" s="425">
        <v>3.77</v>
      </c>
      <c r="S28" s="425">
        <v>81.33</v>
      </c>
      <c r="T28" s="425">
        <v>46.74</v>
      </c>
      <c r="U28" s="425">
        <v>10.02</v>
      </c>
      <c r="V28" s="425">
        <v>11</v>
      </c>
      <c r="W28" s="425">
        <v>1.77</v>
      </c>
      <c r="X28" s="425">
        <v>40.42</v>
      </c>
      <c r="Y28" s="425">
        <v>8.98</v>
      </c>
    </row>
    <row r="29" spans="1:25" ht="11.25" customHeight="1">
      <c r="A29" s="136"/>
      <c r="B29" s="138"/>
      <c r="C29" s="138"/>
      <c r="D29" s="138"/>
      <c r="E29" s="138"/>
      <c r="F29" s="138"/>
      <c r="G29" s="138"/>
      <c r="H29" s="138"/>
      <c r="I29" s="138"/>
      <c r="J29" s="25"/>
      <c r="K29" s="26"/>
      <c r="L29" s="22"/>
      <c r="P29" s="424">
        <v>26</v>
      </c>
      <c r="Q29" s="425">
        <v>11.92</v>
      </c>
      <c r="R29" s="425">
        <v>3.77</v>
      </c>
      <c r="S29" s="425">
        <v>80.900000000000006</v>
      </c>
      <c r="T29" s="425">
        <v>41.45</v>
      </c>
      <c r="U29" s="425">
        <v>9.24</v>
      </c>
      <c r="V29" s="425">
        <v>12</v>
      </c>
      <c r="W29" s="425">
        <v>1.86</v>
      </c>
      <c r="X29" s="425">
        <v>37.89</v>
      </c>
      <c r="Y29" s="425">
        <v>9.41</v>
      </c>
    </row>
    <row r="30" spans="1:25" ht="11.25" customHeight="1">
      <c r="A30" s="136"/>
      <c r="B30" s="138"/>
      <c r="C30" s="138"/>
      <c r="D30" s="138"/>
      <c r="E30" s="138"/>
      <c r="F30" s="138"/>
      <c r="G30" s="138"/>
      <c r="H30" s="138"/>
      <c r="I30" s="138"/>
      <c r="J30" s="25"/>
      <c r="K30" s="26"/>
      <c r="L30" s="22"/>
      <c r="P30" s="424">
        <v>27</v>
      </c>
      <c r="Q30" s="425">
        <v>11.92</v>
      </c>
      <c r="R30" s="425">
        <v>3.91</v>
      </c>
      <c r="S30" s="425">
        <v>82.99</v>
      </c>
      <c r="T30" s="425">
        <v>60.31</v>
      </c>
      <c r="U30" s="425">
        <v>9.73</v>
      </c>
      <c r="V30" s="425">
        <v>12</v>
      </c>
      <c r="W30" s="425">
        <v>1.9</v>
      </c>
      <c r="X30" s="425">
        <v>38.229999999999997</v>
      </c>
      <c r="Y30" s="425">
        <v>8.58</v>
      </c>
    </row>
    <row r="31" spans="1:25" ht="11.25" customHeight="1">
      <c r="A31" s="136"/>
      <c r="B31" s="138"/>
      <c r="C31" s="138"/>
      <c r="D31" s="138"/>
      <c r="E31" s="138"/>
      <c r="F31" s="138"/>
      <c r="G31" s="138"/>
      <c r="H31" s="138"/>
      <c r="I31" s="138"/>
      <c r="J31" s="25"/>
      <c r="K31" s="26"/>
      <c r="L31" s="22"/>
      <c r="P31" s="424">
        <v>28</v>
      </c>
      <c r="Q31" s="425">
        <v>11.04</v>
      </c>
      <c r="R31" s="425">
        <v>3.91</v>
      </c>
      <c r="S31" s="425">
        <v>71.739999999999995</v>
      </c>
      <c r="T31" s="425">
        <v>39.090000000000003</v>
      </c>
      <c r="U31" s="425">
        <v>8.42</v>
      </c>
      <c r="V31" s="425">
        <v>12</v>
      </c>
      <c r="W31" s="425">
        <v>1.65</v>
      </c>
      <c r="X31" s="425">
        <v>33.9</v>
      </c>
      <c r="Y31" s="425">
        <v>6.64</v>
      </c>
    </row>
    <row r="32" spans="1:25" ht="11.25" customHeight="1">
      <c r="A32" s="136"/>
      <c r="B32" s="138"/>
      <c r="C32" s="138"/>
      <c r="D32" s="138"/>
      <c r="E32" s="138"/>
      <c r="F32" s="138"/>
      <c r="G32" s="138"/>
      <c r="H32" s="138"/>
      <c r="I32" s="138"/>
      <c r="J32" s="26"/>
      <c r="K32" s="26"/>
      <c r="L32" s="22"/>
      <c r="P32" s="424">
        <v>29</v>
      </c>
      <c r="Q32" s="425">
        <v>10.27</v>
      </c>
      <c r="R32" s="425">
        <v>3.42</v>
      </c>
      <c r="S32" s="425">
        <v>67.8</v>
      </c>
      <c r="T32" s="425">
        <v>32.590000000000003</v>
      </c>
      <c r="U32" s="425">
        <v>7.7</v>
      </c>
      <c r="V32" s="425">
        <v>10.51</v>
      </c>
      <c r="W32" s="425">
        <v>1.79</v>
      </c>
      <c r="X32" s="425">
        <v>31.97</v>
      </c>
      <c r="Y32" s="425">
        <v>6.49</v>
      </c>
    </row>
    <row r="33" spans="1:25" ht="11.25" customHeight="1">
      <c r="A33" s="136"/>
      <c r="B33" s="138"/>
      <c r="C33" s="138"/>
      <c r="D33" s="138"/>
      <c r="E33" s="138"/>
      <c r="F33" s="138"/>
      <c r="G33" s="138"/>
      <c r="H33" s="138"/>
      <c r="I33" s="138"/>
      <c r="J33" s="25"/>
      <c r="K33" s="26"/>
      <c r="L33" s="22"/>
      <c r="P33" s="424">
        <v>30</v>
      </c>
      <c r="Q33" s="425">
        <v>9.4700000000000006</v>
      </c>
      <c r="R33" s="425">
        <v>3.42</v>
      </c>
      <c r="S33" s="425">
        <v>69.62</v>
      </c>
      <c r="T33" s="425">
        <v>28.39</v>
      </c>
      <c r="U33" s="425">
        <v>7.39</v>
      </c>
      <c r="V33" s="425">
        <v>12</v>
      </c>
      <c r="W33" s="425">
        <v>1.64</v>
      </c>
      <c r="X33" s="425">
        <v>31.76</v>
      </c>
      <c r="Y33" s="425">
        <v>6.15</v>
      </c>
    </row>
    <row r="34" spans="1:25" ht="11.25" customHeight="1">
      <c r="A34" s="136"/>
      <c r="B34" s="138"/>
      <c r="C34" s="138"/>
      <c r="D34" s="138"/>
      <c r="E34" s="138"/>
      <c r="F34" s="138"/>
      <c r="G34" s="138"/>
      <c r="H34" s="138"/>
      <c r="I34" s="138"/>
      <c r="J34" s="25"/>
      <c r="K34" s="34"/>
      <c r="L34" s="22"/>
      <c r="P34" s="424">
        <v>31</v>
      </c>
      <c r="Q34" s="425">
        <v>9.0500000000000007</v>
      </c>
      <c r="R34" s="425">
        <v>3.3</v>
      </c>
      <c r="S34" s="425">
        <v>61.71</v>
      </c>
      <c r="T34" s="425">
        <v>26.51</v>
      </c>
      <c r="U34" s="425">
        <v>7.02</v>
      </c>
      <c r="V34" s="425">
        <v>12</v>
      </c>
      <c r="W34" s="425">
        <v>1.87</v>
      </c>
      <c r="X34" s="425">
        <v>31.68</v>
      </c>
      <c r="Y34" s="425">
        <v>5.51</v>
      </c>
    </row>
    <row r="35" spans="1:25" ht="11.25" customHeight="1">
      <c r="A35" s="136"/>
      <c r="B35" s="138"/>
      <c r="C35" s="138"/>
      <c r="D35" s="138"/>
      <c r="E35" s="138"/>
      <c r="F35" s="138"/>
      <c r="G35" s="138"/>
      <c r="H35" s="138"/>
      <c r="I35" s="138"/>
      <c r="J35" s="25"/>
      <c r="K35" s="34"/>
      <c r="L35" s="38"/>
      <c r="O35" s="423">
        <v>32</v>
      </c>
      <c r="P35" s="424">
        <v>32</v>
      </c>
      <c r="Q35" s="425">
        <v>9.9</v>
      </c>
      <c r="R35" s="425">
        <v>2.68</v>
      </c>
      <c r="S35" s="425">
        <v>65.38</v>
      </c>
      <c r="T35" s="425">
        <v>24.1</v>
      </c>
      <c r="U35" s="425">
        <v>6.7</v>
      </c>
      <c r="V35" s="425">
        <v>12</v>
      </c>
      <c r="W35" s="425">
        <v>1.95</v>
      </c>
      <c r="X35" s="425">
        <v>31.01</v>
      </c>
      <c r="Y35" s="425">
        <v>5.16</v>
      </c>
    </row>
    <row r="36" spans="1:25" ht="11.25" customHeight="1">
      <c r="A36" s="136"/>
      <c r="B36" s="138"/>
      <c r="C36" s="138"/>
      <c r="D36" s="138"/>
      <c r="E36" s="138"/>
      <c r="F36" s="138"/>
      <c r="G36" s="138"/>
      <c r="H36" s="138"/>
      <c r="I36" s="138"/>
      <c r="J36" s="25"/>
      <c r="K36" s="29"/>
      <c r="L36" s="22"/>
      <c r="P36" s="424">
        <v>33</v>
      </c>
      <c r="Q36" s="425">
        <v>9.17</v>
      </c>
      <c r="R36" s="425">
        <v>2.4300000000000002</v>
      </c>
      <c r="S36" s="425">
        <v>59.63</v>
      </c>
      <c r="T36" s="425">
        <v>24.29</v>
      </c>
      <c r="U36" s="425">
        <v>6.44</v>
      </c>
      <c r="V36" s="425">
        <v>12</v>
      </c>
      <c r="W36" s="425">
        <v>1.82</v>
      </c>
      <c r="X36" s="425">
        <v>30.23</v>
      </c>
      <c r="Y36" s="425">
        <v>5.27</v>
      </c>
    </row>
    <row r="37" spans="1:25" ht="11.25" customHeight="1">
      <c r="A37" s="136"/>
      <c r="B37" s="138"/>
      <c r="C37" s="138"/>
      <c r="D37" s="138"/>
      <c r="E37" s="138"/>
      <c r="F37" s="138"/>
      <c r="G37" s="138"/>
      <c r="H37" s="138"/>
      <c r="I37" s="138"/>
      <c r="J37" s="25"/>
      <c r="K37" s="29"/>
      <c r="L37" s="22"/>
      <c r="P37" s="424">
        <v>34</v>
      </c>
      <c r="Q37" s="425">
        <v>7.78</v>
      </c>
      <c r="R37" s="425">
        <v>2.61</v>
      </c>
      <c r="S37" s="425">
        <v>60.62</v>
      </c>
      <c r="T37" s="425">
        <v>25.9</v>
      </c>
      <c r="U37" s="425">
        <v>6.62</v>
      </c>
      <c r="V37" s="425">
        <v>12</v>
      </c>
      <c r="W37" s="425">
        <v>1.89</v>
      </c>
      <c r="X37" s="425">
        <v>32.17</v>
      </c>
      <c r="Y37" s="425">
        <v>5.0599999999999996</v>
      </c>
    </row>
    <row r="38" spans="1:25" ht="11.25" customHeight="1">
      <c r="A38" s="136"/>
      <c r="B38" s="138"/>
      <c r="C38" s="138"/>
      <c r="D38" s="138"/>
      <c r="E38" s="138"/>
      <c r="F38" s="138"/>
      <c r="G38" s="138"/>
      <c r="H38" s="138"/>
      <c r="I38" s="138"/>
      <c r="J38" s="25"/>
      <c r="K38" s="29"/>
      <c r="L38" s="22"/>
      <c r="P38" s="424">
        <v>35</v>
      </c>
      <c r="Q38" s="425">
        <v>7.73</v>
      </c>
      <c r="R38" s="425">
        <v>3.07</v>
      </c>
      <c r="S38" s="425">
        <v>58.47</v>
      </c>
      <c r="T38" s="425">
        <v>26.33</v>
      </c>
      <c r="U38" s="425">
        <v>6.66</v>
      </c>
      <c r="V38" s="425">
        <v>12.14</v>
      </c>
      <c r="W38" s="425">
        <v>1.97</v>
      </c>
      <c r="X38" s="425">
        <v>31.63</v>
      </c>
      <c r="Y38" s="425">
        <v>4.84</v>
      </c>
    </row>
    <row r="39" spans="1:25" ht="11.25" customHeight="1">
      <c r="P39" s="424">
        <v>36</v>
      </c>
      <c r="Q39" s="425">
        <v>7.1</v>
      </c>
      <c r="R39" s="425">
        <v>3.57</v>
      </c>
      <c r="S39" s="425">
        <v>61.13</v>
      </c>
      <c r="T39" s="425">
        <v>27.35</v>
      </c>
      <c r="U39" s="425">
        <v>6.84</v>
      </c>
      <c r="V39" s="425">
        <v>13</v>
      </c>
      <c r="W39" s="425">
        <v>1.76</v>
      </c>
      <c r="X39" s="425">
        <v>34.090000000000003</v>
      </c>
      <c r="Y39" s="425">
        <v>4.8899999999999997</v>
      </c>
    </row>
    <row r="40" spans="1:25" ht="11.25" customHeight="1">
      <c r="A40" s="962" t="s">
        <v>470</v>
      </c>
      <c r="B40" s="962"/>
      <c r="C40" s="962"/>
      <c r="D40" s="962"/>
      <c r="E40" s="962"/>
      <c r="F40" s="962"/>
      <c r="G40" s="962"/>
      <c r="H40" s="962"/>
      <c r="I40" s="962"/>
      <c r="J40" s="962"/>
      <c r="K40" s="962"/>
      <c r="L40" s="962"/>
      <c r="P40" s="424">
        <v>37</v>
      </c>
      <c r="Q40" s="425">
        <v>7.53</v>
      </c>
      <c r="R40" s="425">
        <v>5.04</v>
      </c>
      <c r="S40" s="425">
        <v>59.93</v>
      </c>
      <c r="T40" s="425">
        <v>34.56</v>
      </c>
      <c r="U40" s="425">
        <v>7.96</v>
      </c>
      <c r="V40" s="425">
        <v>13</v>
      </c>
      <c r="W40" s="425">
        <v>1.7</v>
      </c>
      <c r="X40" s="425">
        <v>38.06</v>
      </c>
      <c r="Y40" s="425">
        <v>8.4</v>
      </c>
    </row>
    <row r="41" spans="1:25" ht="11.25" customHeight="1">
      <c r="P41" s="424">
        <v>38</v>
      </c>
      <c r="Q41" s="425">
        <v>9.73</v>
      </c>
      <c r="R41" s="425">
        <v>3.75</v>
      </c>
      <c r="S41" s="425">
        <v>64.319999999999993</v>
      </c>
      <c r="T41" s="425">
        <v>41.74</v>
      </c>
      <c r="U41" s="425">
        <v>9.43</v>
      </c>
      <c r="V41" s="425">
        <v>13</v>
      </c>
      <c r="W41" s="425">
        <v>1.77</v>
      </c>
      <c r="X41" s="425">
        <v>41.12</v>
      </c>
      <c r="Y41" s="425">
        <v>6.42</v>
      </c>
    </row>
    <row r="42" spans="1:25" ht="11.25" customHeight="1">
      <c r="A42" s="136"/>
      <c r="B42" s="138"/>
      <c r="C42" s="138"/>
      <c r="D42" s="138"/>
      <c r="E42" s="138"/>
      <c r="F42" s="138"/>
      <c r="G42" s="138"/>
      <c r="H42" s="138"/>
      <c r="I42" s="138"/>
      <c r="O42" s="423">
        <v>39</v>
      </c>
      <c r="P42" s="424">
        <v>39</v>
      </c>
      <c r="Q42" s="425">
        <v>7.21</v>
      </c>
      <c r="R42" s="425">
        <v>3.83</v>
      </c>
      <c r="S42" s="425">
        <v>66.83</v>
      </c>
      <c r="T42" s="425">
        <v>46.48</v>
      </c>
      <c r="U42" s="425">
        <v>7.93</v>
      </c>
      <c r="V42" s="425">
        <v>13</v>
      </c>
      <c r="W42" s="425">
        <v>1.99</v>
      </c>
      <c r="X42" s="425">
        <v>33.06</v>
      </c>
      <c r="Y42" s="425">
        <v>7.98</v>
      </c>
    </row>
    <row r="43" spans="1:25" ht="11.25" customHeight="1">
      <c r="A43" s="136"/>
      <c r="B43" s="138"/>
      <c r="C43" s="138"/>
      <c r="D43" s="138"/>
      <c r="E43" s="138"/>
      <c r="F43" s="138"/>
      <c r="G43" s="138"/>
      <c r="H43" s="138"/>
      <c r="I43" s="138"/>
      <c r="P43" s="424">
        <v>40</v>
      </c>
      <c r="Q43" s="425">
        <v>6.89</v>
      </c>
      <c r="R43" s="425">
        <v>3.2</v>
      </c>
      <c r="S43" s="425">
        <v>56.32</v>
      </c>
      <c r="T43" s="425">
        <v>28.11</v>
      </c>
      <c r="U43" s="425">
        <v>6.02</v>
      </c>
      <c r="V43" s="425">
        <v>13</v>
      </c>
      <c r="W43" s="425">
        <v>1.48</v>
      </c>
      <c r="X43" s="425">
        <v>35.54</v>
      </c>
      <c r="Y43" s="425">
        <v>5.32</v>
      </c>
    </row>
    <row r="44" spans="1:25" ht="11.25" customHeight="1">
      <c r="A44" s="136"/>
      <c r="B44" s="138"/>
      <c r="C44" s="138"/>
      <c r="D44" s="138"/>
      <c r="E44" s="138"/>
      <c r="F44" s="138"/>
      <c r="G44" s="138"/>
      <c r="H44" s="138"/>
      <c r="I44" s="138"/>
      <c r="P44" s="424">
        <v>41</v>
      </c>
      <c r="Q44" s="425">
        <v>7.51</v>
      </c>
      <c r="R44" s="425">
        <v>3.26</v>
      </c>
      <c r="S44" s="425">
        <v>57.18</v>
      </c>
      <c r="T44" s="425">
        <v>32.11</v>
      </c>
      <c r="U44" s="425">
        <v>6.5</v>
      </c>
      <c r="V44" s="425">
        <v>13</v>
      </c>
      <c r="W44" s="425">
        <v>1.53</v>
      </c>
      <c r="X44" s="425">
        <v>37.47</v>
      </c>
      <c r="Y44" s="425">
        <v>4.95</v>
      </c>
    </row>
    <row r="45" spans="1:25" ht="11.25" customHeight="1">
      <c r="A45" s="136"/>
      <c r="B45" s="138"/>
      <c r="C45" s="138"/>
      <c r="D45" s="138"/>
      <c r="E45" s="138"/>
      <c r="F45" s="138"/>
      <c r="G45" s="138"/>
      <c r="H45" s="138"/>
      <c r="I45" s="138"/>
      <c r="P45" s="424">
        <v>42</v>
      </c>
      <c r="Q45" s="425">
        <v>7.92</v>
      </c>
      <c r="R45" s="425">
        <v>3.59</v>
      </c>
      <c r="S45" s="425">
        <v>71.87</v>
      </c>
      <c r="T45" s="425">
        <v>64.69</v>
      </c>
      <c r="U45" s="425">
        <v>9.44</v>
      </c>
      <c r="V45" s="425">
        <v>13</v>
      </c>
      <c r="W45" s="425">
        <v>1.93</v>
      </c>
      <c r="X45" s="425">
        <v>52.42</v>
      </c>
      <c r="Y45" s="425">
        <v>7.39</v>
      </c>
    </row>
    <row r="46" spans="1:25" ht="11.25" customHeight="1">
      <c r="A46" s="136"/>
      <c r="B46" s="138"/>
      <c r="C46" s="138"/>
      <c r="D46" s="138"/>
      <c r="E46" s="138"/>
      <c r="F46" s="138"/>
      <c r="G46" s="138"/>
      <c r="H46" s="138"/>
      <c r="I46" s="138"/>
      <c r="P46" s="424">
        <v>43</v>
      </c>
      <c r="Q46" s="425">
        <v>9.16</v>
      </c>
      <c r="R46" s="425">
        <v>3.99</v>
      </c>
      <c r="S46" s="425">
        <v>73.22</v>
      </c>
      <c r="T46" s="425">
        <v>71.16</v>
      </c>
      <c r="U46" s="425">
        <v>8.8800000000000008</v>
      </c>
      <c r="V46" s="425">
        <v>13</v>
      </c>
      <c r="W46" s="425">
        <v>1.69</v>
      </c>
      <c r="X46" s="425">
        <v>43.93</v>
      </c>
      <c r="Y46" s="425">
        <v>6.18</v>
      </c>
    </row>
    <row r="47" spans="1:25" ht="11.25" customHeight="1">
      <c r="A47" s="136"/>
      <c r="B47" s="138"/>
      <c r="C47" s="138"/>
      <c r="D47" s="138"/>
      <c r="E47" s="138"/>
      <c r="F47" s="138"/>
      <c r="G47" s="138"/>
      <c r="H47" s="138"/>
      <c r="I47" s="138"/>
      <c r="P47" s="424">
        <v>44</v>
      </c>
      <c r="Q47" s="425">
        <v>8.81</v>
      </c>
      <c r="R47" s="425">
        <v>5.0199999999999996</v>
      </c>
      <c r="S47" s="425">
        <v>75.150000000000006</v>
      </c>
      <c r="T47" s="425">
        <v>62.33</v>
      </c>
      <c r="U47" s="425">
        <v>10.59</v>
      </c>
      <c r="V47" s="425">
        <v>13</v>
      </c>
      <c r="W47" s="425">
        <v>1.65</v>
      </c>
      <c r="X47" s="425">
        <v>40.229999999999997</v>
      </c>
      <c r="Y47" s="425">
        <v>8.7899999999999991</v>
      </c>
    </row>
    <row r="48" spans="1:25">
      <c r="A48" s="136"/>
      <c r="B48" s="138"/>
      <c r="C48" s="138"/>
      <c r="D48" s="138"/>
      <c r="E48" s="138"/>
      <c r="F48" s="138"/>
      <c r="G48" s="138"/>
      <c r="H48" s="138"/>
      <c r="I48" s="138"/>
      <c r="P48" s="424">
        <v>45</v>
      </c>
      <c r="Q48" s="425">
        <v>8.3800000000000008</v>
      </c>
      <c r="R48" s="425">
        <v>4.2</v>
      </c>
      <c r="S48" s="425">
        <v>67.39</v>
      </c>
      <c r="T48" s="425">
        <v>61.76</v>
      </c>
      <c r="U48" s="425">
        <v>10.039999999999999</v>
      </c>
      <c r="V48" s="425">
        <v>13</v>
      </c>
      <c r="W48" s="425">
        <v>1.51</v>
      </c>
      <c r="X48" s="425">
        <v>41.85</v>
      </c>
      <c r="Y48" s="425">
        <v>11.45</v>
      </c>
    </row>
    <row r="49" spans="1:25">
      <c r="A49" s="136"/>
      <c r="B49" s="138"/>
      <c r="C49" s="138"/>
      <c r="D49" s="138"/>
      <c r="E49" s="138"/>
      <c r="F49" s="138"/>
      <c r="G49" s="138"/>
      <c r="H49" s="138"/>
      <c r="I49" s="138"/>
      <c r="P49" s="424">
        <v>46</v>
      </c>
      <c r="Q49" s="425">
        <v>7.55</v>
      </c>
      <c r="R49" s="425">
        <v>3.7</v>
      </c>
      <c r="S49" s="425">
        <v>66.959999999999994</v>
      </c>
      <c r="T49" s="425">
        <v>66.040000000000006</v>
      </c>
      <c r="U49" s="425">
        <v>8.7799999999999994</v>
      </c>
      <c r="V49" s="425">
        <v>13</v>
      </c>
      <c r="W49" s="425">
        <v>1.65</v>
      </c>
      <c r="X49" s="425">
        <v>70.849999999999994</v>
      </c>
      <c r="Y49" s="425">
        <v>14.58</v>
      </c>
    </row>
    <row r="50" spans="1:25">
      <c r="A50" s="136"/>
      <c r="B50" s="138"/>
      <c r="C50" s="138"/>
      <c r="D50" s="138"/>
      <c r="E50" s="138"/>
      <c r="F50" s="138"/>
      <c r="G50" s="138"/>
      <c r="H50" s="138"/>
      <c r="I50" s="138"/>
      <c r="P50" s="424">
        <v>47</v>
      </c>
      <c r="Q50" s="425">
        <v>7.39</v>
      </c>
      <c r="R50" s="425">
        <v>3.85</v>
      </c>
      <c r="S50" s="425">
        <v>67.72</v>
      </c>
      <c r="T50" s="425">
        <v>52.82</v>
      </c>
      <c r="U50" s="425">
        <v>7.81</v>
      </c>
      <c r="V50" s="425">
        <v>13</v>
      </c>
      <c r="W50" s="425">
        <v>1.6</v>
      </c>
      <c r="X50" s="425">
        <v>64.819999999999993</v>
      </c>
      <c r="Y50" s="425">
        <v>12.14</v>
      </c>
    </row>
    <row r="51" spans="1:25">
      <c r="A51" s="136"/>
      <c r="B51" s="138"/>
      <c r="C51" s="138"/>
      <c r="D51" s="138"/>
      <c r="E51" s="138"/>
      <c r="F51" s="138"/>
      <c r="G51" s="138"/>
      <c r="H51" s="138"/>
      <c r="I51" s="138"/>
      <c r="O51" s="423">
        <v>48</v>
      </c>
      <c r="P51" s="424">
        <v>48</v>
      </c>
      <c r="Q51" s="425">
        <v>7.9678571564285718</v>
      </c>
      <c r="R51" s="425">
        <v>3.558142900428571</v>
      </c>
      <c r="S51" s="425">
        <v>77.366571698571434</v>
      </c>
      <c r="T51" s="425">
        <v>66.577285762857144</v>
      </c>
      <c r="U51" s="425">
        <v>9.1851428580000007</v>
      </c>
      <c r="V51" s="425">
        <v>13.005714417142858</v>
      </c>
      <c r="W51" s="425">
        <v>1.6</v>
      </c>
      <c r="X51" s="425">
        <v>47.846427917142854</v>
      </c>
      <c r="Y51" s="425">
        <v>12.516714369142859</v>
      </c>
    </row>
    <row r="52" spans="1:25">
      <c r="A52" s="136"/>
      <c r="B52" s="138"/>
      <c r="C52" s="138"/>
      <c r="D52" s="138"/>
      <c r="E52" s="138"/>
      <c r="F52" s="138"/>
      <c r="G52" s="138"/>
      <c r="H52" s="138"/>
      <c r="I52" s="138"/>
      <c r="P52" s="424">
        <v>49</v>
      </c>
      <c r="Q52" s="425">
        <v>8.4875713758571436</v>
      </c>
      <c r="R52" s="425">
        <v>3.2600000074285718</v>
      </c>
      <c r="S52" s="425">
        <v>84.55585806714285</v>
      </c>
      <c r="T52" s="425">
        <v>72.732000077142857</v>
      </c>
      <c r="U52" s="425">
        <v>14.04828548342857</v>
      </c>
      <c r="V52" s="425">
        <v>13.002857208571429</v>
      </c>
      <c r="W52" s="425">
        <v>1.6</v>
      </c>
      <c r="X52" s="425">
        <v>57.322143555714298</v>
      </c>
      <c r="Y52" s="425">
        <v>18.826999800000003</v>
      </c>
    </row>
    <row r="53" spans="1:25">
      <c r="A53" s="136"/>
      <c r="B53" s="138"/>
      <c r="C53" s="138"/>
      <c r="D53" s="138"/>
      <c r="E53" s="138"/>
      <c r="F53" s="138"/>
      <c r="G53" s="138"/>
      <c r="H53" s="138"/>
      <c r="I53" s="138"/>
      <c r="P53" s="424">
        <v>50</v>
      </c>
      <c r="Q53" s="425">
        <v>8.7257142747142868</v>
      </c>
      <c r="R53" s="425">
        <v>3.4628571441428577</v>
      </c>
      <c r="S53" s="425">
        <v>77.460142951428566</v>
      </c>
      <c r="T53" s="425">
        <v>64.097142899999994</v>
      </c>
      <c r="U53" s="425">
        <v>11.032857077571427</v>
      </c>
      <c r="V53" s="425">
        <v>13</v>
      </c>
      <c r="W53" s="425">
        <v>1.6000000240000001</v>
      </c>
      <c r="X53" s="425">
        <v>51.470714571428573</v>
      </c>
      <c r="Y53" s="425">
        <v>20.280285972857143</v>
      </c>
    </row>
    <row r="54" spans="1:25">
      <c r="A54" s="136"/>
      <c r="B54" s="138"/>
      <c r="C54" s="138"/>
      <c r="D54" s="138"/>
      <c r="E54" s="138"/>
      <c r="F54" s="138"/>
      <c r="G54" s="138"/>
      <c r="H54" s="138"/>
      <c r="I54" s="138"/>
      <c r="P54" s="424">
        <v>51</v>
      </c>
      <c r="Q54" s="425">
        <v>9.7215715127142861</v>
      </c>
      <c r="R54" s="425">
        <v>4.2539999484285715</v>
      </c>
      <c r="S54" s="425">
        <v>78.166143688571424</v>
      </c>
      <c r="T54" s="425">
        <v>94.237856191428577</v>
      </c>
      <c r="U54" s="425">
        <v>14.381428445285712</v>
      </c>
      <c r="V54" s="425">
        <v>13.01285743857143</v>
      </c>
      <c r="W54" s="425">
        <v>1.6257142851428572</v>
      </c>
      <c r="X54" s="425">
        <v>65.58357184285714</v>
      </c>
      <c r="Y54" s="425">
        <v>34.849000112857141</v>
      </c>
    </row>
    <row r="55" spans="1:25">
      <c r="A55" s="136"/>
      <c r="B55" s="138"/>
      <c r="C55" s="138"/>
      <c r="D55" s="138"/>
      <c r="E55" s="138"/>
      <c r="F55" s="138"/>
      <c r="G55" s="138"/>
      <c r="H55" s="138"/>
      <c r="I55" s="138"/>
      <c r="O55" s="423">
        <v>52</v>
      </c>
      <c r="P55" s="424">
        <v>52</v>
      </c>
      <c r="Q55" s="425">
        <v>10.323285784571427</v>
      </c>
      <c r="R55" s="425">
        <v>4.6457142829999993</v>
      </c>
      <c r="S55" s="425">
        <v>86.972714017142849</v>
      </c>
      <c r="T55" s="425">
        <v>94.357285634285716</v>
      </c>
      <c r="U55" s="425">
        <v>13.293999945714287</v>
      </c>
      <c r="V55" s="425">
        <v>13.09681579142857</v>
      </c>
      <c r="W55" s="425">
        <v>1.644999981</v>
      </c>
      <c r="X55" s="425">
        <v>104.27285767571428</v>
      </c>
      <c r="Y55" s="425">
        <v>35.335714887142856</v>
      </c>
    </row>
    <row r="56" spans="1:25">
      <c r="A56" s="136"/>
      <c r="B56" s="138"/>
      <c r="C56" s="138"/>
      <c r="D56" s="138"/>
      <c r="E56" s="138"/>
      <c r="F56" s="138"/>
      <c r="G56" s="138"/>
      <c r="H56" s="138"/>
      <c r="I56" s="138"/>
      <c r="N56" s="423">
        <v>2018</v>
      </c>
      <c r="O56" s="423">
        <v>1</v>
      </c>
      <c r="P56" s="424">
        <v>1</v>
      </c>
      <c r="Q56" s="425">
        <v>10.34</v>
      </c>
      <c r="R56" s="425">
        <v>4.4628571428571426</v>
      </c>
      <c r="S56" s="425">
        <v>140.04142857142858</v>
      </c>
      <c r="T56" s="425">
        <v>143.09</v>
      </c>
      <c r="U56" s="425">
        <v>20.63</v>
      </c>
      <c r="V56" s="425">
        <v>13</v>
      </c>
      <c r="W56" s="425">
        <v>1.64</v>
      </c>
      <c r="X56" s="425">
        <v>201.2428571428571</v>
      </c>
      <c r="Y56" s="425">
        <v>63.23</v>
      </c>
    </row>
    <row r="57" spans="1:25">
      <c r="A57" s="136"/>
      <c r="B57" s="138"/>
      <c r="C57" s="138"/>
      <c r="D57" s="138"/>
      <c r="E57" s="138"/>
      <c r="F57" s="138"/>
      <c r="G57" s="138"/>
      <c r="H57" s="138"/>
      <c r="I57" s="138"/>
      <c r="P57" s="424">
        <v>2</v>
      </c>
      <c r="Q57" s="425">
        <v>13.730999947142859</v>
      </c>
      <c r="R57" s="425">
        <v>3.5944285392857145</v>
      </c>
      <c r="S57" s="425">
        <v>209.91800362857143</v>
      </c>
      <c r="T57" s="425">
        <v>160.98214394285716</v>
      </c>
      <c r="U57" s="425">
        <v>36.213856559999996</v>
      </c>
      <c r="V57" s="425">
        <v>11.774285724285715</v>
      </c>
      <c r="W57" s="425">
        <v>1.5914286031428568</v>
      </c>
      <c r="X57" s="425">
        <v>229.4250030571429</v>
      </c>
      <c r="Y57" s="425">
        <v>56.654285431428562</v>
      </c>
    </row>
    <row r="58" spans="1:25">
      <c r="A58" s="136"/>
      <c r="B58" s="138"/>
      <c r="C58" s="138"/>
      <c r="D58" s="138"/>
      <c r="E58" s="138"/>
      <c r="F58" s="138"/>
      <c r="G58" s="138"/>
      <c r="H58" s="138"/>
      <c r="I58" s="138"/>
      <c r="P58" s="424">
        <v>3</v>
      </c>
      <c r="Q58" s="425">
        <v>15.983285902857142</v>
      </c>
      <c r="R58" s="425">
        <v>8.3045714242857152</v>
      </c>
      <c r="S58" s="425">
        <v>223.6645725857143</v>
      </c>
      <c r="T58" s="425">
        <v>190.44042751428574</v>
      </c>
      <c r="U58" s="425">
        <v>30.819142750000001</v>
      </c>
      <c r="V58" s="425">
        <v>11.857142857142858</v>
      </c>
      <c r="W58" s="425">
        <v>1.5814286125714285</v>
      </c>
      <c r="X58" s="425">
        <v>261.56357028571426</v>
      </c>
      <c r="Y58" s="425">
        <v>68.516428267142857</v>
      </c>
    </row>
    <row r="59" spans="1:25">
      <c r="A59" s="136"/>
      <c r="B59" s="138"/>
      <c r="C59" s="138"/>
      <c r="D59" s="138"/>
      <c r="E59" s="138"/>
      <c r="F59" s="138"/>
      <c r="G59" s="138"/>
      <c r="H59" s="138"/>
      <c r="I59" s="138"/>
      <c r="P59" s="424">
        <v>4</v>
      </c>
      <c r="Q59" s="425">
        <v>21.988571574285714</v>
      </c>
      <c r="R59" s="425">
        <v>15.598142828000002</v>
      </c>
      <c r="S59" s="425">
        <v>346.88342720000003</v>
      </c>
      <c r="T59" s="425">
        <v>205.5832868285714</v>
      </c>
      <c r="U59" s="425">
        <v>40.893000467142862</v>
      </c>
      <c r="V59" s="425">
        <v>18.734285627142857</v>
      </c>
      <c r="W59" s="425">
        <v>1.5700000519999997</v>
      </c>
      <c r="X59" s="425">
        <v>261.98000009999998</v>
      </c>
      <c r="Y59" s="425">
        <v>58.935427530000005</v>
      </c>
    </row>
    <row r="60" spans="1:25">
      <c r="A60" s="136"/>
      <c r="B60" s="138"/>
      <c r="C60" s="138"/>
      <c r="D60" s="138"/>
      <c r="E60" s="138"/>
      <c r="F60" s="138"/>
      <c r="G60" s="138"/>
      <c r="H60" s="138"/>
      <c r="I60" s="138"/>
      <c r="P60" s="424">
        <v>5</v>
      </c>
      <c r="Q60" s="425">
        <v>17.729000225714284</v>
      </c>
      <c r="R60" s="425">
        <v>13.724571365714285</v>
      </c>
      <c r="S60" s="425">
        <v>214.95928737142859</v>
      </c>
      <c r="T60" s="425">
        <v>93.607142857142861</v>
      </c>
      <c r="U60" s="425">
        <v>17.748285841428572</v>
      </c>
      <c r="V60" s="425">
        <v>23.390000208571426</v>
      </c>
      <c r="W60" s="425">
        <v>1.5700000519999997</v>
      </c>
      <c r="X60" s="425">
        <v>141.83571514285714</v>
      </c>
      <c r="Y60" s="425">
        <v>45.332857951428579</v>
      </c>
    </row>
    <row r="61" spans="1:25">
      <c r="A61" s="136"/>
      <c r="B61" s="138"/>
      <c r="C61" s="138"/>
      <c r="D61" s="138"/>
      <c r="E61" s="138"/>
      <c r="F61" s="138"/>
      <c r="G61" s="138"/>
      <c r="H61" s="138"/>
      <c r="I61" s="138"/>
      <c r="P61" s="424">
        <v>6</v>
      </c>
      <c r="Q61" s="425">
        <v>13.582571572857143</v>
      </c>
      <c r="R61" s="425">
        <v>8.6634286477142854</v>
      </c>
      <c r="S61" s="425">
        <v>166.34242902857142</v>
      </c>
      <c r="T61" s="425">
        <v>108.25571334000001</v>
      </c>
      <c r="U61" s="425">
        <v>18.79157175142857</v>
      </c>
      <c r="V61" s="425">
        <v>20.201017107142857</v>
      </c>
      <c r="W61" s="425">
        <v>2.3694285491428571</v>
      </c>
      <c r="X61" s="425">
        <v>164.55714089999998</v>
      </c>
      <c r="Y61" s="425">
        <v>65.987571171428584</v>
      </c>
    </row>
    <row r="62" spans="1:25">
      <c r="A62" s="136"/>
      <c r="B62" s="138"/>
      <c r="C62" s="138"/>
      <c r="D62" s="138"/>
      <c r="E62" s="138"/>
      <c r="F62" s="138"/>
      <c r="G62" s="138"/>
      <c r="H62" s="138"/>
      <c r="I62" s="138"/>
      <c r="P62" s="424">
        <v>7</v>
      </c>
      <c r="Q62" s="425">
        <v>14.722571237142859</v>
      </c>
      <c r="R62" s="425">
        <v>11.071428435428571</v>
      </c>
      <c r="S62" s="425">
        <v>239.50057330000001</v>
      </c>
      <c r="T62" s="425">
        <v>202.98199900000003</v>
      </c>
      <c r="U62" s="425">
        <v>42.088571821428573</v>
      </c>
      <c r="V62" s="425">
        <v>15.283185821428571</v>
      </c>
      <c r="W62" s="425">
        <v>3.1689999100000001</v>
      </c>
      <c r="X62" s="425">
        <v>355.31285748571423</v>
      </c>
      <c r="Y62" s="425">
        <v>97.722999031428586</v>
      </c>
    </row>
    <row r="63" spans="1:25">
      <c r="A63" s="136"/>
      <c r="B63" s="138"/>
      <c r="C63" s="138"/>
      <c r="D63" s="138"/>
      <c r="E63" s="138"/>
      <c r="F63" s="138"/>
      <c r="G63" s="138"/>
      <c r="H63" s="138"/>
      <c r="I63" s="138"/>
      <c r="O63" s="423">
        <v>8</v>
      </c>
      <c r="P63" s="424">
        <v>8</v>
      </c>
      <c r="Q63" s="425">
        <v>18.48</v>
      </c>
      <c r="R63" s="425">
        <v>14.97</v>
      </c>
      <c r="S63" s="425">
        <v>357.61814662857148</v>
      </c>
      <c r="T63" s="425">
        <v>251.1</v>
      </c>
      <c r="U63" s="425">
        <v>43.74</v>
      </c>
      <c r="V63" s="425">
        <v>16.564</v>
      </c>
      <c r="W63" s="425">
        <v>3.16</v>
      </c>
      <c r="X63" s="425">
        <v>437.78</v>
      </c>
      <c r="Y63" s="425">
        <v>142.13</v>
      </c>
    </row>
    <row r="64" spans="1:25" ht="6" customHeight="1">
      <c r="A64" s="136"/>
      <c r="B64" s="138"/>
      <c r="C64" s="138"/>
      <c r="D64" s="138"/>
      <c r="E64" s="138"/>
      <c r="F64" s="138"/>
      <c r="G64" s="138"/>
      <c r="H64" s="138"/>
      <c r="I64" s="138"/>
      <c r="P64" s="424">
        <v>9</v>
      </c>
      <c r="Q64" s="425">
        <v>21.652428627142854</v>
      </c>
      <c r="R64" s="425">
        <v>14.185285431142857</v>
      </c>
      <c r="S64" s="425">
        <v>333.90885488571433</v>
      </c>
      <c r="T64" s="425">
        <v>204.95843285714287</v>
      </c>
      <c r="U64" s="425">
        <v>31.755000522857138</v>
      </c>
      <c r="V64" s="425">
        <v>15.852976190476195</v>
      </c>
      <c r="W64" s="425">
        <v>3.1689999100000001</v>
      </c>
      <c r="X64" s="425">
        <v>424.14571271428576</v>
      </c>
      <c r="Y64" s="425">
        <v>142.13857270714286</v>
      </c>
    </row>
    <row r="65" spans="1:25" ht="24.75" customHeight="1">
      <c r="A65" s="933" t="s">
        <v>471</v>
      </c>
      <c r="B65" s="933"/>
      <c r="C65" s="933"/>
      <c r="D65" s="933"/>
      <c r="E65" s="933"/>
      <c r="F65" s="933"/>
      <c r="G65" s="933"/>
      <c r="H65" s="933"/>
      <c r="I65" s="933"/>
      <c r="J65" s="933"/>
      <c r="K65" s="933"/>
      <c r="L65" s="933"/>
      <c r="P65" s="424">
        <v>10</v>
      </c>
      <c r="Q65" s="425">
        <v>30.272714344285713</v>
      </c>
      <c r="R65" s="425">
        <v>17.434571538571429</v>
      </c>
      <c r="S65" s="425">
        <v>431.64157101428572</v>
      </c>
      <c r="T65" s="425">
        <v>177.15485925714287</v>
      </c>
      <c r="U65" s="425">
        <v>31.196571622857142</v>
      </c>
      <c r="V65" s="425">
        <v>14.442</v>
      </c>
      <c r="W65" s="425">
        <v>4.7437142644285712</v>
      </c>
      <c r="X65" s="425">
        <v>293.69142804285718</v>
      </c>
      <c r="Y65" s="425">
        <v>72.30971418</v>
      </c>
    </row>
    <row r="66" spans="1:25" ht="20.25" customHeight="1">
      <c r="P66" s="424">
        <v>11</v>
      </c>
      <c r="Q66" s="425">
        <v>28.071857179999999</v>
      </c>
      <c r="R66" s="425">
        <v>17.048571724285715</v>
      </c>
      <c r="S66" s="425">
        <v>485.98543439999997</v>
      </c>
      <c r="T66" s="425">
        <v>169.375</v>
      </c>
      <c r="U66" s="425">
        <v>52.626284462857136</v>
      </c>
      <c r="V66" s="425">
        <v>18.273</v>
      </c>
      <c r="W66" s="425">
        <v>3.0879999738571429</v>
      </c>
      <c r="X66" s="425">
        <v>511.54500034285724</v>
      </c>
      <c r="Y66" s="425">
        <v>119.7894287057143</v>
      </c>
    </row>
    <row r="67" spans="1:25">
      <c r="P67" s="424">
        <v>12</v>
      </c>
      <c r="Q67" s="425">
        <v>29.90999984714286</v>
      </c>
      <c r="R67" s="425">
        <v>21.62</v>
      </c>
      <c r="S67" s="425">
        <v>465.24414497142863</v>
      </c>
      <c r="T67" s="425">
        <v>201.58328465714288</v>
      </c>
      <c r="U67" s="425">
        <v>57.669144221428567</v>
      </c>
      <c r="V67" s="425">
        <v>23.244</v>
      </c>
      <c r="W67" s="425">
        <v>4.5095714328571432</v>
      </c>
      <c r="X67" s="425">
        <v>433.89143152857145</v>
      </c>
      <c r="Y67" s="425">
        <v>152.80443028571429</v>
      </c>
    </row>
    <row r="68" spans="1:25">
      <c r="P68" s="424">
        <v>13</v>
      </c>
      <c r="Q68" s="425">
        <v>28.360142844285718</v>
      </c>
      <c r="R68" s="425">
        <v>17.439428465714283</v>
      </c>
      <c r="S68" s="425">
        <v>396.37686155714289</v>
      </c>
      <c r="T68" s="425">
        <v>163.75585502857143</v>
      </c>
      <c r="U68" s="425">
        <v>35.725570951428573</v>
      </c>
      <c r="V68" s="425">
        <v>23.143392837142859</v>
      </c>
      <c r="W68" s="425">
        <v>3.3929999999999998</v>
      </c>
      <c r="X68" s="425">
        <v>281.79928587142859</v>
      </c>
      <c r="Y68" s="425">
        <v>107.32928468714286</v>
      </c>
    </row>
    <row r="69" spans="1:25">
      <c r="P69" s="424">
        <v>14</v>
      </c>
      <c r="Q69" s="425">
        <v>23.830285752857144</v>
      </c>
      <c r="R69" s="425">
        <v>12.833285604571429</v>
      </c>
      <c r="S69" s="425">
        <v>226.32643345714288</v>
      </c>
      <c r="T69" s="425">
        <v>133.53585814285714</v>
      </c>
      <c r="U69" s="425">
        <v>28.622000282857147</v>
      </c>
      <c r="V69" s="425">
        <v>19.16</v>
      </c>
      <c r="W69" s="425">
        <v>1.736</v>
      </c>
      <c r="X69" s="425">
        <v>176.23214502857144</v>
      </c>
      <c r="Y69" s="425">
        <v>80.936570849999995</v>
      </c>
    </row>
    <row r="70" spans="1:25">
      <c r="P70" s="424">
        <v>15</v>
      </c>
      <c r="Q70" s="425">
        <v>27</v>
      </c>
      <c r="R70" s="425">
        <v>15.571285655714286</v>
      </c>
      <c r="S70" s="425">
        <v>207.40800040000002</v>
      </c>
      <c r="T70" s="425">
        <v>107.59514291428572</v>
      </c>
      <c r="U70" s="425">
        <v>30.753999982857145</v>
      </c>
      <c r="V70" s="425">
        <v>14.377143042857142</v>
      </c>
      <c r="W70" s="425">
        <v>1.8612856864285716</v>
      </c>
      <c r="X70" s="425">
        <v>130.09</v>
      </c>
      <c r="Y70" s="425">
        <v>42.693143572857146</v>
      </c>
    </row>
    <row r="71" spans="1:25">
      <c r="O71" s="423">
        <v>16</v>
      </c>
      <c r="P71" s="424">
        <v>16</v>
      </c>
      <c r="Q71" s="425">
        <v>19.899999999999999</v>
      </c>
      <c r="R71" s="425">
        <v>12.83</v>
      </c>
      <c r="S71" s="425">
        <v>166.38871437142856</v>
      </c>
      <c r="T71" s="425">
        <v>95.78</v>
      </c>
      <c r="U71" s="425">
        <v>29.88</v>
      </c>
      <c r="V71" s="425">
        <v>12.36</v>
      </c>
      <c r="W71" s="425">
        <v>1.9</v>
      </c>
      <c r="X71" s="425">
        <v>96.9</v>
      </c>
      <c r="Y71" s="425">
        <v>33.717142651428574</v>
      </c>
    </row>
    <row r="72" spans="1:25">
      <c r="P72" s="424">
        <v>17</v>
      </c>
      <c r="Q72" s="425">
        <v>19.14</v>
      </c>
      <c r="R72" s="425">
        <v>13.52</v>
      </c>
      <c r="S72" s="425">
        <v>168.19342804285716</v>
      </c>
      <c r="T72" s="425">
        <v>95.39</v>
      </c>
      <c r="U72" s="425">
        <v>22.257285525714284</v>
      </c>
      <c r="V72" s="425">
        <v>13.4</v>
      </c>
      <c r="W72" s="425">
        <v>1.7940000124285713</v>
      </c>
      <c r="X72" s="425">
        <v>89.59</v>
      </c>
      <c r="Y72" s="425">
        <v>27.06</v>
      </c>
    </row>
    <row r="73" spans="1:25">
      <c r="P73" s="424">
        <v>18</v>
      </c>
      <c r="Q73" s="425">
        <v>19.703571455714286</v>
      </c>
      <c r="R73" s="425">
        <v>14.166857039571427</v>
      </c>
      <c r="S73" s="425">
        <v>171.5428597714286</v>
      </c>
      <c r="T73" s="425">
        <v>85.958285739999994</v>
      </c>
      <c r="U73" s="425">
        <v>21.651714052857141</v>
      </c>
      <c r="V73" s="425">
        <v>12.785805702857145</v>
      </c>
      <c r="W73" s="425">
        <v>2.3024285860000004</v>
      </c>
      <c r="X73" s="425">
        <v>89.602142331428567</v>
      </c>
      <c r="Y73" s="425">
        <v>22.269714081428571</v>
      </c>
    </row>
    <row r="74" spans="1:25">
      <c r="P74" s="424">
        <v>19</v>
      </c>
      <c r="Q74" s="425">
        <v>15.48828561</v>
      </c>
      <c r="R74" s="425">
        <v>12.650857108142857</v>
      </c>
      <c r="S74" s="425">
        <v>146.54485865714287</v>
      </c>
      <c r="T74" s="425">
        <v>88.244000028571435</v>
      </c>
      <c r="U74" s="425">
        <v>19.037142890000002</v>
      </c>
      <c r="V74" s="425">
        <v>11.328391347142857</v>
      </c>
      <c r="W74" s="425">
        <v>1.8057142665714285</v>
      </c>
      <c r="X74" s="425">
        <v>75.568572998571426</v>
      </c>
      <c r="Y74" s="425">
        <v>17.565999711428571</v>
      </c>
    </row>
    <row r="75" spans="1:25">
      <c r="P75" s="424">
        <v>20</v>
      </c>
      <c r="Q75" s="425">
        <v>14.601142882857145</v>
      </c>
      <c r="R75" s="425">
        <v>10.013285772</v>
      </c>
      <c r="S75" s="425">
        <v>112.76242937142857</v>
      </c>
      <c r="T75" s="425">
        <v>64.809571402857145</v>
      </c>
      <c r="U75" s="425">
        <v>16.531571660000001</v>
      </c>
      <c r="V75" s="425">
        <v>10.899261474285714</v>
      </c>
      <c r="W75" s="425">
        <v>1.7767143248571429</v>
      </c>
      <c r="X75" s="425">
        <v>62.208570752857149</v>
      </c>
      <c r="Y75" s="425">
        <v>14.502285821428572</v>
      </c>
    </row>
    <row r="76" spans="1:25">
      <c r="P76" s="424">
        <v>21</v>
      </c>
      <c r="Q76" s="425">
        <v>13.411285537142858</v>
      </c>
      <c r="R76" s="425">
        <v>7.8631429672857154</v>
      </c>
      <c r="S76" s="425">
        <v>94.636570517142857</v>
      </c>
      <c r="T76" s="425">
        <v>49.303714208571428</v>
      </c>
      <c r="U76" s="425">
        <v>13.450571468571427</v>
      </c>
      <c r="V76" s="425">
        <v>11.166911400000002</v>
      </c>
      <c r="W76" s="425">
        <v>1.8437143055714282</v>
      </c>
      <c r="X76" s="425">
        <v>54.38714218285714</v>
      </c>
      <c r="Y76" s="425">
        <v>12.214999879999999</v>
      </c>
    </row>
    <row r="77" spans="1:25">
      <c r="P77" s="424">
        <v>22</v>
      </c>
      <c r="Q77" s="425">
        <v>12.490285737142855</v>
      </c>
      <c r="R77" s="425">
        <v>6.4215714250000007</v>
      </c>
      <c r="S77" s="425">
        <v>81.718714031428576</v>
      </c>
      <c r="T77" s="425">
        <v>42.928571428571431</v>
      </c>
      <c r="U77" s="425">
        <v>11.897571562857141</v>
      </c>
      <c r="V77" s="425">
        <v>10.57333578442857</v>
      </c>
      <c r="W77" s="425">
        <v>1.8770000252857142</v>
      </c>
      <c r="X77" s="425">
        <v>48.837857382857138</v>
      </c>
      <c r="Y77" s="425">
        <v>10.894571441428569</v>
      </c>
    </row>
    <row r="78" spans="1:25">
      <c r="P78" s="424">
        <v>23</v>
      </c>
      <c r="Q78" s="425">
        <v>12.278000014285713</v>
      </c>
      <c r="R78" s="425">
        <v>5.5577142921428564</v>
      </c>
      <c r="S78" s="425">
        <v>83.760285512857152</v>
      </c>
      <c r="T78" s="425">
        <v>67.797571451428567</v>
      </c>
      <c r="U78" s="425">
        <v>15.801714215714284</v>
      </c>
      <c r="V78" s="425">
        <v>11.341294289999999</v>
      </c>
      <c r="W78" s="425">
        <v>1.7928571701428571</v>
      </c>
      <c r="X78" s="425">
        <v>58.175000328571436</v>
      </c>
      <c r="Y78" s="425">
        <v>13.860571451428571</v>
      </c>
    </row>
    <row r="79" spans="1:25">
      <c r="O79" s="423">
        <v>24</v>
      </c>
      <c r="P79" s="424">
        <v>24</v>
      </c>
      <c r="Q79" s="425">
        <v>10.882714271142857</v>
      </c>
      <c r="R79" s="425">
        <v>5.3317142215714286</v>
      </c>
      <c r="S79" s="425">
        <v>82.799001421428557</v>
      </c>
      <c r="T79" s="425">
        <v>63.982142857142854</v>
      </c>
      <c r="U79" s="425">
        <v>15.595999989999999</v>
      </c>
      <c r="V79" s="425">
        <v>11.96411841142857</v>
      </c>
      <c r="W79" s="425">
        <v>2.0252857377142854</v>
      </c>
      <c r="X79" s="425">
        <v>61.988572801428582</v>
      </c>
      <c r="Y79" s="425">
        <v>13.392856871428572</v>
      </c>
    </row>
    <row r="80" spans="1:25">
      <c r="P80" s="424">
        <v>25</v>
      </c>
      <c r="Q80" s="425">
        <v>10.290999957142857</v>
      </c>
      <c r="R80" s="425">
        <v>3.7498572211428569</v>
      </c>
      <c r="S80" s="425">
        <v>74.093855721428568</v>
      </c>
      <c r="T80" s="425">
        <v>53.035571505714287</v>
      </c>
      <c r="U80" s="425">
        <v>14.135857038571428</v>
      </c>
      <c r="V80" s="425">
        <v>11.79</v>
      </c>
      <c r="W80" s="425">
        <v>2.0514285564285717</v>
      </c>
      <c r="X80" s="425">
        <v>51.970714024285719</v>
      </c>
      <c r="Y80" s="425">
        <v>10.749428476857142</v>
      </c>
    </row>
    <row r="81" spans="15:25">
      <c r="P81" s="424">
        <v>26</v>
      </c>
      <c r="Q81" s="425">
        <v>9.5591429302857147</v>
      </c>
      <c r="R81" s="425">
        <v>3.5651427677142853</v>
      </c>
      <c r="S81" s="425">
        <v>66.795142037142867</v>
      </c>
      <c r="T81" s="425">
        <v>40.369000025714286</v>
      </c>
      <c r="U81" s="425">
        <v>10.912428581428573</v>
      </c>
      <c r="V81" s="425">
        <v>10.93</v>
      </c>
      <c r="W81" s="425">
        <v>2.1038571597142854</v>
      </c>
      <c r="X81" s="425">
        <v>44.390714371428579</v>
      </c>
      <c r="Y81" s="425">
        <v>9.1145714351428584</v>
      </c>
    </row>
    <row r="82" spans="15:25">
      <c r="P82" s="424">
        <v>27</v>
      </c>
      <c r="Q82" s="425">
        <v>9.3137141635714293</v>
      </c>
      <c r="R82" s="425">
        <v>4.7600000245714282</v>
      </c>
      <c r="S82" s="425">
        <v>67.368571689999996</v>
      </c>
      <c r="T82" s="425">
        <v>33.409999999999997</v>
      </c>
      <c r="U82" s="425">
        <v>9.4035714009999989</v>
      </c>
      <c r="V82" s="425">
        <v>12.51</v>
      </c>
      <c r="W82" s="425">
        <v>2.0499999999999998</v>
      </c>
      <c r="X82" s="425">
        <v>39.173571994285716</v>
      </c>
      <c r="Y82" s="425">
        <v>7.6487142698571438</v>
      </c>
    </row>
    <row r="83" spans="15:25">
      <c r="P83" s="424">
        <v>28</v>
      </c>
      <c r="Q83" s="425">
        <v>8.7544284548571447</v>
      </c>
      <c r="R83" s="425">
        <v>2.5707143034285713</v>
      </c>
      <c r="S83" s="425">
        <v>65.073571887142847</v>
      </c>
      <c r="T83" s="425">
        <v>33.160714285714285</v>
      </c>
      <c r="U83" s="425">
        <v>9.4155716217142871</v>
      </c>
      <c r="V83" s="425">
        <v>12.3</v>
      </c>
      <c r="W83" s="425">
        <v>2.2505714212857142</v>
      </c>
      <c r="X83" s="425">
        <v>36.999285560000011</v>
      </c>
      <c r="Y83" s="425">
        <v>7.0544285774285713</v>
      </c>
    </row>
    <row r="84" spans="15:25">
      <c r="P84" s="424">
        <v>29</v>
      </c>
      <c r="Q84" s="425">
        <v>8.6149000000000004</v>
      </c>
      <c r="R84" s="425">
        <v>3.7006000000000001</v>
      </c>
      <c r="S84" s="425">
        <v>62.515714285714289</v>
      </c>
      <c r="T84" s="425">
        <v>35.738</v>
      </c>
      <c r="U84" s="425">
        <v>9.5503999999999998</v>
      </c>
      <c r="V84" s="425">
        <v>12.245714285714286</v>
      </c>
      <c r="W84" s="425">
        <v>1.9771428571428571</v>
      </c>
      <c r="X84" s="425">
        <v>38.677142857142861</v>
      </c>
      <c r="Y84" s="425">
        <v>6.3400000000000007</v>
      </c>
    </row>
    <row r="85" spans="15:25">
      <c r="P85" s="424">
        <v>30</v>
      </c>
      <c r="Q85" s="425">
        <v>8.1221428598571439</v>
      </c>
      <c r="R85" s="425">
        <v>4.9111429789999992</v>
      </c>
      <c r="S85" s="425">
        <v>57.148857115714286</v>
      </c>
      <c r="T85" s="425">
        <v>85.065429679999994</v>
      </c>
      <c r="U85" s="425">
        <v>15.534142631428571</v>
      </c>
      <c r="V85" s="425">
        <v>10.995952741142858</v>
      </c>
      <c r="W85" s="425">
        <v>2.2859999964285715</v>
      </c>
      <c r="X85" s="425">
        <v>56.166428702857139</v>
      </c>
      <c r="Y85" s="425">
        <v>9.4385714285714304</v>
      </c>
    </row>
    <row r="86" spans="15:25">
      <c r="P86" s="424">
        <v>31</v>
      </c>
      <c r="Q86" s="425">
        <v>7.5620000000000003</v>
      </c>
      <c r="R86" s="425">
        <v>3.28</v>
      </c>
      <c r="S86" s="425">
        <v>58.768000000000001</v>
      </c>
      <c r="T86" s="425">
        <v>40.375</v>
      </c>
      <c r="U86" s="425">
        <v>8.5579999999999998</v>
      </c>
      <c r="V86" s="425">
        <v>13.18</v>
      </c>
      <c r="W86" s="425">
        <v>2</v>
      </c>
      <c r="X86" s="425">
        <v>50.215000000000003</v>
      </c>
      <c r="Y86" s="425">
        <v>8.5770238095238049</v>
      </c>
    </row>
    <row r="87" spans="15:25">
      <c r="O87" s="423">
        <v>32</v>
      </c>
      <c r="P87" s="424">
        <v>32</v>
      </c>
      <c r="Q87" s="425">
        <v>8.4994284765714276</v>
      </c>
      <c r="R87" s="425">
        <v>4.8781427315714287</v>
      </c>
      <c r="S87" s="425">
        <v>54.703428540000004</v>
      </c>
      <c r="T87" s="425">
        <v>52.946428571428569</v>
      </c>
      <c r="U87" s="425">
        <v>10.739857128857144</v>
      </c>
      <c r="V87" s="425">
        <v>10.850328444285712</v>
      </c>
      <c r="W87" s="425">
        <v>2.0667142697142857</v>
      </c>
      <c r="X87" s="425">
        <v>50.460713522857141</v>
      </c>
      <c r="Y87" s="425">
        <v>9.7962856299999999</v>
      </c>
    </row>
    <row r="88" spans="15:25">
      <c r="P88" s="424">
        <v>33</v>
      </c>
      <c r="Q88" s="425">
        <v>7.8117142411428571</v>
      </c>
      <c r="R88" s="425">
        <v>4.5999999999999996</v>
      </c>
      <c r="S88" s="425">
        <v>59.066285269999995</v>
      </c>
      <c r="T88" s="425">
        <v>47.13</v>
      </c>
      <c r="U88" s="425">
        <v>9.23</v>
      </c>
      <c r="V88" s="425">
        <v>10.84</v>
      </c>
      <c r="W88" s="425">
        <v>2.0499999999999998</v>
      </c>
      <c r="X88" s="425">
        <v>44.64</v>
      </c>
      <c r="Y88" s="425">
        <v>8.7822855541428577</v>
      </c>
    </row>
    <row r="89" spans="15:25">
      <c r="P89" s="424">
        <v>34</v>
      </c>
      <c r="Q89" s="425">
        <v>6.44</v>
      </c>
      <c r="R89" s="425">
        <v>5.1568571165714285</v>
      </c>
      <c r="S89" s="425">
        <v>82.033571515714272</v>
      </c>
      <c r="T89" s="425">
        <v>63.892999920000001</v>
      </c>
      <c r="U89" s="425">
        <v>10.917285918714287</v>
      </c>
      <c r="V89" s="425">
        <v>10.534582955714285</v>
      </c>
      <c r="W89" s="425">
        <v>1.8788571358571429</v>
      </c>
      <c r="X89" s="425">
        <v>35.627857751428571</v>
      </c>
      <c r="Y89" s="425">
        <v>11.383714402571428</v>
      </c>
    </row>
    <row r="90" spans="15:25">
      <c r="P90" s="424">
        <v>35</v>
      </c>
      <c r="Q90" s="425">
        <v>7.5428571428571427</v>
      </c>
      <c r="R90" s="425">
        <v>2.15</v>
      </c>
      <c r="S90" s="425">
        <v>71.48</v>
      </c>
      <c r="T90" s="425">
        <v>45.64</v>
      </c>
      <c r="U90" s="425">
        <v>9.4700000000000006</v>
      </c>
      <c r="V90" s="425">
        <v>10.92</v>
      </c>
      <c r="W90" s="425">
        <v>1.88</v>
      </c>
      <c r="X90" s="425">
        <v>32.979999999999997</v>
      </c>
      <c r="Y90" s="425">
        <v>7.88</v>
      </c>
    </row>
    <row r="91" spans="15:25">
      <c r="P91" s="424">
        <v>36</v>
      </c>
      <c r="Q91" s="425">
        <v>7.1671427998571433</v>
      </c>
      <c r="R91" s="425">
        <v>4.8342857142857136</v>
      </c>
      <c r="S91" s="425">
        <v>63.092857142857149</v>
      </c>
      <c r="T91" s="425">
        <v>34.571428571428569</v>
      </c>
      <c r="U91" s="425">
        <v>7.5942857142857134</v>
      </c>
      <c r="V91" s="425">
        <v>11.091428571428571</v>
      </c>
      <c r="W91" s="425">
        <v>1.8442857142857143</v>
      </c>
      <c r="X91" s="425">
        <v>31.20428571428571</v>
      </c>
      <c r="Y91" s="425">
        <v>8.0857142857142854</v>
      </c>
    </row>
    <row r="92" spans="15:25">
      <c r="P92" s="424">
        <v>37</v>
      </c>
      <c r="Q92" s="425">
        <v>7.1637143408571422</v>
      </c>
      <c r="R92" s="425">
        <v>3.1535714688571423</v>
      </c>
      <c r="S92" s="425">
        <v>61.141713821428574</v>
      </c>
      <c r="T92" s="425">
        <v>28.744000025714286</v>
      </c>
      <c r="U92" s="425">
        <v>6.5637142318571433</v>
      </c>
      <c r="V92" s="425">
        <v>10.825238499999999</v>
      </c>
      <c r="W92" s="425">
        <v>1.8114285809999999</v>
      </c>
      <c r="X92" s="425">
        <v>29.614285605714283</v>
      </c>
      <c r="Y92" s="425">
        <v>8.6452856064285708</v>
      </c>
    </row>
    <row r="93" spans="15:25">
      <c r="P93" s="424">
        <v>38</v>
      </c>
      <c r="Q93" s="425">
        <v>8.31</v>
      </c>
      <c r="R93" s="425">
        <v>3.3441428289999995</v>
      </c>
      <c r="S93" s="425">
        <v>49.664428712857145</v>
      </c>
      <c r="T93" s="425">
        <v>35.571571351428574</v>
      </c>
      <c r="U93" s="425">
        <v>7.2939999444285712</v>
      </c>
      <c r="V93" s="425">
        <v>11.159824370000001</v>
      </c>
      <c r="W93" s="425">
        <v>1.8427142925714282</v>
      </c>
      <c r="X93" s="425">
        <v>30.912857054285716</v>
      </c>
      <c r="Y93" s="425">
        <v>8.6452856064285708</v>
      </c>
    </row>
    <row r="94" spans="15:25">
      <c r="P94" s="424">
        <v>39</v>
      </c>
      <c r="Q94" s="425">
        <v>7.621428489714285</v>
      </c>
      <c r="R94" s="425">
        <v>4.6500000000000004</v>
      </c>
      <c r="S94" s="425">
        <v>42.24</v>
      </c>
      <c r="T94" s="425">
        <v>39.39</v>
      </c>
      <c r="U94" s="425">
        <v>7.68</v>
      </c>
      <c r="V94" s="425">
        <v>11.33</v>
      </c>
      <c r="W94" s="425">
        <v>1.64</v>
      </c>
      <c r="X94" s="425">
        <v>37.200000000000003</v>
      </c>
      <c r="Y94" s="425">
        <v>7.4194285528571422</v>
      </c>
    </row>
    <row r="95" spans="15:25">
      <c r="O95" s="423">
        <v>40</v>
      </c>
      <c r="P95" s="424">
        <v>40</v>
      </c>
      <c r="Q95" s="425">
        <v>7.621428489714285</v>
      </c>
      <c r="R95" s="425">
        <v>5.128571373571428</v>
      </c>
      <c r="S95" s="425">
        <v>38.906285422857138</v>
      </c>
      <c r="T95" s="425">
        <v>41.34000069857143</v>
      </c>
      <c r="U95" s="425">
        <v>9.112857137571428</v>
      </c>
      <c r="V95" s="425">
        <v>11.565001485714285</v>
      </c>
      <c r="W95" s="425">
        <v>1.8221428395714285</v>
      </c>
      <c r="X95" s="425">
        <v>42.197143011428572</v>
      </c>
      <c r="Y95" s="425">
        <v>9.6005713597142837</v>
      </c>
    </row>
    <row r="96" spans="15:25">
      <c r="P96" s="424">
        <v>41</v>
      </c>
      <c r="Q96" s="425">
        <v>7.2698572022574259</v>
      </c>
      <c r="R96" s="425">
        <v>4.8594285079410948</v>
      </c>
      <c r="S96" s="425">
        <v>42.923713956560341</v>
      </c>
      <c r="T96" s="425">
        <v>56.607142857142847</v>
      </c>
      <c r="U96" s="425">
        <v>11.170142854962995</v>
      </c>
      <c r="V96" s="425">
        <v>12.740178653172041</v>
      </c>
      <c r="W96" s="425">
        <v>1.7041428429739784</v>
      </c>
      <c r="X96" s="425">
        <v>49.475714547293492</v>
      </c>
      <c r="Y96" s="425">
        <v>10.943285942077617</v>
      </c>
    </row>
    <row r="97" spans="14:25">
      <c r="P97" s="424">
        <v>42</v>
      </c>
      <c r="Q97" s="425">
        <v>6.2732856614249064</v>
      </c>
      <c r="R97" s="425">
        <v>4.00314286776951</v>
      </c>
      <c r="S97" s="425">
        <v>73.976001194545148</v>
      </c>
      <c r="T97" s="425">
        <v>89.232285635811792</v>
      </c>
      <c r="U97" s="425">
        <v>19.282285690307582</v>
      </c>
      <c r="V97" s="425">
        <v>11.792381422860229</v>
      </c>
      <c r="W97" s="425">
        <v>1.5524285691124997</v>
      </c>
      <c r="X97" s="425">
        <v>72.350713457379968</v>
      </c>
      <c r="Y97" s="425">
        <v>17.972571236746628</v>
      </c>
    </row>
    <row r="98" spans="14:25">
      <c r="P98" s="424">
        <v>43</v>
      </c>
      <c r="Q98" s="425">
        <v>8.3208571161542526</v>
      </c>
      <c r="R98" s="425">
        <v>6.0481427737644662</v>
      </c>
      <c r="S98" s="425">
        <v>97.234427315848038</v>
      </c>
      <c r="T98" s="425">
        <v>125.70828465052978</v>
      </c>
      <c r="U98" s="425">
        <v>26.382142475673081</v>
      </c>
      <c r="V98" s="425">
        <v>12.0416071755545</v>
      </c>
      <c r="W98" s="425">
        <v>1.585428544453207</v>
      </c>
      <c r="X98" s="425">
        <v>82.484284537179079</v>
      </c>
      <c r="Y98" s="425">
        <v>19.552571432931028</v>
      </c>
    </row>
    <row r="99" spans="14:25">
      <c r="P99" s="424">
        <v>44</v>
      </c>
      <c r="Q99" s="425">
        <v>9.2941429947142868</v>
      </c>
      <c r="R99" s="425">
        <v>7.6531428608571428</v>
      </c>
      <c r="S99" s="425">
        <v>120.62971387142855</v>
      </c>
      <c r="T99" s="425">
        <v>157.60714285714286</v>
      </c>
      <c r="U99" s="425">
        <v>33.364427840000005</v>
      </c>
      <c r="V99" s="425">
        <v>12.188929967142856</v>
      </c>
      <c r="W99" s="425">
        <v>1.6864285471428571</v>
      </c>
      <c r="X99" s="425">
        <v>110.40928649571428</v>
      </c>
      <c r="Y99" s="425">
        <v>33.081571032857141</v>
      </c>
    </row>
    <row r="100" spans="14:25">
      <c r="P100" s="424">
        <v>45</v>
      </c>
      <c r="Q100" s="425">
        <v>8.6642857274285721</v>
      </c>
      <c r="R100" s="425">
        <v>4.2061428341428568</v>
      </c>
      <c r="S100" s="425">
        <v>125.43157086857143</v>
      </c>
      <c r="T100" s="425">
        <v>105.63685608857143</v>
      </c>
      <c r="U100" s="425">
        <v>18.735571588571428</v>
      </c>
      <c r="V100" s="425">
        <v>13</v>
      </c>
      <c r="W100" s="425">
        <v>1.7397142818571427</v>
      </c>
      <c r="X100" s="425">
        <v>114.14357212285714</v>
      </c>
      <c r="Y100" s="425">
        <v>39.80185754</v>
      </c>
    </row>
    <row r="101" spans="14:25">
      <c r="P101" s="424">
        <v>46</v>
      </c>
      <c r="Q101" s="425">
        <v>8.5371428571428574</v>
      </c>
      <c r="R101" s="425">
        <v>5.9</v>
      </c>
      <c r="S101" s="425">
        <v>78.757142857142853</v>
      </c>
      <c r="T101" s="425">
        <v>79.304285714285712</v>
      </c>
      <c r="U101" s="425">
        <v>13.16</v>
      </c>
      <c r="V101" s="425">
        <v>13.001428571428571</v>
      </c>
      <c r="W101" s="425">
        <v>1.5</v>
      </c>
      <c r="X101" s="425">
        <v>93.457142857142841</v>
      </c>
      <c r="Y101" s="425">
        <v>37.212857142857146</v>
      </c>
    </row>
    <row r="102" spans="14:25">
      <c r="P102" s="424">
        <v>47</v>
      </c>
      <c r="Q102" s="425">
        <v>9.0094285692857135</v>
      </c>
      <c r="R102" s="425">
        <v>7.1015714912857133</v>
      </c>
      <c r="S102" s="425">
        <v>88.111712864285735</v>
      </c>
      <c r="T102" s="425">
        <v>74.684428622857141</v>
      </c>
      <c r="U102" s="425">
        <v>13.483142988571428</v>
      </c>
      <c r="V102" s="425">
        <v>12.142405645714286</v>
      </c>
      <c r="W102" s="425">
        <v>1.5</v>
      </c>
      <c r="X102" s="425">
        <v>104.10500007571429</v>
      </c>
      <c r="Y102" s="425">
        <v>35.055428368571434</v>
      </c>
    </row>
    <row r="103" spans="14:25">
      <c r="O103" s="423">
        <v>48</v>
      </c>
      <c r="P103" s="424">
        <v>48</v>
      </c>
      <c r="Q103" s="425">
        <v>8.5042856081428582</v>
      </c>
      <c r="R103" s="425">
        <v>4.3617142950000005</v>
      </c>
      <c r="S103" s="425">
        <v>80.151286534285717</v>
      </c>
      <c r="T103" s="425">
        <v>95.303570342857142</v>
      </c>
      <c r="U103" s="425">
        <v>12.543571337142859</v>
      </c>
      <c r="V103" s="425">
        <v>11.975262778571429</v>
      </c>
      <c r="W103" s="425">
        <v>1.5</v>
      </c>
      <c r="X103" s="425">
        <v>91.569999695714287</v>
      </c>
      <c r="Y103" s="425">
        <v>28.370000294285713</v>
      </c>
    </row>
    <row r="104" spans="14:25">
      <c r="P104" s="424">
        <v>49</v>
      </c>
      <c r="Q104" s="425">
        <v>8.27</v>
      </c>
      <c r="R104" s="425">
        <v>6.9099999999999993</v>
      </c>
      <c r="S104" s="425">
        <v>66.555714285714288</v>
      </c>
      <c r="T104" s="425">
        <v>54.31</v>
      </c>
      <c r="U104" s="425">
        <v>8.99</v>
      </c>
      <c r="V104" s="425">
        <v>12.26</v>
      </c>
      <c r="W104" s="425">
        <v>1.5</v>
      </c>
      <c r="X104" s="425">
        <v>62.974285714285706</v>
      </c>
      <c r="Y104" s="425">
        <v>22.919999999999998</v>
      </c>
    </row>
    <row r="105" spans="14:25">
      <c r="P105" s="424">
        <v>50</v>
      </c>
      <c r="Q105" s="425">
        <v>8.1765714374285707</v>
      </c>
      <c r="R105" s="425">
        <v>6.5639999597142857</v>
      </c>
      <c r="S105" s="425">
        <v>61.602715082857152</v>
      </c>
      <c r="T105" s="425">
        <v>52.47614288285714</v>
      </c>
      <c r="U105" s="425">
        <v>10.909571511285714</v>
      </c>
      <c r="V105" s="425">
        <v>13.001428604285715</v>
      </c>
      <c r="W105" s="425">
        <v>1.457142846857143</v>
      </c>
      <c r="X105" s="425">
        <v>52.244286674285718</v>
      </c>
      <c r="Y105" s="425">
        <v>17.695714271428571</v>
      </c>
    </row>
    <row r="106" spans="14:25">
      <c r="P106" s="424">
        <v>51</v>
      </c>
      <c r="Q106" s="425">
        <v>10.342857142857142</v>
      </c>
      <c r="R106" s="425">
        <v>7.3285714285714283</v>
      </c>
      <c r="S106" s="425">
        <v>53.9</v>
      </c>
      <c r="T106" s="425">
        <v>126.14285714285714</v>
      </c>
      <c r="U106" s="425">
        <v>16.8</v>
      </c>
      <c r="V106" s="425">
        <v>12.257142857142856</v>
      </c>
      <c r="W106" s="425">
        <v>1.3857142857142859</v>
      </c>
      <c r="X106" s="425">
        <v>86.528571428571439</v>
      </c>
      <c r="Y106" s="425">
        <v>33.51428571428572</v>
      </c>
    </row>
    <row r="107" spans="14:25">
      <c r="O107" s="423">
        <v>52</v>
      </c>
      <c r="P107" s="424">
        <v>52</v>
      </c>
      <c r="Q107" s="425">
        <v>10.661999840142856</v>
      </c>
      <c r="R107" s="425">
        <v>7.4820000789999996</v>
      </c>
      <c r="S107" s="425">
        <v>57.504999978571433</v>
      </c>
      <c r="T107" s="425">
        <v>100.38085719714286</v>
      </c>
      <c r="U107" s="425">
        <v>16.435142652857145</v>
      </c>
      <c r="V107" s="425">
        <v>12.222315514285714</v>
      </c>
      <c r="W107" s="425">
        <v>1.2999999520000001</v>
      </c>
      <c r="X107" s="425">
        <v>103.53357153142858</v>
      </c>
      <c r="Y107" s="425">
        <v>52.753143308571431</v>
      </c>
    </row>
    <row r="108" spans="14:25">
      <c r="N108" s="423">
        <v>2019</v>
      </c>
      <c r="O108" s="423">
        <v>1</v>
      </c>
      <c r="P108" s="424">
        <v>1</v>
      </c>
      <c r="Q108" s="425">
        <v>8.992857251428573</v>
      </c>
      <c r="R108" s="425">
        <v>4.4642857141428571</v>
      </c>
      <c r="S108" s="425">
        <v>57.514999934285704</v>
      </c>
      <c r="T108" s="425">
        <v>79.871427261428579</v>
      </c>
      <c r="U108" s="425">
        <v>13.115714484285716</v>
      </c>
      <c r="V108" s="425">
        <v>11.571904317142856</v>
      </c>
      <c r="W108" s="425">
        <v>1.2999999520000001</v>
      </c>
      <c r="X108" s="425">
        <v>121.75642612857142</v>
      </c>
      <c r="Y108" s="425">
        <v>64.398429325714275</v>
      </c>
    </row>
    <row r="109" spans="14:25">
      <c r="P109" s="424">
        <v>2</v>
      </c>
      <c r="Q109" s="425">
        <v>7.4904285157142843</v>
      </c>
      <c r="R109" s="425">
        <v>3.3685714177142856</v>
      </c>
      <c r="S109" s="425">
        <v>63.363856724285711</v>
      </c>
      <c r="T109" s="425">
        <v>84.184571402857145</v>
      </c>
      <c r="U109" s="425">
        <v>16.11014284285714</v>
      </c>
      <c r="V109" s="425">
        <v>11.570298602857141</v>
      </c>
      <c r="W109" s="425">
        <v>1.2999999520000001</v>
      </c>
      <c r="X109" s="425">
        <v>180.32999965714288</v>
      </c>
      <c r="Y109" s="425">
        <v>70.997858864285703</v>
      </c>
    </row>
    <row r="110" spans="14:25">
      <c r="P110" s="424">
        <v>3</v>
      </c>
      <c r="Q110" s="425">
        <v>14.36</v>
      </c>
      <c r="R110" s="425">
        <v>10.74</v>
      </c>
      <c r="S110" s="425">
        <v>80.75</v>
      </c>
      <c r="T110" s="425">
        <v>149.30000000000001</v>
      </c>
      <c r="U110" s="425">
        <v>29.23</v>
      </c>
      <c r="V110" s="425">
        <v>11.28</v>
      </c>
      <c r="W110" s="425">
        <v>1.33</v>
      </c>
      <c r="X110" s="425">
        <v>167.22</v>
      </c>
      <c r="Y110" s="425">
        <v>68.83</v>
      </c>
    </row>
    <row r="111" spans="14:25">
      <c r="P111" s="424">
        <v>4</v>
      </c>
      <c r="Q111" s="425">
        <v>17.131428719999999</v>
      </c>
      <c r="R111" s="425">
        <v>11.155714580142858</v>
      </c>
      <c r="S111" s="425">
        <v>85.689570837142853</v>
      </c>
      <c r="T111" s="425">
        <v>168.80999974285714</v>
      </c>
      <c r="U111" s="425">
        <v>36.200000218571425</v>
      </c>
      <c r="V111" s="425">
        <v>11.843988554285716</v>
      </c>
      <c r="W111" s="425">
        <v>3.0287143159999999</v>
      </c>
      <c r="X111" s="425">
        <v>185.51500375714286</v>
      </c>
      <c r="Y111" s="425">
        <v>70.089428494285713</v>
      </c>
    </row>
    <row r="112" spans="14:25">
      <c r="P112" s="424">
        <v>5</v>
      </c>
      <c r="Q112" s="425">
        <v>30.592286245714288</v>
      </c>
      <c r="R112" s="425">
        <v>16.463000024285716</v>
      </c>
      <c r="S112" s="425">
        <v>416.48700821428571</v>
      </c>
      <c r="T112" s="425">
        <v>195.24999782857142</v>
      </c>
      <c r="U112" s="425">
        <v>36.703999928571427</v>
      </c>
      <c r="V112" s="425">
        <v>12.496724401428571</v>
      </c>
      <c r="W112" s="425">
        <v>6.6928571292857146</v>
      </c>
      <c r="X112" s="425">
        <v>199.03571430000002</v>
      </c>
      <c r="Y112" s="425">
        <v>74.655428748571438</v>
      </c>
    </row>
    <row r="113" spans="15:25">
      <c r="P113" s="424">
        <v>6</v>
      </c>
      <c r="Q113" s="425">
        <v>20.372857142857146</v>
      </c>
      <c r="R113" s="425">
        <v>17.05857142857143</v>
      </c>
      <c r="S113" s="425">
        <v>426.67142857142863</v>
      </c>
      <c r="T113" s="425">
        <v>265.28000000000003</v>
      </c>
      <c r="U113" s="425">
        <v>51.29</v>
      </c>
      <c r="V113" s="425">
        <v>12.744285714285715</v>
      </c>
      <c r="W113" s="425">
        <v>14.464285714285714</v>
      </c>
      <c r="X113" s="425">
        <v>338.89857142857142</v>
      </c>
      <c r="Y113" s="425">
        <v>117.82857142857142</v>
      </c>
    </row>
    <row r="114" spans="15:25">
      <c r="P114" s="424">
        <v>7</v>
      </c>
      <c r="Q114" s="425">
        <v>28.837571554285717</v>
      </c>
      <c r="R114" s="425">
        <v>18.065285818571429</v>
      </c>
      <c r="S114" s="425">
        <v>581.62514822857145</v>
      </c>
      <c r="T114" s="425">
        <v>230.7322888857143</v>
      </c>
      <c r="U114" s="425">
        <v>46.224000658571427</v>
      </c>
      <c r="V114" s="425">
        <v>23.841369902857146</v>
      </c>
      <c r="W114" s="425">
        <v>21.059571402857141</v>
      </c>
      <c r="X114" s="425">
        <v>288.0957205571429</v>
      </c>
      <c r="Y114" s="425">
        <v>118.07871352857144</v>
      </c>
    </row>
    <row r="115" spans="15:25">
      <c r="O115" s="423">
        <v>8</v>
      </c>
      <c r="P115" s="424">
        <v>8</v>
      </c>
      <c r="Q115" s="425">
        <v>20.077857700000003</v>
      </c>
      <c r="R115" s="425">
        <v>14.531571660571432</v>
      </c>
      <c r="S115" s="425">
        <v>439.74099729999995</v>
      </c>
      <c r="T115" s="425">
        <v>219.37485614285717</v>
      </c>
      <c r="U115" s="425">
        <v>42.94585745571429</v>
      </c>
      <c r="V115" s="425">
        <v>23.894881112857146</v>
      </c>
      <c r="W115" s="425">
        <v>6.8928571428571432</v>
      </c>
      <c r="X115" s="425">
        <v>411.75142995714288</v>
      </c>
      <c r="Y115" s="425">
        <v>98.32</v>
      </c>
    </row>
    <row r="116" spans="15:25">
      <c r="P116" s="424">
        <v>9</v>
      </c>
      <c r="Q116" s="425">
        <v>26.317999977142858</v>
      </c>
      <c r="R116" s="425">
        <v>19.520428521428574</v>
      </c>
      <c r="S116" s="425">
        <v>316.26999772857147</v>
      </c>
      <c r="T116" s="425">
        <v>191.17842539999998</v>
      </c>
      <c r="U116" s="425">
        <v>34.696428571428569</v>
      </c>
      <c r="V116" s="425">
        <v>22.406962801428573</v>
      </c>
      <c r="W116" s="425">
        <v>3.3807143142857146</v>
      </c>
      <c r="X116" s="425">
        <v>249.46285358571427</v>
      </c>
      <c r="Y116" s="425">
        <v>120.90099988571428</v>
      </c>
    </row>
    <row r="117" spans="15:25">
      <c r="P117" s="424">
        <v>10</v>
      </c>
      <c r="Q117" s="425">
        <v>27.959571565714288</v>
      </c>
      <c r="R117" s="425">
        <v>20.831714628571426</v>
      </c>
      <c r="S117" s="425">
        <v>326.63642664285715</v>
      </c>
      <c r="T117" s="425">
        <v>184.08928571428572</v>
      </c>
      <c r="U117" s="425">
        <v>38.680999754285715</v>
      </c>
      <c r="V117" s="425">
        <v>23.828572680000001</v>
      </c>
      <c r="W117" s="425">
        <v>2.3840000118571427</v>
      </c>
      <c r="X117" s="425">
        <v>225.10000174285716</v>
      </c>
      <c r="Y117" s="425">
        <v>78.177285328571429</v>
      </c>
    </row>
    <row r="118" spans="15:25">
      <c r="P118" s="424">
        <v>11</v>
      </c>
      <c r="Q118" s="425">
        <v>27.959571565714288</v>
      </c>
      <c r="R118" s="425">
        <v>22.247142927987216</v>
      </c>
      <c r="S118" s="425">
        <v>416.08099801199745</v>
      </c>
      <c r="T118" s="425">
        <v>226.88085501534573</v>
      </c>
      <c r="U118" s="425">
        <v>42.633285522460888</v>
      </c>
      <c r="V118" s="425">
        <v>23.809881482805473</v>
      </c>
      <c r="W118" s="425">
        <v>1.9291428668158341</v>
      </c>
      <c r="X118" s="425">
        <v>217.45642525809117</v>
      </c>
      <c r="Y118" s="425">
        <v>44.638999938964801</v>
      </c>
    </row>
    <row r="119" spans="15:25">
      <c r="P119" s="424">
        <v>12</v>
      </c>
      <c r="Q119" s="425">
        <v>28.476714270455457</v>
      </c>
      <c r="R119" s="425">
        <v>21.707857131428572</v>
      </c>
      <c r="S119" s="425">
        <v>394.13957431428571</v>
      </c>
      <c r="T119" s="425">
        <v>203.44642857142858</v>
      </c>
      <c r="U119" s="425">
        <v>43.529285431428569</v>
      </c>
      <c r="V119" s="425">
        <v>19.572964258571432</v>
      </c>
      <c r="W119" s="425">
        <v>1.7968571012857144</v>
      </c>
      <c r="X119" s="425">
        <v>327.82142857142861</v>
      </c>
      <c r="Y119" s="425">
        <v>98.4</v>
      </c>
    </row>
    <row r="120" spans="15:25">
      <c r="P120" s="424">
        <v>13</v>
      </c>
      <c r="Q120" s="425">
        <v>24.844714028571435</v>
      </c>
      <c r="R120" s="425">
        <v>20.569142751428576</v>
      </c>
      <c r="S120" s="425">
        <v>522.42285592857138</v>
      </c>
      <c r="T120" s="425">
        <v>225.26185825714285</v>
      </c>
      <c r="U120" s="425">
        <v>57.974427901428569</v>
      </c>
      <c r="V120" s="425">
        <v>12.582738467142859</v>
      </c>
      <c r="W120" s="425">
        <v>1.6904285634285714</v>
      </c>
      <c r="X120" s="425">
        <v>339.04356602857143</v>
      </c>
      <c r="Y120" s="425">
        <v>92.103571201428579</v>
      </c>
    </row>
    <row r="121" spans="15:25">
      <c r="P121" s="424">
        <v>14</v>
      </c>
      <c r="Q121" s="425">
        <v>29.483285902857141</v>
      </c>
      <c r="R121" s="425">
        <v>18.767857142857142</v>
      </c>
      <c r="S121" s="425">
        <v>316.33943394285717</v>
      </c>
      <c r="T121" s="425">
        <v>152.47643277142856</v>
      </c>
      <c r="U121" s="425">
        <v>55.119428907142868</v>
      </c>
      <c r="V121" s="425">
        <v>21.303751674285714</v>
      </c>
      <c r="W121" s="425">
        <v>1.6808571647142858</v>
      </c>
      <c r="X121" s="425">
        <v>250.08571298571431</v>
      </c>
      <c r="Y121" s="425">
        <v>65.665856497142855</v>
      </c>
    </row>
    <row r="122" spans="15:25">
      <c r="P122" s="424">
        <v>15</v>
      </c>
      <c r="Q122" s="425">
        <v>20.040428705714284</v>
      </c>
      <c r="R122" s="425">
        <v>14.275999887714287</v>
      </c>
      <c r="S122" s="425">
        <v>168.45457024285716</v>
      </c>
      <c r="T122" s="425">
        <v>98.160714291428576</v>
      </c>
      <c r="U122" s="425">
        <v>27.713714872857139</v>
      </c>
      <c r="V122" s="425">
        <v>17.810774395714287</v>
      </c>
      <c r="W122" s="425">
        <v>1.7205714498571432</v>
      </c>
      <c r="X122" s="425">
        <v>148.48785617142858</v>
      </c>
      <c r="Y122" s="425">
        <v>49.633285522857136</v>
      </c>
    </row>
    <row r="123" spans="15:25">
      <c r="O123" s="423">
        <v>16</v>
      </c>
      <c r="P123" s="424">
        <v>16</v>
      </c>
      <c r="Q123" s="425">
        <v>16.072142737142858</v>
      </c>
      <c r="R123" s="425">
        <v>10.180143014285713</v>
      </c>
      <c r="S123" s="425">
        <v>131.80142647142856</v>
      </c>
      <c r="T123" s="425">
        <v>98.279714314285712</v>
      </c>
      <c r="U123" s="425">
        <v>22.869143077142859</v>
      </c>
      <c r="V123" s="425">
        <v>12.210951395714286</v>
      </c>
      <c r="W123" s="425">
        <v>1.789857131857143</v>
      </c>
      <c r="X123" s="425">
        <v>105.47928511571429</v>
      </c>
      <c r="Y123" s="425">
        <v>31.291000095714285</v>
      </c>
    </row>
    <row r="124" spans="15:25">
      <c r="P124" s="424">
        <v>17</v>
      </c>
      <c r="Q124" s="425">
        <v>15.383999960000001</v>
      </c>
      <c r="R124" s="425">
        <v>12.121571608857142</v>
      </c>
      <c r="S124" s="425">
        <v>143.84128789999997</v>
      </c>
      <c r="T124" s="425">
        <v>83.547571454285716</v>
      </c>
      <c r="U124" s="425">
        <v>20.273857388571425</v>
      </c>
      <c r="V124" s="425">
        <v>12.949641501428573</v>
      </c>
      <c r="W124" s="425">
        <v>1.6648571664285714</v>
      </c>
      <c r="X124" s="425">
        <v>103.81928579571429</v>
      </c>
      <c r="Y124" s="425">
        <v>25.921857015714284</v>
      </c>
    </row>
    <row r="125" spans="15:25">
      <c r="P125" s="424">
        <v>18</v>
      </c>
      <c r="Q125" s="425">
        <v>16.026142665714286</v>
      </c>
      <c r="R125" s="425">
        <v>11.996285711571428</v>
      </c>
      <c r="S125" s="425">
        <v>111.12314277285714</v>
      </c>
      <c r="T125" s="425">
        <v>74.392857142857139</v>
      </c>
      <c r="U125" s="425">
        <v>18.103142875714287</v>
      </c>
      <c r="V125" s="425">
        <v>11.493274145714285</v>
      </c>
      <c r="W125" s="425">
        <v>1.55</v>
      </c>
      <c r="X125" s="425">
        <v>91.532855442857141</v>
      </c>
      <c r="Y125" s="425">
        <v>22.190428595714284</v>
      </c>
    </row>
    <row r="126" spans="15:25">
      <c r="P126" s="424">
        <v>19</v>
      </c>
      <c r="Q126" s="425">
        <v>14.769714355714287</v>
      </c>
      <c r="R126" s="425">
        <v>10.123285769857144</v>
      </c>
      <c r="S126" s="425">
        <v>89.41828482428572</v>
      </c>
      <c r="T126" s="425">
        <v>60.613000051428571</v>
      </c>
      <c r="U126" s="425">
        <v>15.728999954285714</v>
      </c>
      <c r="V126" s="425">
        <v>10.883738517142858</v>
      </c>
      <c r="W126" s="425">
        <v>1.5914285865714286</v>
      </c>
      <c r="X126" s="425">
        <v>82.45500183</v>
      </c>
      <c r="Y126" s="425">
        <v>20.991285870000006</v>
      </c>
    </row>
    <row r="127" spans="15:25">
      <c r="P127" s="424">
        <v>20</v>
      </c>
      <c r="Q127" s="425">
        <v>13.81242861</v>
      </c>
      <c r="R127" s="425">
        <v>9.3731427190000005</v>
      </c>
      <c r="S127" s="425">
        <v>79.212427410000004</v>
      </c>
      <c r="T127" s="425">
        <v>72.321428569999995</v>
      </c>
      <c r="U127" s="425">
        <v>20.647571429999999</v>
      </c>
      <c r="V127" s="425">
        <v>11.153748650000001</v>
      </c>
      <c r="W127" s="425">
        <v>1.5371428389999999</v>
      </c>
      <c r="X127" s="425">
        <v>76.857142859999996</v>
      </c>
      <c r="Y127" s="425">
        <v>23.085714070000002</v>
      </c>
    </row>
    <row r="128" spans="15:25">
      <c r="P128" s="424">
        <v>21</v>
      </c>
      <c r="Q128" s="425">
        <v>12.849714414285714</v>
      </c>
      <c r="R128" s="425">
        <v>7.085428442285715</v>
      </c>
      <c r="S128" s="425">
        <v>62.717000688571432</v>
      </c>
      <c r="T128" s="425">
        <v>52.565571377142859</v>
      </c>
      <c r="U128" s="425">
        <v>14.46171447</v>
      </c>
      <c r="V128" s="425">
        <v>12</v>
      </c>
      <c r="W128" s="425">
        <v>1.5128571304285714</v>
      </c>
      <c r="X128" s="425">
        <v>58.057856968571436</v>
      </c>
      <c r="Y128" s="425">
        <v>17.858285902857144</v>
      </c>
    </row>
    <row r="129" spans="15:26">
      <c r="P129" s="424">
        <v>22</v>
      </c>
      <c r="Q129" s="425">
        <v>12.105428559999998</v>
      </c>
      <c r="R129" s="425">
        <v>7.3308571058571435</v>
      </c>
      <c r="S129" s="425">
        <v>41.633143151428598</v>
      </c>
      <c r="T129" s="425">
        <v>49.261999948571429</v>
      </c>
      <c r="U129" s="425">
        <v>12.621714454285712</v>
      </c>
      <c r="V129" s="425">
        <v>10.442797251571431</v>
      </c>
      <c r="W129" s="425">
        <v>1.5</v>
      </c>
      <c r="X129" s="425">
        <v>51.520714895714285</v>
      </c>
      <c r="Y129" s="425">
        <v>15.324571202857143</v>
      </c>
    </row>
    <row r="130" spans="15:26">
      <c r="P130" s="424">
        <v>23</v>
      </c>
      <c r="Q130" s="425">
        <v>11.272714207142856</v>
      </c>
      <c r="R130" s="425">
        <v>7.7242857718571427</v>
      </c>
      <c r="S130" s="425">
        <v>41.633143151428598</v>
      </c>
      <c r="T130" s="425">
        <v>40.500142779999997</v>
      </c>
      <c r="U130" s="425">
        <v>10.571857179142857</v>
      </c>
      <c r="V130" s="425">
        <v>10.979225701428572</v>
      </c>
      <c r="W130" s="425">
        <v>1.5</v>
      </c>
      <c r="X130" s="425">
        <v>46.520714351428573</v>
      </c>
      <c r="Y130" s="425">
        <v>13.868142808571431</v>
      </c>
    </row>
    <row r="131" spans="15:26">
      <c r="P131" s="424">
        <v>24</v>
      </c>
      <c r="Q131" s="425">
        <v>10.867999894285715</v>
      </c>
      <c r="R131" s="425">
        <v>8.8337143495714301</v>
      </c>
      <c r="S131" s="425">
        <v>78.434000150000003</v>
      </c>
      <c r="T131" s="425">
        <v>35.785857065714289</v>
      </c>
      <c r="U131" s="425">
        <v>9.2180000031428584</v>
      </c>
      <c r="V131" s="425">
        <v>11.096784181428571</v>
      </c>
      <c r="W131" s="425">
        <v>1.5</v>
      </c>
      <c r="X131" s="425">
        <v>42.473571777142858</v>
      </c>
      <c r="Y131" s="425">
        <v>12.512571334285715</v>
      </c>
    </row>
    <row r="132" spans="15:26">
      <c r="P132" s="424">
        <v>25</v>
      </c>
      <c r="Q132" s="425">
        <v>10.167285918857143</v>
      </c>
      <c r="R132" s="425">
        <v>7.6592858184285708</v>
      </c>
      <c r="S132" s="425">
        <v>77.872000559999989</v>
      </c>
      <c r="T132" s="425">
        <v>33.357000077142857</v>
      </c>
      <c r="U132" s="425">
        <v>8.9321429390000002</v>
      </c>
      <c r="V132" s="425">
        <v>10.461965969999998</v>
      </c>
      <c r="W132" s="425">
        <v>1.5</v>
      </c>
      <c r="X132" s="425">
        <v>43.729285104285715</v>
      </c>
      <c r="Y132" s="425">
        <v>11.450428658571429</v>
      </c>
    </row>
    <row r="133" spans="15:26">
      <c r="O133" s="423">
        <v>26</v>
      </c>
      <c r="P133" s="424">
        <v>26</v>
      </c>
      <c r="Q133" s="425">
        <v>9.3535717554285718</v>
      </c>
      <c r="R133" s="425">
        <v>6.2751428064285708</v>
      </c>
      <c r="S133" s="425">
        <v>76.447856358571428</v>
      </c>
      <c r="T133" s="425">
        <v>29.154571531428569</v>
      </c>
      <c r="U133" s="425">
        <v>8.3007144928571428</v>
      </c>
      <c r="V133" s="425">
        <v>11.259941372857144</v>
      </c>
      <c r="W133" s="425">
        <v>1.5</v>
      </c>
      <c r="X133" s="425">
        <v>44.616428919999997</v>
      </c>
      <c r="Y133" s="425">
        <v>9.6660000944285702</v>
      </c>
    </row>
    <row r="134" spans="15:26">
      <c r="P134" s="424">
        <v>27</v>
      </c>
      <c r="Q134" s="425">
        <v>8.86</v>
      </c>
      <c r="R134" s="425">
        <v>7.15</v>
      </c>
      <c r="S134" s="425">
        <v>77.430000000000007</v>
      </c>
      <c r="T134" s="425">
        <v>30.35</v>
      </c>
      <c r="U134" s="425">
        <v>8.59</v>
      </c>
      <c r="V134" s="425">
        <v>10.758154460361988</v>
      </c>
      <c r="W134" s="425">
        <v>1.59</v>
      </c>
      <c r="X134" s="425">
        <v>43.84</v>
      </c>
      <c r="Y134" s="425">
        <v>8.27</v>
      </c>
    </row>
    <row r="135" spans="15:26">
      <c r="P135" s="424">
        <v>28</v>
      </c>
      <c r="Q135" s="425">
        <v>8.9135712215714289</v>
      </c>
      <c r="R135" s="425">
        <v>5.7058570728571425</v>
      </c>
      <c r="S135" s="425">
        <v>76.24514443428572</v>
      </c>
      <c r="T135" s="425">
        <v>27.702285765714286</v>
      </c>
      <c r="U135" s="425">
        <v>7.8261427880000003</v>
      </c>
      <c r="V135" s="425">
        <v>11.139168601428571</v>
      </c>
      <c r="W135" s="425">
        <v>1.6000000240000001</v>
      </c>
      <c r="X135" s="425">
        <v>39.995714458571435</v>
      </c>
      <c r="Y135" s="425">
        <v>7.4899999752857136</v>
      </c>
    </row>
    <row r="136" spans="15:26">
      <c r="P136" s="424">
        <v>29</v>
      </c>
      <c r="Q136" s="425">
        <v>9.1244284766060932</v>
      </c>
      <c r="R136" s="425">
        <v>6.4564285959516052</v>
      </c>
      <c r="S136" s="425">
        <v>66.31271307809007</v>
      </c>
      <c r="T136" s="425">
        <v>29.940428597586454</v>
      </c>
      <c r="U136" s="425">
        <v>7.6488569804600273</v>
      </c>
      <c r="V136" s="425">
        <v>10.810358456202879</v>
      </c>
      <c r="W136" s="425">
        <v>1.6000000238418504</v>
      </c>
      <c r="X136" s="425">
        <v>42.704285757882197</v>
      </c>
      <c r="Y136" s="425">
        <v>6.46428571428571</v>
      </c>
    </row>
    <row r="137" spans="15:26">
      <c r="P137" s="424">
        <v>30</v>
      </c>
      <c r="Q137" s="425">
        <v>8.5528571428571407</v>
      </c>
      <c r="R137" s="425">
        <v>4.6828571428571433</v>
      </c>
      <c r="S137" s="425">
        <v>72.048571428571435</v>
      </c>
      <c r="T137" s="425">
        <v>36.729999999999997</v>
      </c>
      <c r="U137" s="425">
        <v>8.18</v>
      </c>
      <c r="V137" s="425">
        <v>12.61</v>
      </c>
      <c r="W137" s="425">
        <v>1.6285714285714283</v>
      </c>
      <c r="X137" s="425">
        <v>44.611428571428576</v>
      </c>
      <c r="Y137" s="425">
        <v>8.2285714285714295</v>
      </c>
    </row>
    <row r="138" spans="15:26">
      <c r="P138" s="424">
        <v>31</v>
      </c>
      <c r="Q138" s="425">
        <v>8.6655714172857152</v>
      </c>
      <c r="R138" s="425">
        <v>6.0697142064285714</v>
      </c>
      <c r="S138" s="425">
        <v>71.543143134285714</v>
      </c>
      <c r="T138" s="425">
        <v>31.720428468571431</v>
      </c>
      <c r="U138" s="425">
        <v>7.0618571554285712</v>
      </c>
      <c r="V138" s="425">
        <v>12.322975702857141</v>
      </c>
      <c r="W138" s="425">
        <v>1.7000000479999999</v>
      </c>
      <c r="X138" s="425">
        <v>43.444999694285706</v>
      </c>
      <c r="Y138" s="425">
        <v>6.7562857354285706</v>
      </c>
    </row>
    <row r="139" spans="15:26">
      <c r="P139" s="424">
        <v>32</v>
      </c>
      <c r="Q139" s="425">
        <v>8.8231430052857132</v>
      </c>
      <c r="R139" s="425">
        <v>7.5088570807142858</v>
      </c>
      <c r="S139" s="425">
        <v>73.754999434285722</v>
      </c>
      <c r="T139" s="425">
        <v>23.255857194285714</v>
      </c>
      <c r="U139" s="425">
        <v>6.2595714159999991</v>
      </c>
      <c r="V139" s="425">
        <v>12.551451548571427</v>
      </c>
      <c r="W139" s="425">
        <v>1.7214285988571427</v>
      </c>
      <c r="X139" s="425">
        <v>38.432857512857147</v>
      </c>
      <c r="Y139" s="425">
        <v>6.4201429230000002</v>
      </c>
    </row>
    <row r="140" spans="15:26">
      <c r="P140" s="424">
        <v>33</v>
      </c>
      <c r="Q140" s="425">
        <v>7.5077142715714285</v>
      </c>
      <c r="R140" s="425">
        <v>3.2121428764285715</v>
      </c>
      <c r="S140" s="425">
        <v>68.878572191428574</v>
      </c>
      <c r="T140" s="425">
        <v>21.297428674285715</v>
      </c>
      <c r="U140" s="425">
        <v>6.3691428730000004</v>
      </c>
      <c r="V140" s="425">
        <v>12.137084417142857</v>
      </c>
      <c r="W140" s="425">
        <v>1.7482857022857143</v>
      </c>
      <c r="X140" s="425">
        <v>36.690713608571421</v>
      </c>
      <c r="Y140" s="425">
        <v>4.7154285567142855</v>
      </c>
    </row>
    <row r="141" spans="15:26">
      <c r="P141" s="424">
        <v>34</v>
      </c>
      <c r="Q141" s="425">
        <v>7.6147142817142859</v>
      </c>
      <c r="R141" s="425">
        <v>3.3949999810000002</v>
      </c>
      <c r="S141" s="425">
        <v>65.663999831428569</v>
      </c>
      <c r="T141" s="425">
        <v>20.922428674285715</v>
      </c>
      <c r="U141" s="425">
        <v>6.115428584</v>
      </c>
      <c r="V141" s="425">
        <v>12.034524235714285</v>
      </c>
      <c r="W141" s="425">
        <v>1.7482857022857143</v>
      </c>
      <c r="X141" s="425">
        <v>34.872856138571429</v>
      </c>
      <c r="Y141" s="425">
        <v>5.7421428814285713</v>
      </c>
    </row>
    <row r="142" spans="15:26">
      <c r="P142" s="424">
        <v>35</v>
      </c>
      <c r="Q142" s="425">
        <v>8.7815715245714294</v>
      </c>
      <c r="R142" s="425">
        <v>7.1025714534285722</v>
      </c>
      <c r="S142" s="425">
        <v>65.224427905714279</v>
      </c>
      <c r="T142" s="425">
        <v>19.458285740000001</v>
      </c>
      <c r="U142" s="425">
        <v>6.3137143680000003</v>
      </c>
      <c r="V142" s="425">
        <v>12.041607177142856</v>
      </c>
      <c r="W142" s="425">
        <v>1.75</v>
      </c>
      <c r="X142" s="425">
        <v>34.16142872428572</v>
      </c>
      <c r="Y142" s="425">
        <v>6.5945714541428577</v>
      </c>
    </row>
    <row r="143" spans="15:26">
      <c r="O143" s="423">
        <v>36</v>
      </c>
      <c r="P143" s="424">
        <v>36</v>
      </c>
      <c r="Q143" s="425">
        <v>8.2851428302857144</v>
      </c>
      <c r="R143" s="425">
        <v>6.7619999824285708</v>
      </c>
      <c r="S143" s="425">
        <v>60.719142914285719</v>
      </c>
      <c r="T143" s="425">
        <v>25.369000025714286</v>
      </c>
      <c r="U143" s="425">
        <v>5.8737142427142857</v>
      </c>
      <c r="V143" s="425">
        <v>12.055594308571429</v>
      </c>
      <c r="W143" s="425">
        <v>1.6425714154285713</v>
      </c>
      <c r="X143" s="425">
        <v>35.968571799999999</v>
      </c>
      <c r="Y143" s="425">
        <v>4.9847143037142851</v>
      </c>
      <c r="Z143" s="452"/>
    </row>
    <row r="144" spans="15:26">
      <c r="P144" s="424">
        <v>37</v>
      </c>
      <c r="Q144" s="425">
        <v>7.6475714954285712</v>
      </c>
      <c r="R144" s="425">
        <v>6.5272856442857137</v>
      </c>
      <c r="S144" s="425">
        <v>62.679428645714289</v>
      </c>
      <c r="T144" s="425">
        <v>28.136857168571428</v>
      </c>
      <c r="U144" s="425">
        <v>6.1154285838571436</v>
      </c>
      <c r="V144" s="425">
        <v>12.130952835714286</v>
      </c>
      <c r="W144" s="425">
        <v>1.6457142658571429</v>
      </c>
      <c r="X144" s="425">
        <v>34.324999674285714</v>
      </c>
      <c r="Y144" s="425">
        <v>5.502714293285714</v>
      </c>
    </row>
    <row r="145" spans="15:25">
      <c r="P145" s="424">
        <v>38</v>
      </c>
      <c r="Q145" s="425">
        <v>7.6971428571428575</v>
      </c>
      <c r="R145" s="425">
        <v>5.444285714285714</v>
      </c>
      <c r="S145" s="425">
        <v>65.47</v>
      </c>
      <c r="T145" s="425">
        <v>29.351428571428567</v>
      </c>
      <c r="U145" s="425">
        <v>6.8328571428571419</v>
      </c>
      <c r="V145" s="425">
        <v>12.194285714285716</v>
      </c>
      <c r="W145" s="425">
        <v>1.6014285714285712</v>
      </c>
      <c r="X145" s="425">
        <v>33.131428571428572</v>
      </c>
      <c r="Y145" s="425">
        <v>6.8414285714285716</v>
      </c>
    </row>
    <row r="146" spans="15:25">
      <c r="P146" s="424">
        <v>39</v>
      </c>
      <c r="Q146" s="425">
        <v>7.6702859061104887</v>
      </c>
      <c r="R146" s="425">
        <v>5.896142857415323</v>
      </c>
      <c r="S146" s="425">
        <v>72.930715288434641</v>
      </c>
      <c r="T146" s="425">
        <v>26.470285688127774</v>
      </c>
      <c r="U146" s="425">
        <v>9.2337144442966927</v>
      </c>
      <c r="V146" s="425">
        <v>12.167024339948341</v>
      </c>
      <c r="W146" s="425">
        <v>1.4285714115415273</v>
      </c>
      <c r="X146" s="425">
        <v>32.532142911638481</v>
      </c>
      <c r="Y146" s="425">
        <v>5.5879999569484111</v>
      </c>
    </row>
    <row r="147" spans="15:25">
      <c r="P147" s="424">
        <v>40</v>
      </c>
      <c r="Q147" s="425">
        <v>6.5494285314285721</v>
      </c>
      <c r="R147" s="425">
        <v>3.8238571030000004</v>
      </c>
      <c r="S147" s="425">
        <v>70.661287578571418</v>
      </c>
      <c r="T147" s="425">
        <v>28.190571377142856</v>
      </c>
      <c r="U147" s="425">
        <v>9.6928569934285722</v>
      </c>
      <c r="V147" s="425">
        <v>12.594642775714282</v>
      </c>
      <c r="W147" s="425">
        <v>1.3999999759999999</v>
      </c>
      <c r="X147" s="425">
        <v>36.384999957142853</v>
      </c>
      <c r="Y147" s="425">
        <v>8.0550000327142861</v>
      </c>
    </row>
    <row r="148" spans="15:25">
      <c r="P148" s="424">
        <v>41</v>
      </c>
      <c r="Q148" s="425">
        <v>8.096428529999999</v>
      </c>
      <c r="R148" s="425">
        <v>4.0404286040000006</v>
      </c>
      <c r="S148" s="425">
        <v>65.047571455714291</v>
      </c>
      <c r="T148" s="425">
        <v>47.010571615714284</v>
      </c>
      <c r="U148" s="425">
        <v>10.709857054714286</v>
      </c>
      <c r="V148" s="425">
        <v>13.274107117142858</v>
      </c>
      <c r="W148" s="425">
        <v>1.3785714251428571</v>
      </c>
      <c r="X148" s="425">
        <v>40.987143380000006</v>
      </c>
      <c r="Y148" s="425">
        <v>6.9969999451428562</v>
      </c>
    </row>
    <row r="149" spans="15:25">
      <c r="P149" s="424">
        <v>42</v>
      </c>
      <c r="Q149" s="425">
        <v>7.4685714285714289</v>
      </c>
      <c r="R149" s="425">
        <v>4.8257142857142856</v>
      </c>
      <c r="S149" s="425">
        <v>67.597142857142856</v>
      </c>
      <c r="T149" s="425">
        <v>47.291428571428575</v>
      </c>
      <c r="U149" s="425">
        <v>8.5642857142857132</v>
      </c>
      <c r="V149" s="425">
        <v>13.001428571428571</v>
      </c>
      <c r="W149" s="425">
        <v>1.3499999999999999</v>
      </c>
      <c r="X149" s="425">
        <v>37.554285714285712</v>
      </c>
      <c r="Y149" s="425">
        <v>6.2985714285714289</v>
      </c>
    </row>
    <row r="150" spans="15:25">
      <c r="P150" s="424">
        <v>43</v>
      </c>
      <c r="Q150" s="425">
        <v>8.9041427881428579</v>
      </c>
      <c r="R150" s="425">
        <v>7.354714223857143</v>
      </c>
      <c r="S150" s="425">
        <v>80.445570807142857</v>
      </c>
      <c r="T150" s="425">
        <v>71.934570317142857</v>
      </c>
      <c r="U150" s="425">
        <v>12.279142925142859</v>
      </c>
      <c r="V150" s="425">
        <v>13.139822822857143</v>
      </c>
      <c r="W150" s="425">
        <v>1.2642857177142857</v>
      </c>
      <c r="X150" s="425">
        <v>52.87071446142857</v>
      </c>
      <c r="Y150" s="425">
        <v>11.989999907285712</v>
      </c>
    </row>
    <row r="151" spans="15:25">
      <c r="O151" s="423">
        <v>44</v>
      </c>
      <c r="P151" s="424">
        <v>44</v>
      </c>
      <c r="Q151" s="425">
        <v>7.8245713370000001</v>
      </c>
      <c r="R151" s="425">
        <v>6.0929999348571409</v>
      </c>
      <c r="S151" s="425">
        <v>68.079284669999993</v>
      </c>
      <c r="T151" s="425">
        <v>33.011999948571429</v>
      </c>
      <c r="U151" s="425">
        <v>8.685571329857142</v>
      </c>
      <c r="V151" s="425">
        <v>13.275356975714287</v>
      </c>
      <c r="W151" s="425">
        <v>1.1857142621428574</v>
      </c>
      <c r="X151" s="425">
        <v>36.208572388571426</v>
      </c>
      <c r="Y151" s="425">
        <v>7.9394285338571438</v>
      </c>
    </row>
    <row r="152" spans="15:25">
      <c r="P152" s="424">
        <v>45</v>
      </c>
      <c r="Q152" s="425">
        <v>9.4607142031428566</v>
      </c>
      <c r="R152" s="425">
        <v>6.8107141777142859</v>
      </c>
      <c r="S152" s="425">
        <v>71.555715832857132</v>
      </c>
      <c r="T152" s="425">
        <v>77.119000028571435</v>
      </c>
      <c r="U152" s="425">
        <v>11.169571467285715</v>
      </c>
      <c r="V152" s="425">
        <v>14</v>
      </c>
      <c r="W152" s="425">
        <v>1.1200000049999999</v>
      </c>
      <c r="X152" s="425">
        <v>61.867856707142856</v>
      </c>
      <c r="Y152" s="425">
        <v>10.621285710571428</v>
      </c>
    </row>
    <row r="153" spans="15:25">
      <c r="P153" s="424">
        <v>46</v>
      </c>
      <c r="Q153" s="425">
        <v>9.3077141910000005</v>
      </c>
      <c r="R153" s="425">
        <v>7.0327142307142854</v>
      </c>
      <c r="S153" s="425">
        <v>91.077428547142858</v>
      </c>
      <c r="T153" s="425">
        <v>102.37485722571429</v>
      </c>
      <c r="U153" s="425">
        <v>13.601000102857142</v>
      </c>
      <c r="V153" s="425">
        <v>14.050535747142858</v>
      </c>
      <c r="W153" s="425">
        <v>1.1085714441428569</v>
      </c>
      <c r="X153" s="425">
        <v>108.26642826857143</v>
      </c>
      <c r="Y153" s="425">
        <v>19.484428541428574</v>
      </c>
    </row>
    <row r="154" spans="15:25">
      <c r="P154" s="424">
        <v>47</v>
      </c>
      <c r="Q154" s="425">
        <v>9.4625713492857138</v>
      </c>
      <c r="R154" s="425">
        <v>5.5844285494285719</v>
      </c>
      <c r="S154" s="425">
        <v>81.972856794285704</v>
      </c>
      <c r="T154" s="425">
        <v>82.511857174285723</v>
      </c>
      <c r="U154" s="425">
        <v>10.628571509714286</v>
      </c>
      <c r="V154" s="425">
        <v>13.985775811428573</v>
      </c>
      <c r="W154" s="425">
        <v>1.1000000240000001</v>
      </c>
      <c r="X154" s="425">
        <v>123.16000039999999</v>
      </c>
      <c r="Y154" s="425">
        <v>19.475428171428575</v>
      </c>
    </row>
    <row r="155" spans="15:25">
      <c r="P155" s="424">
        <v>48</v>
      </c>
      <c r="Q155" s="425">
        <v>10.788142817999999</v>
      </c>
      <c r="R155" s="425">
        <v>7.5644286014285722</v>
      </c>
      <c r="S155" s="425">
        <v>84.626999989999987</v>
      </c>
      <c r="T155" s="425">
        <v>67.75</v>
      </c>
      <c r="U155" s="425">
        <v>8.4404285975714277</v>
      </c>
      <c r="V155" s="425">
        <v>13.781128474285714</v>
      </c>
      <c r="W155" s="425">
        <v>1.1000000240000001</v>
      </c>
      <c r="X155" s="425">
        <v>94.382143292857137</v>
      </c>
      <c r="Y155" s="425">
        <v>16.918428555714282</v>
      </c>
    </row>
    <row r="156" spans="15:25">
      <c r="P156" s="424">
        <v>49</v>
      </c>
      <c r="Q156" s="425">
        <v>12.195857184142856</v>
      </c>
      <c r="R156" s="425">
        <v>8.7971429828571424</v>
      </c>
      <c r="S156" s="425">
        <v>127.52371543</v>
      </c>
      <c r="T156" s="425">
        <v>92.821572431428564</v>
      </c>
      <c r="U156" s="425">
        <v>12.563142707428572</v>
      </c>
      <c r="V156" s="425">
        <v>13.148691448571428</v>
      </c>
      <c r="W156" s="425">
        <v>1.1000000000000001</v>
      </c>
      <c r="X156" s="425">
        <v>134.38285718142859</v>
      </c>
      <c r="Y156" s="425">
        <v>23.580285755714289</v>
      </c>
    </row>
    <row r="157" spans="15:25">
      <c r="P157" s="424">
        <v>50</v>
      </c>
      <c r="Q157" s="425">
        <v>12.195857184142856</v>
      </c>
      <c r="R157" s="425">
        <v>8.7971429828571424</v>
      </c>
      <c r="S157" s="425">
        <v>183.5428575857143</v>
      </c>
      <c r="T157" s="425">
        <v>117.73200008285714</v>
      </c>
      <c r="U157" s="425">
        <v>21.506999832857144</v>
      </c>
      <c r="V157" s="425">
        <v>12.61392865857143</v>
      </c>
      <c r="W157" s="425">
        <v>1.1014285939999999</v>
      </c>
      <c r="X157" s="425">
        <v>210.99928282857144</v>
      </c>
      <c r="Y157" s="425">
        <v>41.892142702857143</v>
      </c>
    </row>
    <row r="158" spans="15:25">
      <c r="P158" s="424">
        <v>51</v>
      </c>
      <c r="Q158" s="425">
        <v>18.622142792857144</v>
      </c>
      <c r="R158" s="425">
        <v>18.057571141428571</v>
      </c>
      <c r="S158" s="425">
        <v>292.95071844285718</v>
      </c>
      <c r="T158" s="425">
        <v>180.44057028571427</v>
      </c>
      <c r="U158" s="425">
        <v>47.032857078571432</v>
      </c>
      <c r="V158" s="425">
        <v>12.600475584285714</v>
      </c>
      <c r="W158" s="425">
        <v>1.1000000240000001</v>
      </c>
      <c r="X158" s="425">
        <v>166.85428727142857</v>
      </c>
      <c r="Y158" s="425">
        <v>39.827428544285716</v>
      </c>
    </row>
    <row r="159" spans="15:25">
      <c r="P159" s="424">
        <v>52</v>
      </c>
      <c r="Q159" s="425">
        <v>29.98</v>
      </c>
      <c r="R159" s="425">
        <v>19.592142921428572</v>
      </c>
      <c r="S159" s="425">
        <v>381.11599999999993</v>
      </c>
      <c r="T159" s="425">
        <v>222.82728794285717</v>
      </c>
      <c r="U159" s="425">
        <v>45.963714052857135</v>
      </c>
      <c r="V159" s="425">
        <v>12.617798667142859</v>
      </c>
      <c r="W159" s="425">
        <v>1.4000000274285713</v>
      </c>
      <c r="X159" s="425">
        <v>293.28928701428578</v>
      </c>
      <c r="Y159" s="425">
        <v>62.57285690285714</v>
      </c>
    </row>
    <row r="160" spans="15:25">
      <c r="O160" s="423">
        <v>53</v>
      </c>
      <c r="P160" s="424">
        <v>53</v>
      </c>
      <c r="Q160" s="425">
        <v>16.182714325714286</v>
      </c>
      <c r="R160" s="425">
        <v>8.7855713015714283</v>
      </c>
      <c r="S160" s="425">
        <v>271.83385794285715</v>
      </c>
      <c r="T160" s="425">
        <v>172.15485925714285</v>
      </c>
      <c r="U160" s="425">
        <v>29.933428355714284</v>
      </c>
      <c r="V160" s="425">
        <v>12.85226127</v>
      </c>
      <c r="W160" s="425">
        <v>1.4571428811428571</v>
      </c>
      <c r="X160" s="425">
        <v>278.16286141428571</v>
      </c>
      <c r="Y160" s="425">
        <v>97.806430279999987</v>
      </c>
    </row>
    <row r="161" spans="13:32">
      <c r="N161" s="423">
        <v>2020</v>
      </c>
      <c r="P161" s="424">
        <v>1</v>
      </c>
      <c r="Q161" s="425">
        <v>12.763571330479184</v>
      </c>
      <c r="R161" s="425">
        <v>7.4842857292720009</v>
      </c>
      <c r="S161" s="425">
        <v>176.20814078194715</v>
      </c>
      <c r="T161" s="425">
        <v>130.2321406773155</v>
      </c>
      <c r="U161" s="425">
        <v>24.27742849077493</v>
      </c>
      <c r="V161" s="425">
        <v>14.514315741402715</v>
      </c>
      <c r="W161" s="425">
        <v>2.278571367263786</v>
      </c>
      <c r="X161" s="425">
        <v>468.15499877929659</v>
      </c>
      <c r="Y161" s="425">
        <v>152.80385916573601</v>
      </c>
    </row>
    <row r="162" spans="13:32">
      <c r="P162" s="424">
        <v>2</v>
      </c>
      <c r="Q162" s="425">
        <v>13.386285781428571</v>
      </c>
      <c r="R162" s="425">
        <v>6.9174285272857139</v>
      </c>
      <c r="S162" s="425">
        <v>159.75199889999999</v>
      </c>
      <c r="T162" s="425">
        <v>106.97614288285715</v>
      </c>
      <c r="U162" s="425">
        <v>30.680286678571431</v>
      </c>
      <c r="V162" s="425">
        <v>13.21958133142857</v>
      </c>
      <c r="W162" s="425">
        <v>1.8857142757142857</v>
      </c>
      <c r="X162" s="425">
        <v>213.59428187142859</v>
      </c>
      <c r="Y162" s="425">
        <v>97.949856347142855</v>
      </c>
    </row>
    <row r="163" spans="13:32">
      <c r="P163" s="424">
        <v>3</v>
      </c>
      <c r="Q163" s="425">
        <v>15.196428435714285</v>
      </c>
      <c r="R163" s="425">
        <v>11.330428599714283</v>
      </c>
      <c r="S163" s="425">
        <v>243.87700107142857</v>
      </c>
      <c r="T163" s="425">
        <v>137.04186028571428</v>
      </c>
      <c r="U163" s="425">
        <v>40.240000044285715</v>
      </c>
      <c r="V163" s="425">
        <v>16.855534282857143</v>
      </c>
      <c r="W163" s="425">
        <v>6.3075712748571418</v>
      </c>
      <c r="X163" s="425">
        <v>247.26214164285713</v>
      </c>
      <c r="Y163" s="425">
        <v>78.131857190000005</v>
      </c>
    </row>
    <row r="164" spans="13:32">
      <c r="P164" s="424">
        <v>4</v>
      </c>
      <c r="Q164" s="425">
        <v>16.57199968714286</v>
      </c>
      <c r="R164" s="425">
        <v>12.821999958571428</v>
      </c>
      <c r="S164" s="425">
        <v>236.61043005714285</v>
      </c>
      <c r="T164" s="425">
        <v>121.29742760000001</v>
      </c>
      <c r="U164" s="425">
        <v>26.470714297142855</v>
      </c>
      <c r="V164" s="425">
        <v>22.011848449999999</v>
      </c>
      <c r="W164" s="425">
        <v>4.3669999327142861</v>
      </c>
      <c r="X164" s="425">
        <v>212.78856985714287</v>
      </c>
      <c r="Y164" s="425">
        <v>52.875</v>
      </c>
    </row>
    <row r="165" spans="13:32">
      <c r="P165" s="424">
        <v>5</v>
      </c>
      <c r="Q165" s="425">
        <v>25.675428661428576</v>
      </c>
      <c r="R165" s="425">
        <v>18.254856927142857</v>
      </c>
      <c r="S165" s="425">
        <v>392.82542635714287</v>
      </c>
      <c r="T165" s="425">
        <v>216.11300005714287</v>
      </c>
      <c r="U165" s="425">
        <v>48.707714625714289</v>
      </c>
      <c r="V165" s="425">
        <v>14.496191432857142</v>
      </c>
      <c r="W165" s="425">
        <v>2.6891428574285712</v>
      </c>
      <c r="X165" s="425">
        <v>410.15428595714286</v>
      </c>
      <c r="Y165" s="425">
        <v>99.128998899999985</v>
      </c>
    </row>
    <row r="166" spans="13:32">
      <c r="P166" s="424">
        <v>6</v>
      </c>
      <c r="Q166" s="425">
        <v>22.638571330479174</v>
      </c>
      <c r="R166" s="425">
        <v>17.332571574619813</v>
      </c>
      <c r="S166" s="425">
        <v>448.59157017299066</v>
      </c>
      <c r="T166" s="425">
        <v>221.35714285714261</v>
      </c>
      <c r="U166" s="425">
        <v>51.925000326974022</v>
      </c>
      <c r="V166" s="425">
        <v>17.659045491899729</v>
      </c>
      <c r="W166" s="425">
        <v>9.7964284079415354</v>
      </c>
      <c r="X166" s="425">
        <v>622.45499965122758</v>
      </c>
      <c r="Y166" s="425">
        <v>151.47385733468144</v>
      </c>
    </row>
    <row r="167" spans="13:32">
      <c r="P167" s="424">
        <v>7</v>
      </c>
      <c r="Q167" s="425">
        <v>24.818285805714286</v>
      </c>
      <c r="R167" s="425">
        <v>19.436000279999998</v>
      </c>
      <c r="S167" s="425">
        <v>374.25799560000002</v>
      </c>
      <c r="T167" s="425">
        <v>142.54771639999998</v>
      </c>
      <c r="U167" s="425">
        <v>37.997142247142854</v>
      </c>
      <c r="V167" s="425">
        <v>23.642735891428568</v>
      </c>
      <c r="W167" s="425">
        <v>10.810714449000001</v>
      </c>
      <c r="X167" s="425">
        <v>434.32357352857144</v>
      </c>
      <c r="Y167" s="425">
        <v>148.12728554285715</v>
      </c>
    </row>
    <row r="168" spans="13:32">
      <c r="O168" s="423">
        <v>8</v>
      </c>
      <c r="P168" s="424">
        <v>8</v>
      </c>
      <c r="Q168" s="425">
        <v>16.877285957336387</v>
      </c>
      <c r="R168" s="425">
        <v>13.084142684936484</v>
      </c>
      <c r="S168" s="425">
        <v>289.19357081821948</v>
      </c>
      <c r="T168" s="425">
        <v>162.01200212751087</v>
      </c>
      <c r="U168" s="425">
        <v>30.780285699026873</v>
      </c>
      <c r="V168" s="425">
        <v>23.681545802525072</v>
      </c>
      <c r="W168" s="425">
        <v>21.290571621486073</v>
      </c>
      <c r="X168" s="425">
        <v>403.40571376255542</v>
      </c>
      <c r="Y168" s="425">
        <v>143.28899928501644</v>
      </c>
    </row>
    <row r="169" spans="13:32">
      <c r="P169" s="424">
        <v>9</v>
      </c>
      <c r="Q169" s="425">
        <v>20.463000162857146</v>
      </c>
      <c r="R169" s="425">
        <v>16.131428717142857</v>
      </c>
      <c r="S169" s="425">
        <v>302.38613892857137</v>
      </c>
      <c r="T169" s="425">
        <v>174.72028894285717</v>
      </c>
      <c r="U169" s="425">
        <v>36.13400023285714</v>
      </c>
      <c r="V169" s="425">
        <v>23.625475747142854</v>
      </c>
      <c r="W169" s="425">
        <v>11.064000130142858</v>
      </c>
      <c r="X169" s="425">
        <v>388.35356794285718</v>
      </c>
      <c r="Y169" s="425">
        <v>84.357999531428575</v>
      </c>
    </row>
    <row r="170" spans="13:32">
      <c r="P170" s="424">
        <v>10</v>
      </c>
      <c r="Q170" s="425">
        <v>20.001714159999999</v>
      </c>
      <c r="R170" s="425">
        <v>16.133428572857145</v>
      </c>
      <c r="S170" s="425">
        <v>219.49971445714283</v>
      </c>
      <c r="T170" s="425">
        <v>118.91071428571429</v>
      </c>
      <c r="U170" s="425">
        <v>22.61842863857143</v>
      </c>
      <c r="V170" s="425">
        <v>23.72583552857143</v>
      </c>
      <c r="W170" s="425">
        <v>5.0324285712857142</v>
      </c>
      <c r="X170" s="425">
        <v>317.96785625714284</v>
      </c>
      <c r="Y170" s="425">
        <v>76.472572329999977</v>
      </c>
    </row>
    <row r="171" spans="13:32" s="730" customFormat="1">
      <c r="M171" s="423"/>
      <c r="N171" s="423"/>
      <c r="O171" s="423"/>
      <c r="P171" s="424">
        <v>11</v>
      </c>
      <c r="Q171" s="425">
        <v>20.464285714285715</v>
      </c>
      <c r="R171" s="425">
        <v>16.275285719999999</v>
      </c>
      <c r="S171" s="425">
        <v>210.39014761428572</v>
      </c>
      <c r="T171" s="425">
        <v>145.36899785714286</v>
      </c>
      <c r="U171" s="425">
        <v>39.343428748571434</v>
      </c>
      <c r="V171" s="425">
        <v>23.714347295714287</v>
      </c>
      <c r="W171" s="425">
        <v>12.165999821428571</v>
      </c>
      <c r="X171" s="425">
        <v>377.62500435714281</v>
      </c>
      <c r="Y171" s="425">
        <v>110.78628649857141</v>
      </c>
      <c r="Z171" s="413"/>
      <c r="AA171" s="298"/>
      <c r="AB171" s="298"/>
      <c r="AC171" s="298"/>
      <c r="AD171" s="298"/>
      <c r="AE171" s="286"/>
      <c r="AF171" s="286"/>
    </row>
    <row r="172" spans="13:32" s="730" customFormat="1">
      <c r="M172" s="423"/>
      <c r="N172" s="423"/>
      <c r="O172" s="423"/>
      <c r="P172" s="424">
        <v>12</v>
      </c>
      <c r="Q172" s="425">
        <v>23.032714026314846</v>
      </c>
      <c r="R172" s="425">
        <v>20.180714198521169</v>
      </c>
      <c r="S172" s="425">
        <v>335.19785417829189</v>
      </c>
      <c r="T172" s="425">
        <v>171.26185716901472</v>
      </c>
      <c r="U172" s="425">
        <v>46.286999838692772</v>
      </c>
      <c r="V172" s="425">
        <v>23.623331614903002</v>
      </c>
      <c r="W172" s="425">
        <v>11.119714055742502</v>
      </c>
      <c r="X172" s="425">
        <v>380.85929216657314</v>
      </c>
      <c r="Y172" s="425">
        <v>113.32999965122723</v>
      </c>
      <c r="Z172" s="413"/>
      <c r="AA172" s="298"/>
      <c r="AB172" s="298"/>
      <c r="AC172" s="298"/>
      <c r="AD172" s="298"/>
      <c r="AE172" s="286"/>
      <c r="AF172" s="286"/>
    </row>
    <row r="173" spans="13:32" s="730" customFormat="1">
      <c r="M173" s="423"/>
      <c r="N173" s="423"/>
      <c r="O173" s="423"/>
      <c r="P173" s="424">
        <v>13</v>
      </c>
      <c r="Q173" s="425">
        <v>27.558857236589642</v>
      </c>
      <c r="R173" s="425">
        <v>21.319143022809669</v>
      </c>
      <c r="S173" s="425">
        <v>569.31741768973188</v>
      </c>
      <c r="T173" s="425">
        <v>241.59529113769531</v>
      </c>
      <c r="U173" s="425">
        <v>63.414285387311629</v>
      </c>
      <c r="V173" s="425">
        <v>22.128154209681874</v>
      </c>
      <c r="W173" s="425">
        <v>6.0048571995326432</v>
      </c>
      <c r="X173" s="425">
        <v>332.15285818917374</v>
      </c>
      <c r="Y173" s="425">
        <v>97.158571515764294</v>
      </c>
      <c r="Z173" s="413"/>
      <c r="AA173" s="298"/>
      <c r="AB173" s="298"/>
      <c r="AC173" s="298"/>
      <c r="AD173" s="298"/>
      <c r="AE173" s="286"/>
      <c r="AF173" s="286"/>
    </row>
    <row r="174" spans="13:32" s="730" customFormat="1">
      <c r="M174" s="423"/>
      <c r="N174" s="423"/>
      <c r="O174" s="423"/>
      <c r="P174" s="424">
        <v>14</v>
      </c>
      <c r="Q174" s="425">
        <v>18.795857294285714</v>
      </c>
      <c r="R174" s="425">
        <v>18.168000220000003</v>
      </c>
      <c r="S174" s="425">
        <v>298.48543221428571</v>
      </c>
      <c r="T174" s="425">
        <v>156.28586031428571</v>
      </c>
      <c r="U174" s="425">
        <v>40.567142485714285</v>
      </c>
      <c r="V174" s="425">
        <v>21.36</v>
      </c>
      <c r="W174" s="425">
        <v>4.6619999238571435</v>
      </c>
      <c r="X174" s="425">
        <v>272.16142927142863</v>
      </c>
      <c r="Y174" s="425">
        <v>87.023999895714283</v>
      </c>
      <c r="Z174" s="413"/>
      <c r="AA174" s="298"/>
      <c r="AB174" s="298"/>
      <c r="AC174" s="298"/>
      <c r="AD174" s="298"/>
      <c r="AE174" s="286"/>
      <c r="AF174" s="286"/>
    </row>
    <row r="175" spans="13:32">
      <c r="P175" s="424">
        <v>15</v>
      </c>
      <c r="Q175" s="845">
        <v>16.380999974285714</v>
      </c>
      <c r="R175" s="845">
        <v>14.786285537142858</v>
      </c>
      <c r="S175" s="845">
        <v>196.30642698571427</v>
      </c>
      <c r="T175" s="845">
        <v>126.20242854857143</v>
      </c>
      <c r="U175" s="845">
        <v>27.609000341428576</v>
      </c>
      <c r="V175" s="845">
        <v>23.601429802857144</v>
      </c>
      <c r="W175" s="845">
        <v>2.5870000464285714</v>
      </c>
      <c r="X175" s="845">
        <v>174.17928642857143</v>
      </c>
      <c r="Y175" s="845">
        <v>56.692000798571428</v>
      </c>
    </row>
    <row r="176" spans="13:32">
      <c r="O176" s="423">
        <v>16</v>
      </c>
      <c r="P176" s="424">
        <v>16</v>
      </c>
      <c r="Q176" s="425">
        <v>15.142857142857142</v>
      </c>
      <c r="R176" s="425">
        <v>11.113285608857142</v>
      </c>
      <c r="S176" s="425">
        <v>144.25785718571427</v>
      </c>
      <c r="T176" s="425">
        <v>112.32742854857143</v>
      </c>
      <c r="U176" s="425">
        <v>23.319143022857144</v>
      </c>
      <c r="V176" s="425">
        <v>16.145714351428573</v>
      </c>
      <c r="W176" s="425">
        <v>1.9568571534285717</v>
      </c>
      <c r="X176" s="425">
        <v>124.01500048571428</v>
      </c>
      <c r="Y176" s="425">
        <v>41.578285762857142</v>
      </c>
    </row>
    <row r="177" spans="13:32" s="730" customFormat="1">
      <c r="M177" s="423"/>
      <c r="N177" s="423"/>
      <c r="O177" s="423"/>
      <c r="P177" s="424">
        <v>17</v>
      </c>
      <c r="Q177" s="425">
        <v>14.535142626081141</v>
      </c>
      <c r="R177" s="425">
        <v>7.95871441704886</v>
      </c>
      <c r="S177" s="425">
        <v>118.61742946079741</v>
      </c>
      <c r="T177" s="425">
        <v>86.636999947684131</v>
      </c>
      <c r="U177" s="425">
        <v>19.662570953369116</v>
      </c>
      <c r="V177" s="425">
        <v>14.007261548723459</v>
      </c>
      <c r="W177" s="425">
        <v>2.0897142546517471</v>
      </c>
      <c r="X177" s="425">
        <v>109.72071402413471</v>
      </c>
      <c r="Y177" s="425">
        <v>32.277857099260544</v>
      </c>
      <c r="Z177" s="413"/>
      <c r="AA177" s="298"/>
      <c r="AB177" s="298"/>
      <c r="AC177" s="298"/>
      <c r="AD177" s="298"/>
      <c r="AE177" s="286"/>
      <c r="AF177" s="286"/>
    </row>
    <row r="178" spans="13:32" s="730" customFormat="1">
      <c r="M178" s="423"/>
      <c r="N178" s="423"/>
      <c r="O178" s="423"/>
      <c r="P178" s="424">
        <v>18</v>
      </c>
      <c r="Q178" s="425">
        <v>15.919285638571427</v>
      </c>
      <c r="R178" s="425">
        <v>12.133857388142859</v>
      </c>
      <c r="S178" s="425">
        <v>119.46943012857146</v>
      </c>
      <c r="T178" s="425">
        <v>95.79771531714286</v>
      </c>
      <c r="U178" s="425">
        <v>21.329571314285715</v>
      </c>
      <c r="V178" s="425">
        <v>12.484048571428572</v>
      </c>
      <c r="W178" s="425">
        <v>2.074857081857143</v>
      </c>
      <c r="X178" s="425">
        <v>121.69785745714287</v>
      </c>
      <c r="Y178" s="425">
        <v>27.218570980000003</v>
      </c>
      <c r="Z178" s="413"/>
      <c r="AA178" s="298"/>
      <c r="AB178" s="298"/>
      <c r="AC178" s="298"/>
      <c r="AD178" s="298"/>
      <c r="AE178" s="286"/>
      <c r="AF178" s="286"/>
    </row>
    <row r="179" spans="13:32" s="730" customFormat="1">
      <c r="M179" s="423"/>
      <c r="N179" s="423"/>
      <c r="O179" s="423"/>
      <c r="P179" s="424">
        <v>19</v>
      </c>
      <c r="Q179" s="425">
        <v>16.148714472857144</v>
      </c>
      <c r="R179" s="425">
        <v>14.776714189999998</v>
      </c>
      <c r="S179" s="425">
        <v>179.62085941428572</v>
      </c>
      <c r="T179" s="425">
        <v>63.654857091428575</v>
      </c>
      <c r="U179" s="425">
        <v>18.961428234285709</v>
      </c>
      <c r="V179" s="425">
        <v>11.436902861999998</v>
      </c>
      <c r="W179" s="425">
        <v>1.6491428614285712</v>
      </c>
      <c r="X179" s="425">
        <v>98.23285565285714</v>
      </c>
      <c r="Y179" s="425">
        <v>23.996714454285712</v>
      </c>
      <c r="Z179" s="413"/>
      <c r="AA179" s="298"/>
      <c r="AB179" s="298"/>
      <c r="AC179" s="298"/>
      <c r="AD179" s="298"/>
      <c r="AE179" s="286"/>
      <c r="AF179" s="286"/>
    </row>
    <row r="180" spans="13:32" s="730" customFormat="1">
      <c r="M180" s="423"/>
      <c r="N180" s="423"/>
      <c r="O180" s="423"/>
      <c r="P180" s="424">
        <v>20</v>
      </c>
      <c r="Q180" s="425">
        <v>13.91285719</v>
      </c>
      <c r="R180" s="425">
        <v>10.484285559</v>
      </c>
      <c r="S180" s="425">
        <v>132.41042655714287</v>
      </c>
      <c r="T180" s="425">
        <v>63.017857142857146</v>
      </c>
      <c r="U180" s="425">
        <v>17.724285941428572</v>
      </c>
      <c r="V180" s="425">
        <v>12.01881</v>
      </c>
      <c r="W180" s="425">
        <v>1.6491428614285712</v>
      </c>
      <c r="X180" s="425">
        <v>74.486427307142861</v>
      </c>
      <c r="Y180" s="425">
        <v>27.218570980000003</v>
      </c>
      <c r="Z180" s="413"/>
      <c r="AA180" s="298"/>
      <c r="AB180" s="298"/>
      <c r="AC180" s="298"/>
      <c r="AD180" s="298"/>
      <c r="AE180" s="286"/>
      <c r="AF180" s="286"/>
    </row>
    <row r="181" spans="13:32" s="730" customFormat="1">
      <c r="M181" s="423"/>
      <c r="N181" s="423"/>
      <c r="O181" s="423"/>
      <c r="P181" s="424">
        <v>21</v>
      </c>
      <c r="Q181" s="425">
        <v>12.832571710859</v>
      </c>
      <c r="R181" s="425">
        <v>8.7072857448032899</v>
      </c>
      <c r="S181" s="425">
        <v>118.96285901750787</v>
      </c>
      <c r="T181" s="425">
        <v>55.553428649902308</v>
      </c>
      <c r="U181" s="425">
        <v>14.547714369637587</v>
      </c>
      <c r="V181" s="425">
        <v>11.963334356035457</v>
      </c>
      <c r="W181" s="425">
        <v>1.6175714560917398</v>
      </c>
      <c r="X181" s="425">
        <v>66.354285648890865</v>
      </c>
      <c r="Y181" s="425">
        <v>17.639571326119512</v>
      </c>
      <c r="Z181" s="413"/>
      <c r="AA181" s="298"/>
      <c r="AB181" s="298"/>
      <c r="AC181" s="298"/>
      <c r="AD181" s="298"/>
      <c r="AE181" s="286"/>
      <c r="AF181" s="286"/>
    </row>
    <row r="182" spans="13:32" s="730" customFormat="1">
      <c r="M182" s="423"/>
      <c r="N182" s="423"/>
      <c r="O182" s="423"/>
      <c r="P182" s="424">
        <v>22</v>
      </c>
      <c r="Q182" s="425">
        <v>11.589857237142857</v>
      </c>
      <c r="R182" s="425">
        <v>7.6087141037142851</v>
      </c>
      <c r="S182" s="425">
        <v>92.527713229999989</v>
      </c>
      <c r="T182" s="425">
        <v>48.85114288285714</v>
      </c>
      <c r="U182" s="425">
        <v>12.851142882857143</v>
      </c>
      <c r="V182" s="425">
        <v>11.972144264285713</v>
      </c>
      <c r="W182" s="425">
        <v>1.7258571555714286</v>
      </c>
      <c r="X182" s="425">
        <v>60.742857795714293</v>
      </c>
      <c r="Y182" s="425">
        <v>13.389714241428573</v>
      </c>
      <c r="Z182" s="413"/>
      <c r="AA182" s="298"/>
      <c r="AB182" s="298"/>
      <c r="AC182" s="298"/>
      <c r="AD182" s="298"/>
      <c r="AE182" s="286"/>
      <c r="AF182" s="286"/>
    </row>
    <row r="183" spans="13:32" s="730" customFormat="1">
      <c r="M183" s="423"/>
      <c r="N183" s="423"/>
      <c r="O183" s="423"/>
      <c r="P183" s="424">
        <v>23</v>
      </c>
      <c r="Q183" s="425">
        <v>10.866000038571428</v>
      </c>
      <c r="R183" s="425">
        <v>6.6898570742857144</v>
      </c>
      <c r="S183" s="425">
        <v>86.262142725714284</v>
      </c>
      <c r="T183" s="425">
        <v>49.02971431142857</v>
      </c>
      <c r="U183" s="425">
        <v>13.300571305714286</v>
      </c>
      <c r="V183" s="425">
        <v>12.060297148571431</v>
      </c>
      <c r="W183" s="425">
        <v>2.2755714314285713</v>
      </c>
      <c r="X183" s="425">
        <v>60.932143074285719</v>
      </c>
      <c r="Y183" s="425">
        <v>13.06000001</v>
      </c>
      <c r="Z183" s="413"/>
      <c r="AA183" s="298"/>
      <c r="AB183" s="298"/>
      <c r="AC183" s="298"/>
      <c r="AD183" s="298"/>
      <c r="AE183" s="286"/>
      <c r="AF183" s="286"/>
    </row>
    <row r="184" spans="13:32" s="730" customFormat="1">
      <c r="M184" s="423"/>
      <c r="N184" s="423"/>
      <c r="O184" s="423">
        <v>24</v>
      </c>
      <c r="P184" s="846">
        <v>24</v>
      </c>
      <c r="Q184" s="425">
        <v>10.893428530011814</v>
      </c>
      <c r="R184" s="425">
        <v>6.3937142235892095</v>
      </c>
      <c r="S184" s="425">
        <v>80.154999869210343</v>
      </c>
      <c r="T184" s="425">
        <v>39.363000052315797</v>
      </c>
      <c r="U184" s="425">
        <v>11.205857140677287</v>
      </c>
      <c r="V184" s="425">
        <v>12.025059972490542</v>
      </c>
      <c r="W184" s="425">
        <v>2.2755714314324473</v>
      </c>
      <c r="X184" s="425">
        <v>56.771429334367994</v>
      </c>
      <c r="Y184" s="425">
        <v>10.094714164733857</v>
      </c>
      <c r="Z184" s="413"/>
      <c r="AA184" s="298"/>
      <c r="AB184" s="298"/>
      <c r="AC184" s="298"/>
      <c r="AD184" s="298"/>
      <c r="AE184" s="286"/>
      <c r="AF184" s="286"/>
    </row>
    <row r="185" spans="13:32" s="730" customFormat="1">
      <c r="M185" s="423"/>
      <c r="N185" s="423"/>
      <c r="O185" s="423"/>
      <c r="P185" s="846">
        <v>25</v>
      </c>
      <c r="Q185" s="425">
        <v>9.7685713087142858</v>
      </c>
      <c r="R185" s="425">
        <v>5.4858571460000007</v>
      </c>
      <c r="S185" s="425">
        <v>71.438000270000003</v>
      </c>
      <c r="T185" s="425">
        <v>31.88514287142857</v>
      </c>
      <c r="U185" s="425">
        <v>9.1724285395714276</v>
      </c>
      <c r="V185" s="425">
        <v>11.867550168571428</v>
      </c>
      <c r="W185" s="425">
        <v>1.7577142885714285</v>
      </c>
      <c r="X185" s="425">
        <v>51.780714305714291</v>
      </c>
      <c r="Y185" s="425">
        <v>9.1595716474285691</v>
      </c>
      <c r="Z185" s="413"/>
      <c r="AA185" s="298"/>
      <c r="AB185" s="298"/>
      <c r="AC185" s="298"/>
      <c r="AD185" s="298"/>
      <c r="AE185" s="286"/>
      <c r="AF185" s="286"/>
    </row>
    <row r="186" spans="13:32" s="730" customFormat="1">
      <c r="M186" s="423"/>
      <c r="N186" s="423"/>
      <c r="O186" s="423"/>
      <c r="P186" s="846">
        <v>26</v>
      </c>
      <c r="Q186" s="425">
        <v>9.3011428291428579</v>
      </c>
      <c r="R186" s="425">
        <v>5.6422856875714285</v>
      </c>
      <c r="S186" s="425">
        <v>70.798141479999998</v>
      </c>
      <c r="T186" s="425">
        <v>29.80342864857143</v>
      </c>
      <c r="U186" s="425">
        <v>8.6642858641428564</v>
      </c>
      <c r="V186" s="425">
        <v>11.961507115714285</v>
      </c>
      <c r="W186" s="425">
        <v>1.7387143204285713</v>
      </c>
      <c r="X186" s="425">
        <v>47.265713828571435</v>
      </c>
      <c r="Y186" s="425">
        <v>8.8348572594285706</v>
      </c>
      <c r="Z186" s="413"/>
      <c r="AA186" s="298"/>
      <c r="AB186" s="298"/>
      <c r="AC186" s="298"/>
      <c r="AD186" s="298"/>
      <c r="AE186" s="286"/>
      <c r="AF186" s="286"/>
    </row>
    <row r="187" spans="13:32" s="730" customFormat="1">
      <c r="M187" s="423"/>
      <c r="N187" s="423"/>
      <c r="O187" s="423"/>
      <c r="P187" s="846">
        <v>27</v>
      </c>
      <c r="Q187" s="425">
        <v>9.0898572376796078</v>
      </c>
      <c r="R187" s="425">
        <v>4.8411428587777223</v>
      </c>
      <c r="S187" s="425">
        <v>72.323284694126613</v>
      </c>
      <c r="T187" s="425">
        <v>28.875142778669062</v>
      </c>
      <c r="U187" s="425">
        <v>8.3150001253400507</v>
      </c>
      <c r="V187" s="425">
        <v>12.125935554504371</v>
      </c>
      <c r="W187" s="425">
        <v>2.0545714242117699</v>
      </c>
      <c r="X187" s="425">
        <v>44.601428440638877</v>
      </c>
      <c r="Y187" s="425">
        <v>8.4665715353829452</v>
      </c>
      <c r="Z187" s="413"/>
      <c r="AA187" s="298"/>
      <c r="AB187" s="298"/>
      <c r="AC187" s="298"/>
      <c r="AD187" s="298"/>
      <c r="AE187" s="286"/>
      <c r="AF187" s="286"/>
    </row>
    <row r="188" spans="13:32" s="730" customFormat="1">
      <c r="M188" s="423"/>
      <c r="N188" s="423"/>
      <c r="O188" s="423"/>
      <c r="P188" s="846">
        <v>28</v>
      </c>
      <c r="Q188" s="425">
        <v>8.3315715788571421</v>
      </c>
      <c r="R188" s="425">
        <v>4.0902857780000001</v>
      </c>
      <c r="S188" s="425">
        <v>70.352427891428562</v>
      </c>
      <c r="T188" s="425">
        <v>27.071428571428573</v>
      </c>
      <c r="U188" s="425">
        <v>7.9792855807142846</v>
      </c>
      <c r="V188" s="425">
        <v>12.036131450000001</v>
      </c>
      <c r="W188" s="425">
        <v>1.862857103571429</v>
      </c>
      <c r="X188" s="425">
        <v>42.742857252857149</v>
      </c>
      <c r="Y188" s="425">
        <v>7.6952857290000001</v>
      </c>
      <c r="Z188" s="413"/>
      <c r="AA188" s="298"/>
      <c r="AB188" s="298"/>
      <c r="AC188" s="298"/>
      <c r="AD188" s="298"/>
      <c r="AE188" s="286"/>
      <c r="AF188" s="286"/>
    </row>
    <row r="189" spans="13:32" s="730" customFormat="1">
      <c r="M189" s="423"/>
      <c r="N189" s="423"/>
      <c r="O189" s="423"/>
      <c r="P189" s="846">
        <v>29</v>
      </c>
      <c r="Q189" s="425">
        <v>8.7399999755714273</v>
      </c>
      <c r="R189" s="425">
        <v>3.3690000857142857</v>
      </c>
      <c r="S189" s="425">
        <v>69.363000051428585</v>
      </c>
      <c r="T189" s="425">
        <v>26.369142805714286</v>
      </c>
      <c r="U189" s="425">
        <v>7.2952857698571441</v>
      </c>
      <c r="V189" s="425">
        <v>12.01250158142857</v>
      </c>
      <c r="W189" s="425">
        <v>2.1428571427142855</v>
      </c>
      <c r="X189" s="425">
        <v>40.262857164285712</v>
      </c>
      <c r="Y189" s="425">
        <v>7.1297142847142867</v>
      </c>
      <c r="Z189" s="413"/>
      <c r="AA189" s="298"/>
      <c r="AB189" s="298"/>
      <c r="AC189" s="298"/>
      <c r="AD189" s="298"/>
      <c r="AE189" s="286"/>
      <c r="AF189" s="286"/>
    </row>
    <row r="190" spans="13:32" s="730" customFormat="1">
      <c r="M190" s="423"/>
      <c r="N190" s="423"/>
      <c r="O190" s="423"/>
      <c r="P190" s="846">
        <v>30</v>
      </c>
      <c r="Q190" s="425">
        <v>8.2612857819999999</v>
      </c>
      <c r="R190" s="425">
        <v>3.9334286622857135</v>
      </c>
      <c r="S190" s="425">
        <v>68.101856775714282</v>
      </c>
      <c r="T190" s="425">
        <v>23.077571325714285</v>
      </c>
      <c r="U190" s="425">
        <v>7.5452858379999999</v>
      </c>
      <c r="V190" s="425">
        <v>12.065415654285715</v>
      </c>
      <c r="W190" s="425">
        <v>2.0148571899999999</v>
      </c>
      <c r="X190" s="425">
        <v>39.827141895714291</v>
      </c>
      <c r="Y190" s="425">
        <v>8.1214285577142853</v>
      </c>
      <c r="Z190" s="413"/>
      <c r="AA190" s="298"/>
      <c r="AB190" s="298"/>
      <c r="AC190" s="298"/>
      <c r="AD190" s="298"/>
      <c r="AE190" s="286"/>
      <c r="AF190" s="286"/>
    </row>
    <row r="191" spans="13:32" s="730" customFormat="1">
      <c r="M191" s="423"/>
      <c r="N191" s="423"/>
      <c r="O191" s="423"/>
      <c r="P191" s="846">
        <v>31</v>
      </c>
      <c r="Q191" s="425">
        <v>7.5295715331428577</v>
      </c>
      <c r="R191" s="425">
        <v>3.8718570981428577</v>
      </c>
      <c r="S191" s="425">
        <v>66.163572037142856</v>
      </c>
      <c r="T191" s="425">
        <v>20.36314283098493</v>
      </c>
      <c r="U191" s="425">
        <v>7.1267142297142865</v>
      </c>
      <c r="V191" s="425">
        <v>12.064045632857143</v>
      </c>
      <c r="W191" s="425">
        <v>2.0708571672857143</v>
      </c>
      <c r="X191" s="425">
        <v>37.761428834285709</v>
      </c>
      <c r="Y191" s="425">
        <v>8.1097143717142863</v>
      </c>
      <c r="Z191" s="413"/>
      <c r="AA191" s="298"/>
      <c r="AB191" s="298"/>
      <c r="AC191" s="298"/>
      <c r="AD191" s="298"/>
      <c r="AE191" s="286"/>
      <c r="AF191" s="286"/>
    </row>
    <row r="192" spans="13:32" s="730" customFormat="1">
      <c r="M192" s="423"/>
      <c r="N192" s="423"/>
      <c r="O192" s="423">
        <v>32</v>
      </c>
      <c r="P192" s="846">
        <v>32</v>
      </c>
      <c r="Q192" s="425">
        <v>7.1332857268197154</v>
      </c>
      <c r="R192" s="425">
        <v>3.9694285733359158</v>
      </c>
      <c r="S192" s="425">
        <v>69.589143480573355</v>
      </c>
      <c r="T192" s="425">
        <v>20.36</v>
      </c>
      <c r="U192" s="425">
        <v>6.828428472791396</v>
      </c>
      <c r="V192" s="425">
        <v>11.89809417724604</v>
      </c>
      <c r="W192" s="425">
        <v>1.7728571551186658</v>
      </c>
      <c r="X192" s="425">
        <v>37.760714394705587</v>
      </c>
      <c r="Y192" s="425">
        <v>10.538714272635294</v>
      </c>
      <c r="Z192" s="413"/>
      <c r="AA192" s="298"/>
      <c r="AB192" s="298"/>
      <c r="AC192" s="298"/>
      <c r="AD192" s="298"/>
      <c r="AE192" s="286"/>
      <c r="AF192" s="286"/>
    </row>
    <row r="193" spans="13:32" s="730" customFormat="1">
      <c r="M193" s="423"/>
      <c r="N193" s="423"/>
      <c r="O193" s="423"/>
      <c r="P193" s="846">
        <v>33</v>
      </c>
      <c r="Q193" s="425">
        <v>7.307000092</v>
      </c>
      <c r="R193" s="425">
        <v>4.0542857307142848</v>
      </c>
      <c r="S193" s="425">
        <v>67.52914374142857</v>
      </c>
      <c r="T193" s="425">
        <v>23.369000025714286</v>
      </c>
      <c r="U193" s="425">
        <v>6.6690000125714279</v>
      </c>
      <c r="V193" s="425">
        <v>11.954105787142856</v>
      </c>
      <c r="W193" s="425">
        <v>1.7154285907142857</v>
      </c>
      <c r="X193" s="425">
        <v>38.402142115714284</v>
      </c>
      <c r="Y193" s="425">
        <v>6.1292857952857149</v>
      </c>
      <c r="Z193" s="413"/>
      <c r="AA193" s="298"/>
      <c r="AB193" s="298"/>
      <c r="AC193" s="298"/>
      <c r="AD193" s="298"/>
      <c r="AE193" s="286"/>
      <c r="AF193" s="286"/>
    </row>
    <row r="194" spans="13:32" s="730" customFormat="1">
      <c r="M194" s="423"/>
      <c r="N194" s="423"/>
      <c r="O194" s="423"/>
      <c r="P194" s="846">
        <v>34</v>
      </c>
      <c r="Q194" s="425">
        <v>6.8864285605714288</v>
      </c>
      <c r="R194" s="425">
        <v>3.8852857181428568</v>
      </c>
      <c r="S194" s="425">
        <v>67.307859692857136</v>
      </c>
      <c r="T194" s="425">
        <v>24.434428622857144</v>
      </c>
      <c r="U194" s="425">
        <v>6.6477142742857138</v>
      </c>
      <c r="V194" s="425">
        <v>11.958392961428572</v>
      </c>
      <c r="W194" s="425">
        <v>2.26100002</v>
      </c>
      <c r="X194" s="425">
        <v>36.792856487142856</v>
      </c>
      <c r="Y194" s="425">
        <v>6.0765714645714288</v>
      </c>
      <c r="Z194" s="413"/>
      <c r="AA194" s="298"/>
      <c r="AB194" s="298"/>
      <c r="AC194" s="298"/>
      <c r="AD194" s="298"/>
      <c r="AE194" s="286"/>
      <c r="AF194" s="286"/>
    </row>
    <row r="195" spans="13:32" s="730" customFormat="1">
      <c r="M195" s="423"/>
      <c r="N195" s="423"/>
      <c r="O195" s="423"/>
      <c r="P195" s="846">
        <v>35</v>
      </c>
      <c r="Q195" s="425">
        <v>6.9537143707275364</v>
      </c>
      <c r="R195" s="425">
        <v>3.3560000147138283</v>
      </c>
      <c r="S195" s="425">
        <v>62.870428357805473</v>
      </c>
      <c r="T195" s="425">
        <v>21.077428545270632</v>
      </c>
      <c r="U195" s="425">
        <v>6.0071428843906904</v>
      </c>
      <c r="V195" s="425">
        <v>12.309941428048228</v>
      </c>
      <c r="W195" s="425">
        <v>1.5178571258272411</v>
      </c>
      <c r="X195" s="425">
        <v>37.991428375244077</v>
      </c>
      <c r="Y195" s="425">
        <v>5.9287142923900031</v>
      </c>
      <c r="Z195" s="413"/>
      <c r="AA195" s="298"/>
      <c r="AB195" s="298"/>
      <c r="AC195" s="298"/>
      <c r="AD195" s="298"/>
      <c r="AE195" s="286"/>
      <c r="AF195" s="286"/>
    </row>
    <row r="196" spans="13:32" s="730" customFormat="1">
      <c r="M196" s="423"/>
      <c r="N196" s="423"/>
      <c r="O196" s="423"/>
      <c r="P196" s="846">
        <v>36</v>
      </c>
      <c r="Q196" s="425">
        <v>6.8990000316074882</v>
      </c>
      <c r="R196" s="425">
        <v>3.1212857110159686</v>
      </c>
      <c r="S196" s="425">
        <v>65.621286119733483</v>
      </c>
      <c r="T196" s="425">
        <v>23.857142857142815</v>
      </c>
      <c r="U196" s="425">
        <v>6.0528572627476231</v>
      </c>
      <c r="V196" s="425">
        <v>12.697084290640644</v>
      </c>
      <c r="W196" s="425">
        <v>1.0650000040020247</v>
      </c>
      <c r="X196" s="425">
        <v>40.24999999999995</v>
      </c>
      <c r="Y196" s="425">
        <v>6.6625714302062962</v>
      </c>
      <c r="Z196" s="413"/>
      <c r="AA196" s="298"/>
      <c r="AB196" s="298"/>
      <c r="AC196" s="298"/>
      <c r="AD196" s="298"/>
      <c r="AE196" s="286"/>
      <c r="AF196" s="286"/>
    </row>
    <row r="197" spans="13:32" s="730" customFormat="1">
      <c r="M197" s="423"/>
      <c r="N197" s="423"/>
      <c r="O197" s="423"/>
      <c r="P197" s="846">
        <v>37</v>
      </c>
      <c r="Q197" s="425">
        <v>6.6838571003505107</v>
      </c>
      <c r="R197" s="425">
        <v>3.6978571414947474</v>
      </c>
      <c r="S197" s="425">
        <v>65.927430289132204</v>
      </c>
      <c r="T197" s="425">
        <v>21.696428571428545</v>
      </c>
      <c r="U197" s="425">
        <v>5.992857115609298</v>
      </c>
      <c r="V197" s="425">
        <v>12.722499983651257</v>
      </c>
      <c r="W197" s="425">
        <v>1.5737142903464156</v>
      </c>
      <c r="X197" s="425">
        <v>41.220714024135006</v>
      </c>
      <c r="Y197" s="425">
        <v>6.7525714465549971</v>
      </c>
      <c r="Z197" s="413"/>
      <c r="AA197" s="298"/>
      <c r="AB197" s="298"/>
      <c r="AC197" s="298"/>
      <c r="AD197" s="298"/>
      <c r="AE197" s="286"/>
      <c r="AF197" s="286"/>
    </row>
    <row r="198" spans="13:32" s="730" customFormat="1">
      <c r="M198" s="423"/>
      <c r="N198" s="423"/>
      <c r="O198" s="423"/>
      <c r="P198" s="846">
        <v>38</v>
      </c>
      <c r="Q198" s="425">
        <v>7.5399999618530247</v>
      </c>
      <c r="R198" s="425">
        <v>4.336428608285714</v>
      </c>
      <c r="S198" s="425">
        <v>68.259427751813561</v>
      </c>
      <c r="T198" s="425">
        <v>32.958285740443614</v>
      </c>
      <c r="U198" s="425">
        <v>6.3054285049438423</v>
      </c>
      <c r="V198" s="425">
        <v>12.757261548723429</v>
      </c>
      <c r="W198" s="425">
        <v>1.6808571304593714</v>
      </c>
      <c r="X198" s="425">
        <v>38.451428549630243</v>
      </c>
      <c r="Y198" s="425">
        <v>6.3287143026079411</v>
      </c>
      <c r="Z198" s="413"/>
      <c r="AA198" s="298"/>
      <c r="AB198" s="298"/>
      <c r="AC198" s="298"/>
      <c r="AD198" s="298"/>
      <c r="AE198" s="286"/>
      <c r="AF198" s="286"/>
    </row>
    <row r="199" spans="13:32" s="730" customFormat="1">
      <c r="M199" s="423"/>
      <c r="N199" s="423"/>
      <c r="O199" s="423"/>
      <c r="P199" s="846">
        <v>39</v>
      </c>
      <c r="Q199" s="425">
        <v>6.875</v>
      </c>
      <c r="R199" s="425">
        <v>3.7</v>
      </c>
      <c r="S199" s="425">
        <v>75.159429278571437</v>
      </c>
      <c r="T199" s="425">
        <v>41.827428545714284</v>
      </c>
      <c r="U199" s="425">
        <v>7.6855713981428568</v>
      </c>
      <c r="V199" s="425">
        <v>12.744882855714284</v>
      </c>
      <c r="W199" s="425">
        <v>1.6871428661428571</v>
      </c>
      <c r="X199" s="425">
        <v>41.307143075714286</v>
      </c>
      <c r="Y199" s="425">
        <v>7.4534285069999999</v>
      </c>
      <c r="Z199" s="413"/>
      <c r="AA199" s="298"/>
      <c r="AB199" s="298"/>
      <c r="AC199" s="298"/>
      <c r="AD199" s="298"/>
      <c r="AE199" s="286"/>
      <c r="AF199" s="286"/>
    </row>
    <row r="200" spans="13:32" s="730" customFormat="1">
      <c r="M200" s="423"/>
      <c r="N200" s="423"/>
      <c r="O200" s="423">
        <v>40</v>
      </c>
      <c r="P200" s="846">
        <v>40</v>
      </c>
      <c r="Q200" s="425">
        <v>6.0911429268571426</v>
      </c>
      <c r="R200" s="425">
        <v>3.501428569857143</v>
      </c>
      <c r="S200" s="425">
        <v>73.523286004285723</v>
      </c>
      <c r="T200" s="425">
        <v>30.178571428571427</v>
      </c>
      <c r="U200" s="425">
        <v>7.8047143392857157</v>
      </c>
      <c r="V200" s="425">
        <v>13.59601129857143</v>
      </c>
      <c r="W200" s="425">
        <v>1.6130000010000001</v>
      </c>
      <c r="X200" s="425">
        <v>45.036428724285713</v>
      </c>
      <c r="Y200" s="425">
        <v>6.0369999748571432</v>
      </c>
      <c r="Z200" s="413"/>
      <c r="AA200" s="298"/>
      <c r="AB200" s="298"/>
      <c r="AC200" s="298"/>
      <c r="AD200" s="298"/>
      <c r="AE200" s="286"/>
      <c r="AF200" s="286"/>
    </row>
    <row r="201" spans="13:32" s="730" customFormat="1">
      <c r="M201" s="423"/>
      <c r="N201" s="423"/>
      <c r="O201" s="423"/>
      <c r="P201" s="846">
        <v>41</v>
      </c>
      <c r="Q201" s="425">
        <v>5.8652857372857152</v>
      </c>
      <c r="R201" s="425">
        <v>4.2169999735714283</v>
      </c>
      <c r="S201" s="425">
        <v>67.761285509999993</v>
      </c>
      <c r="T201" s="425">
        <v>24.547571454285713</v>
      </c>
      <c r="U201" s="425">
        <v>6.762428624428571</v>
      </c>
      <c r="V201" s="425">
        <v>13.258037294285714</v>
      </c>
      <c r="W201" s="425">
        <v>1.8452857051428571</v>
      </c>
      <c r="X201" s="425">
        <v>44.255714417142862</v>
      </c>
      <c r="Y201" s="425">
        <v>6.8767141612857143</v>
      </c>
      <c r="Z201" s="413"/>
      <c r="AA201" s="298"/>
      <c r="AB201" s="298"/>
      <c r="AC201" s="298"/>
      <c r="AD201" s="298"/>
      <c r="AE201" s="286"/>
      <c r="AF201" s="286"/>
    </row>
    <row r="202" spans="13:32" s="730" customFormat="1">
      <c r="M202" s="423"/>
      <c r="N202" s="423"/>
      <c r="O202" s="423"/>
      <c r="P202" s="846">
        <v>42</v>
      </c>
      <c r="Q202" s="425">
        <v>6.6280000550406255</v>
      </c>
      <c r="R202" s="425">
        <v>4.7599999564034556</v>
      </c>
      <c r="S202" s="425">
        <v>71.132857186453606</v>
      </c>
      <c r="T202" s="425">
        <v>41.773857116699205</v>
      </c>
      <c r="U202" s="425">
        <v>7.8334286553519048</v>
      </c>
      <c r="V202" s="425">
        <v>12.748987061636742</v>
      </c>
      <c r="W202" s="425">
        <v>1.9990000043596503</v>
      </c>
      <c r="X202" s="425">
        <v>49.407857077462303</v>
      </c>
      <c r="Y202" s="425">
        <v>6.4478571755545433</v>
      </c>
      <c r="Z202" s="413"/>
      <c r="AA202" s="298"/>
      <c r="AB202" s="298"/>
      <c r="AC202" s="298"/>
      <c r="AD202" s="298"/>
      <c r="AE202" s="286"/>
      <c r="AF202" s="286"/>
    </row>
    <row r="203" spans="13:32" s="730" customFormat="1">
      <c r="M203" s="423"/>
      <c r="N203" s="423"/>
      <c r="O203" s="423"/>
      <c r="P203" s="846">
        <v>43</v>
      </c>
      <c r="Q203" s="425">
        <v>7.1351429394285715</v>
      </c>
      <c r="R203" s="425">
        <v>5.693714175857143</v>
      </c>
      <c r="S203" s="425">
        <v>76.869857788571409</v>
      </c>
      <c r="T203" s="425">
        <v>39.60114288285714</v>
      </c>
      <c r="U203" s="425">
        <v>6.4934286387142857</v>
      </c>
      <c r="V203" s="425">
        <v>12.771309988571426</v>
      </c>
      <c r="W203" s="425">
        <v>1.5481428758571429</v>
      </c>
      <c r="X203" s="425">
        <v>49.056428090000004</v>
      </c>
      <c r="Y203" s="425">
        <v>6.2457143240000006</v>
      </c>
      <c r="Z203" s="413"/>
      <c r="AA203" s="298"/>
      <c r="AB203" s="298"/>
      <c r="AC203" s="298"/>
      <c r="AD203" s="298"/>
      <c r="AE203" s="286"/>
      <c r="AF203" s="286"/>
    </row>
    <row r="204" spans="13:32" s="730" customFormat="1">
      <c r="M204" s="423"/>
      <c r="N204" s="423"/>
      <c r="O204" s="423">
        <v>44</v>
      </c>
      <c r="P204" s="846">
        <v>44</v>
      </c>
      <c r="Q204" s="425">
        <v>6.1070000102857147</v>
      </c>
      <c r="R204" s="425">
        <v>4.3958570957142857</v>
      </c>
      <c r="S204" s="425">
        <v>68.664999825714276</v>
      </c>
      <c r="T204" s="425">
        <v>36.702285765714286</v>
      </c>
      <c r="U204" s="425">
        <v>5.6301428931428577</v>
      </c>
      <c r="V204" s="425">
        <v>13.156308445714286</v>
      </c>
      <c r="W204" s="425">
        <v>1.4392857041428573</v>
      </c>
      <c r="X204" s="425">
        <v>48.241428374285711</v>
      </c>
      <c r="Y204" s="425">
        <v>6.5374285491428568</v>
      </c>
      <c r="Z204" s="413"/>
      <c r="AA204" s="298"/>
      <c r="AB204" s="298"/>
      <c r="AC204" s="298"/>
      <c r="AD204" s="298"/>
      <c r="AE204" s="286"/>
      <c r="AF204" s="286"/>
    </row>
    <row r="205" spans="13:32">
      <c r="P205" s="424"/>
      <c r="Q205" s="425"/>
      <c r="R205" s="425"/>
      <c r="S205" s="425"/>
      <c r="T205" s="425"/>
      <c r="U205" s="425"/>
      <c r="V205" s="425"/>
      <c r="W205" s="425"/>
      <c r="X205" s="425"/>
      <c r="Y205" s="425"/>
    </row>
    <row r="206" spans="13:32">
      <c r="P206" s="424"/>
      <c r="Q206" s="425"/>
      <c r="R206" s="425"/>
      <c r="S206" s="425"/>
      <c r="T206" s="425"/>
      <c r="U206" s="425"/>
      <c r="V206" s="425"/>
      <c r="W206" s="425"/>
      <c r="X206" s="425"/>
      <c r="Y206" s="425"/>
    </row>
    <row r="207" spans="13:32">
      <c r="P207" s="424"/>
      <c r="Q207" s="425"/>
      <c r="R207" s="425"/>
      <c r="S207" s="425"/>
      <c r="T207" s="425"/>
      <c r="U207" s="425"/>
      <c r="V207" s="425"/>
      <c r="W207" s="425"/>
      <c r="X207" s="425"/>
      <c r="Y207" s="425"/>
    </row>
    <row r="208" spans="13:32">
      <c r="P208" s="424"/>
      <c r="Q208" s="425"/>
      <c r="R208" s="425"/>
      <c r="S208" s="425"/>
      <c r="T208" s="425"/>
      <c r="U208" s="425"/>
      <c r="V208" s="425"/>
      <c r="W208" s="425"/>
      <c r="X208" s="425"/>
      <c r="Y208" s="425"/>
    </row>
    <row r="209" spans="16:25">
      <c r="P209" s="424"/>
      <c r="Q209" s="425"/>
      <c r="R209" s="425"/>
      <c r="S209" s="425"/>
      <c r="T209" s="425"/>
      <c r="U209" s="425"/>
      <c r="V209" s="425"/>
      <c r="W209" s="425"/>
      <c r="X209" s="425"/>
      <c r="Y209" s="425"/>
    </row>
    <row r="210" spans="16:25">
      <c r="Q210" s="767" t="s">
        <v>266</v>
      </c>
      <c r="R210" s="767" t="s">
        <v>267</v>
      </c>
      <c r="S210" s="767" t="s">
        <v>268</v>
      </c>
      <c r="T210" s="767" t="s">
        <v>269</v>
      </c>
      <c r="U210" s="767" t="s">
        <v>270</v>
      </c>
      <c r="V210" s="767" t="s">
        <v>271</v>
      </c>
      <c r="W210" s="767" t="s">
        <v>272</v>
      </c>
      <c r="X210" s="767" t="s">
        <v>273</v>
      </c>
      <c r="Y210" s="767" t="s">
        <v>274</v>
      </c>
    </row>
    <row r="213" spans="16:25">
      <c r="P213" s="424"/>
      <c r="Q213" s="425"/>
      <c r="R213" s="425"/>
      <c r="S213" s="425"/>
      <c r="T213" s="425"/>
      <c r="U213" s="425"/>
      <c r="V213" s="425"/>
      <c r="W213" s="425"/>
      <c r="X213" s="425"/>
      <c r="Y213" s="425"/>
    </row>
    <row r="214" spans="16:25">
      <c r="P214" s="424"/>
      <c r="Q214" s="425"/>
      <c r="R214" s="425"/>
      <c r="S214" s="425"/>
      <c r="T214" s="425"/>
      <c r="U214" s="425"/>
      <c r="V214" s="425"/>
      <c r="W214" s="425"/>
      <c r="X214" s="425"/>
      <c r="Y214" s="425"/>
    </row>
    <row r="215" spans="16:25">
      <c r="P215" s="424"/>
      <c r="Q215" s="425"/>
      <c r="R215" s="425"/>
      <c r="S215" s="425"/>
      <c r="T215" s="425"/>
      <c r="U215" s="425"/>
      <c r="V215" s="425"/>
      <c r="W215" s="425"/>
      <c r="X215" s="425"/>
      <c r="Y215" s="425"/>
    </row>
    <row r="216" spans="16:25">
      <c r="P216" s="424"/>
      <c r="Q216" s="425"/>
      <c r="R216" s="425"/>
      <c r="S216" s="425"/>
      <c r="T216" s="425"/>
      <c r="U216" s="425"/>
      <c r="V216" s="425"/>
      <c r="W216" s="425"/>
      <c r="X216" s="425"/>
      <c r="Y216" s="425"/>
    </row>
    <row r="217" spans="16:25">
      <c r="P217" s="424"/>
      <c r="Q217" s="425"/>
      <c r="R217" s="425"/>
      <c r="S217" s="732"/>
      <c r="T217" s="425"/>
      <c r="U217" s="425"/>
      <c r="V217" s="425"/>
      <c r="W217" s="425"/>
      <c r="X217" s="425"/>
      <c r="Y217" s="425"/>
    </row>
    <row r="218" spans="16:25">
      <c r="P218" s="424"/>
      <c r="Q218" s="425"/>
      <c r="R218" s="425"/>
      <c r="S218" s="732"/>
      <c r="T218" s="425"/>
      <c r="U218" s="425"/>
      <c r="V218" s="425"/>
      <c r="W218" s="425"/>
      <c r="X218" s="425"/>
      <c r="Y218" s="425"/>
    </row>
    <row r="219" spans="16:25">
      <c r="P219" s="424"/>
      <c r="Q219" s="425"/>
      <c r="R219" s="425"/>
      <c r="S219" s="732"/>
      <c r="T219" s="425"/>
      <c r="U219" s="425"/>
      <c r="V219" s="425"/>
      <c r="W219" s="425"/>
      <c r="X219" s="425"/>
      <c r="Y219" s="425"/>
    </row>
    <row r="220" spans="16:25">
      <c r="P220" s="424"/>
      <c r="Q220" s="425"/>
      <c r="R220" s="425"/>
      <c r="S220" s="732"/>
      <c r="T220" s="425"/>
      <c r="U220" s="425"/>
      <c r="V220" s="425"/>
      <c r="W220" s="425"/>
      <c r="X220" s="425"/>
      <c r="Y220" s="425"/>
    </row>
    <row r="221" spans="16:25">
      <c r="P221" s="424"/>
      <c r="Q221" s="425"/>
      <c r="R221" s="425"/>
      <c r="S221" s="732"/>
      <c r="T221" s="425"/>
      <c r="U221" s="425"/>
      <c r="V221" s="425"/>
      <c r="W221" s="425"/>
      <c r="X221" s="425"/>
      <c r="Y221" s="425"/>
    </row>
    <row r="222" spans="16:25">
      <c r="P222" s="424"/>
      <c r="Q222" s="425"/>
      <c r="R222" s="425"/>
      <c r="S222" s="425"/>
      <c r="T222" s="425"/>
      <c r="U222" s="425"/>
      <c r="V222" s="425"/>
      <c r="W222" s="425"/>
      <c r="X222" s="425"/>
      <c r="Y222" s="425"/>
    </row>
    <row r="223" spans="16:25">
      <c r="P223" s="424"/>
      <c r="Q223" s="425"/>
      <c r="R223" s="425"/>
      <c r="S223" s="425"/>
      <c r="T223" s="425"/>
      <c r="U223" s="425"/>
      <c r="V223" s="425"/>
      <c r="W223" s="425"/>
      <c r="X223" s="425"/>
      <c r="Y223" s="425"/>
    </row>
    <row r="224" spans="16:25">
      <c r="P224" s="424"/>
      <c r="Q224" s="425"/>
      <c r="R224" s="425"/>
      <c r="S224" s="425"/>
      <c r="T224" s="425"/>
      <c r="U224" s="425"/>
      <c r="V224" s="425"/>
      <c r="W224" s="425"/>
      <c r="X224" s="425"/>
      <c r="Y224" s="425"/>
    </row>
    <row r="225" spans="16:25">
      <c r="P225" s="424"/>
      <c r="Q225" s="425"/>
      <c r="R225" s="425"/>
      <c r="S225" s="425"/>
      <c r="T225" s="425"/>
      <c r="U225" s="425"/>
      <c r="V225" s="425"/>
      <c r="W225" s="425"/>
      <c r="X225" s="425"/>
      <c r="Y225" s="425"/>
    </row>
    <row r="226" spans="16:25">
      <c r="P226" s="424"/>
      <c r="Q226" s="425"/>
      <c r="R226" s="425"/>
      <c r="S226" s="425"/>
      <c r="T226" s="425"/>
      <c r="U226" s="425"/>
      <c r="V226" s="425"/>
      <c r="W226" s="425"/>
      <c r="X226" s="425"/>
      <c r="Y226" s="425"/>
    </row>
    <row r="227" spans="16:25">
      <c r="P227" s="424"/>
      <c r="Q227" s="425"/>
      <c r="R227" s="425"/>
      <c r="S227" s="425"/>
      <c r="T227" s="425"/>
      <c r="U227" s="425"/>
      <c r="V227" s="425"/>
      <c r="W227" s="425"/>
      <c r="X227" s="425"/>
      <c r="Y227" s="425"/>
    </row>
    <row r="228" spans="16:25">
      <c r="P228" s="424"/>
      <c r="Q228" s="425"/>
      <c r="R228" s="425"/>
      <c r="S228" s="425"/>
      <c r="T228" s="425"/>
      <c r="U228" s="425"/>
      <c r="V228" s="425"/>
      <c r="W228" s="425"/>
      <c r="X228" s="425"/>
      <c r="Y228" s="425"/>
    </row>
    <row r="229" spans="16:25">
      <c r="P229" s="424"/>
      <c r="Q229" s="425"/>
      <c r="R229" s="425"/>
      <c r="S229" s="425"/>
      <c r="T229" s="425"/>
      <c r="U229" s="425"/>
      <c r="V229" s="425"/>
      <c r="W229" s="425"/>
      <c r="X229" s="425"/>
      <c r="Y229" s="425"/>
    </row>
    <row r="230" spans="16:25">
      <c r="P230" s="424"/>
      <c r="Q230" s="425"/>
      <c r="R230" s="425"/>
      <c r="S230" s="425"/>
      <c r="T230" s="425"/>
      <c r="U230" s="425"/>
      <c r="V230" s="425"/>
      <c r="W230" s="425"/>
      <c r="X230" s="425"/>
      <c r="Y230" s="425"/>
    </row>
    <row r="231" spans="16:25">
      <c r="P231" s="424"/>
      <c r="Q231" s="425"/>
      <c r="R231" s="425"/>
      <c r="S231" s="425"/>
      <c r="T231" s="425"/>
      <c r="U231" s="425"/>
      <c r="V231" s="425"/>
      <c r="W231" s="425"/>
      <c r="X231" s="425"/>
      <c r="Y231" s="425"/>
    </row>
    <row r="232" spans="16:25">
      <c r="P232" s="424"/>
      <c r="Q232" s="425"/>
      <c r="R232" s="425"/>
      <c r="S232" s="425"/>
      <c r="T232" s="425"/>
      <c r="U232" s="425"/>
      <c r="V232" s="425"/>
      <c r="W232" s="425"/>
      <c r="X232" s="425"/>
      <c r="Y232" s="425"/>
    </row>
    <row r="233" spans="16:25">
      <c r="P233" s="424"/>
      <c r="Q233" s="425"/>
      <c r="R233" s="425"/>
      <c r="S233" s="425"/>
      <c r="T233" s="425"/>
      <c r="U233" s="425"/>
      <c r="V233" s="425"/>
      <c r="W233" s="425"/>
      <c r="X233" s="425"/>
      <c r="Y233" s="425"/>
    </row>
    <row r="234" spans="16:25">
      <c r="P234" s="424"/>
      <c r="Q234" s="425"/>
      <c r="R234" s="425"/>
      <c r="S234" s="425"/>
      <c r="T234" s="425"/>
      <c r="U234" s="425"/>
      <c r="V234" s="425"/>
      <c r="W234" s="425"/>
      <c r="X234" s="425"/>
      <c r="Y234" s="425"/>
    </row>
    <row r="235" spans="16:25">
      <c r="P235" s="424"/>
      <c r="Q235" s="425"/>
      <c r="R235" s="425"/>
      <c r="S235" s="425"/>
      <c r="T235" s="425"/>
      <c r="U235" s="425"/>
      <c r="V235" s="425"/>
      <c r="W235" s="425"/>
      <c r="X235" s="425"/>
      <c r="Y235" s="425"/>
    </row>
    <row r="236" spans="16:25">
      <c r="P236" s="424"/>
      <c r="Q236" s="425"/>
      <c r="R236" s="425"/>
      <c r="S236" s="425"/>
      <c r="T236" s="425"/>
      <c r="U236" s="425"/>
      <c r="V236" s="425"/>
      <c r="W236" s="425"/>
      <c r="X236" s="425"/>
      <c r="Y236" s="425"/>
    </row>
    <row r="237" spans="16:25">
      <c r="P237" s="424"/>
      <c r="Q237" s="425"/>
      <c r="R237" s="425"/>
      <c r="S237" s="425"/>
      <c r="T237" s="425"/>
      <c r="U237" s="425"/>
      <c r="V237" s="425"/>
      <c r="W237" s="425"/>
      <c r="X237" s="425"/>
      <c r="Y237" s="425"/>
    </row>
    <row r="238" spans="16:25">
      <c r="P238" s="424"/>
      <c r="Q238" s="425"/>
      <c r="R238" s="425"/>
      <c r="S238" s="425"/>
      <c r="T238" s="425"/>
      <c r="U238" s="425"/>
      <c r="V238" s="425"/>
      <c r="W238" s="425"/>
      <c r="X238" s="425"/>
      <c r="Y238" s="425"/>
    </row>
    <row r="239" spans="16:25">
      <c r="P239" s="424"/>
      <c r="Q239" s="425"/>
      <c r="R239" s="425"/>
      <c r="S239" s="425"/>
      <c r="T239" s="425"/>
      <c r="U239" s="425"/>
      <c r="V239" s="425"/>
      <c r="W239" s="425"/>
      <c r="X239" s="425"/>
      <c r="Y239" s="425"/>
    </row>
    <row r="240" spans="16:25">
      <c r="P240" s="424"/>
      <c r="Q240" s="425"/>
      <c r="R240" s="425"/>
      <c r="S240" s="425"/>
      <c r="T240" s="425"/>
      <c r="U240" s="425"/>
      <c r="V240" s="425"/>
      <c r="W240" s="425"/>
      <c r="X240" s="425"/>
      <c r="Y240" s="425"/>
    </row>
    <row r="241" spans="16:25">
      <c r="P241" s="424"/>
      <c r="Q241" s="425"/>
      <c r="R241" s="425"/>
      <c r="S241" s="425"/>
      <c r="T241" s="425"/>
      <c r="U241" s="425"/>
      <c r="V241" s="425"/>
      <c r="W241" s="425"/>
      <c r="X241" s="425"/>
      <c r="Y241" s="425"/>
    </row>
    <row r="242" spans="16:25">
      <c r="P242" s="424"/>
      <c r="Q242" s="425"/>
      <c r="R242" s="425"/>
      <c r="S242" s="425"/>
      <c r="T242" s="425"/>
      <c r="U242" s="425"/>
      <c r="V242" s="425"/>
      <c r="W242" s="425"/>
      <c r="X242" s="425"/>
      <c r="Y242" s="425"/>
    </row>
    <row r="243" spans="16:25">
      <c r="P243" s="424"/>
    </row>
  </sheetData>
  <mergeCells count="3">
    <mergeCell ref="A65:L65"/>
    <mergeCell ref="A40:L40"/>
    <mergeCell ref="A18:L18"/>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Mensual-Octubre 2020
INFSGI-MES-10-2020
12/11/2020
Versión: 01</oddHeader>
    <oddFooter>&amp;L&amp;7COES, 2020&amp;C13&amp;R&amp;7Dirección Ejecutiva
Sub Dirección de Gestión de Información</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theme="4"/>
  </sheetPr>
  <dimension ref="A1:U59"/>
  <sheetViews>
    <sheetView showGridLines="0" view="pageBreakPreview" zoomScaleNormal="100" zoomScaleSheetLayoutView="100" zoomScalePageLayoutView="160" workbookViewId="0">
      <selection activeCell="L37" sqref="L37"/>
    </sheetView>
  </sheetViews>
  <sheetFormatPr defaultColWidth="9.33203125" defaultRowHeight="11.25"/>
  <cols>
    <col min="1" max="1" width="6" customWidth="1"/>
    <col min="2" max="3" width="13.5" customWidth="1"/>
    <col min="4" max="4" width="12.5" customWidth="1"/>
    <col min="5" max="5" width="12.1640625" customWidth="1"/>
    <col min="6" max="6" width="15.83203125" customWidth="1"/>
    <col min="7" max="7" width="13.5" customWidth="1"/>
    <col min="8" max="8" width="12.5" customWidth="1"/>
    <col min="9" max="9" width="11.6640625" customWidth="1"/>
    <col min="10" max="11" width="9.33203125" style="630" customWidth="1"/>
    <col min="12" max="12" width="9.33203125" style="630"/>
    <col min="13" max="13" width="20.5" style="672" customWidth="1"/>
    <col min="14" max="21" width="9.33203125" style="768"/>
  </cols>
  <sheetData>
    <row r="1" spans="1:17" ht="11.25" customHeight="1"/>
    <row r="2" spans="1:17" ht="11.25" customHeight="1">
      <c r="A2" s="939" t="s">
        <v>456</v>
      </c>
      <c r="B2" s="939"/>
      <c r="C2" s="939"/>
      <c r="D2" s="939"/>
      <c r="E2" s="939"/>
      <c r="F2" s="939"/>
      <c r="G2" s="939"/>
      <c r="H2" s="939"/>
      <c r="I2" s="939"/>
      <c r="J2" s="939"/>
      <c r="K2" s="939"/>
    </row>
    <row r="3" spans="1:17" ht="11.25" customHeight="1">
      <c r="A3" s="18"/>
      <c r="B3" s="18"/>
      <c r="C3" s="18"/>
      <c r="D3" s="18"/>
      <c r="E3" s="18"/>
      <c r="F3" s="18"/>
      <c r="G3" s="18"/>
      <c r="H3" s="18"/>
      <c r="I3" s="18"/>
      <c r="J3" s="655"/>
      <c r="K3" s="655"/>
      <c r="L3" s="329"/>
    </row>
    <row r="4" spans="1:17" ht="11.25" customHeight="1">
      <c r="A4" s="923" t="s">
        <v>387</v>
      </c>
      <c r="B4" s="923"/>
      <c r="C4" s="923"/>
      <c r="D4" s="923"/>
      <c r="E4" s="923"/>
      <c r="F4" s="923"/>
      <c r="G4" s="923"/>
      <c r="H4" s="923"/>
      <c r="I4" s="183"/>
      <c r="J4" s="656"/>
      <c r="L4" s="329"/>
    </row>
    <row r="5" spans="1:17" ht="7.5" customHeight="1">
      <c r="A5" s="184"/>
      <c r="B5" s="184"/>
      <c r="C5" s="184"/>
      <c r="D5" s="184"/>
      <c r="E5" s="184"/>
      <c r="F5" s="184"/>
      <c r="G5" s="184"/>
      <c r="H5" s="184"/>
      <c r="I5" s="184"/>
      <c r="J5" s="657"/>
      <c r="L5" s="658"/>
    </row>
    <row r="6" spans="1:17" ht="11.25" customHeight="1">
      <c r="A6" s="184"/>
      <c r="B6" s="188" t="s">
        <v>388</v>
      </c>
      <c r="C6" s="184"/>
      <c r="D6" s="184"/>
      <c r="E6" s="184"/>
      <c r="F6" s="184"/>
      <c r="G6" s="184"/>
      <c r="H6" s="184"/>
      <c r="I6" s="184"/>
      <c r="J6" s="657"/>
      <c r="L6" s="659"/>
    </row>
    <row r="7" spans="1:17" ht="7.5" customHeight="1">
      <c r="A7" s="184"/>
      <c r="B7" s="185"/>
      <c r="C7" s="184"/>
      <c r="D7" s="184"/>
      <c r="E7" s="184"/>
      <c r="F7" s="184"/>
      <c r="G7" s="184"/>
      <c r="H7" s="184"/>
      <c r="I7" s="184"/>
      <c r="J7" s="657"/>
      <c r="L7" s="660"/>
    </row>
    <row r="8" spans="1:17" ht="21" customHeight="1">
      <c r="A8" s="184"/>
      <c r="B8" s="490" t="s">
        <v>166</v>
      </c>
      <c r="C8" s="491" t="s">
        <v>167</v>
      </c>
      <c r="D8" s="491" t="s">
        <v>168</v>
      </c>
      <c r="E8" s="491" t="s">
        <v>170</v>
      </c>
      <c r="F8" s="491" t="s">
        <v>169</v>
      </c>
      <c r="G8" s="492" t="s">
        <v>171</v>
      </c>
      <c r="H8" s="180"/>
      <c r="I8" s="180"/>
      <c r="J8" s="661"/>
      <c r="L8" s="662"/>
      <c r="M8" s="673" t="s">
        <v>167</v>
      </c>
      <c r="N8" s="769" t="str">
        <f>M8&amp;"
 ("&amp;ROUND(HLOOKUP(M8,$C$8:$G$9,2,0),2)&amp;" USD/MWh)"</f>
        <v>PIURA OESTE 220
 (17,98 USD/MWh)</v>
      </c>
      <c r="O8" s="286"/>
      <c r="P8" s="286"/>
      <c r="Q8" s="286"/>
    </row>
    <row r="9" spans="1:17" ht="18" customHeight="1">
      <c r="A9" s="184"/>
      <c r="B9" s="493" t="s">
        <v>172</v>
      </c>
      <c r="C9" s="270">
        <v>17.984976469013525</v>
      </c>
      <c r="D9" s="270">
        <v>17.878693518270694</v>
      </c>
      <c r="E9" s="270">
        <v>17.483911201274502</v>
      </c>
      <c r="F9" s="270">
        <v>17.334852147749007</v>
      </c>
      <c r="G9" s="270">
        <v>17.675244158338142</v>
      </c>
      <c r="H9" s="180"/>
      <c r="I9" s="180"/>
      <c r="J9" s="661"/>
      <c r="K9" s="661"/>
      <c r="L9" s="662"/>
      <c r="M9" s="673" t="s">
        <v>168</v>
      </c>
      <c r="N9" s="769" t="str">
        <f>M9&amp;"
("&amp;ROUND(HLOOKUP(M9,$C$8:$G$9,2,0),2)&amp;" USD/MWh)"</f>
        <v>CHICLAYO 220
(17,88 USD/MWh)</v>
      </c>
      <c r="O9" s="286"/>
      <c r="P9" s="286"/>
      <c r="Q9" s="286"/>
    </row>
    <row r="10" spans="1:17" ht="14.25" customHeight="1">
      <c r="A10" s="184"/>
      <c r="B10" s="963" t="str">
        <f>"Cuadro N°11: Valor de los costos marginales medios registrados en las principales barras del área norte durante el mes de "&amp;'1. Resumen'!Q4</f>
        <v>Cuadro N°11: Valor de los costos marginales medios registrados en las principales barras del área norte durante el mes de octubre</v>
      </c>
      <c r="C10" s="963"/>
      <c r="D10" s="963"/>
      <c r="E10" s="963"/>
      <c r="F10" s="963"/>
      <c r="G10" s="963"/>
      <c r="H10" s="963"/>
      <c r="I10" s="963"/>
      <c r="J10" s="661"/>
      <c r="K10" s="661"/>
      <c r="L10" s="662"/>
      <c r="M10" s="673" t="s">
        <v>170</v>
      </c>
      <c r="N10" s="769" t="str">
        <f>M10&amp;"
("&amp;ROUND(HLOOKUP(M10,$C$8:$G$9,2,0),2)&amp;" USD/MWh)"</f>
        <v>TRUJILLO 220
(17,48 USD/MWh)</v>
      </c>
      <c r="O10" s="286"/>
      <c r="P10" s="286"/>
      <c r="Q10" s="286"/>
    </row>
    <row r="11" spans="1:17" ht="11.25" customHeight="1">
      <c r="A11" s="184"/>
      <c r="B11" s="191"/>
      <c r="C11" s="180"/>
      <c r="D11" s="180"/>
      <c r="E11" s="180"/>
      <c r="F11" s="180"/>
      <c r="G11" s="180"/>
      <c r="H11" s="180"/>
      <c r="I11" s="180"/>
      <c r="J11" s="661"/>
      <c r="K11" s="661"/>
      <c r="L11" s="662"/>
      <c r="M11" s="673" t="s">
        <v>169</v>
      </c>
      <c r="N11" s="769" t="str">
        <f>M11&amp;"
("&amp;ROUND(HLOOKUP(M11,$C$8:$G$9,2,0),2)&amp;" USD/MWh)"</f>
        <v>CHIMBOTE1 138
(17,33 USD/MWh)</v>
      </c>
      <c r="O11" s="286"/>
      <c r="P11" s="286"/>
      <c r="Q11" s="286"/>
    </row>
    <row r="12" spans="1:17" ht="11.25" customHeight="1">
      <c r="A12" s="184"/>
      <c r="B12" s="180"/>
      <c r="C12" s="180"/>
      <c r="D12" s="180"/>
      <c r="E12" s="180"/>
      <c r="F12" s="180"/>
      <c r="G12" s="180"/>
      <c r="H12" s="180"/>
      <c r="I12" s="180"/>
      <c r="J12" s="661"/>
      <c r="K12" s="661"/>
      <c r="L12" s="663"/>
      <c r="M12" s="673" t="s">
        <v>171</v>
      </c>
      <c r="N12" s="769" t="str">
        <f>M12&amp;"
("&amp;ROUND(HLOOKUP(M12,$C$8:$G$9,2,0),2)&amp;" USD/MWh)"</f>
        <v>CAJAMARCA 220
(17,68 USD/MWh)</v>
      </c>
      <c r="O12" s="286"/>
      <c r="P12" s="286"/>
      <c r="Q12" s="286"/>
    </row>
    <row r="13" spans="1:17" ht="11.25" customHeight="1">
      <c r="A13" s="184"/>
      <c r="B13" s="180"/>
      <c r="C13" s="180"/>
      <c r="D13" s="180"/>
      <c r="E13" s="180"/>
      <c r="F13" s="180"/>
      <c r="G13" s="180"/>
      <c r="H13" s="180"/>
      <c r="I13" s="180"/>
      <c r="J13" s="661"/>
      <c r="K13" s="661"/>
      <c r="L13" s="662"/>
      <c r="M13" s="673"/>
      <c r="N13" s="769"/>
      <c r="O13" s="673"/>
      <c r="P13" s="286"/>
      <c r="Q13" s="286"/>
    </row>
    <row r="14" spans="1:17" ht="11.25" customHeight="1">
      <c r="A14" s="184"/>
      <c r="B14" s="180"/>
      <c r="C14" s="180"/>
      <c r="D14" s="180"/>
      <c r="E14" s="180"/>
      <c r="F14" s="180"/>
      <c r="G14" s="180"/>
      <c r="H14" s="180"/>
      <c r="I14" s="180"/>
      <c r="J14" s="661"/>
      <c r="K14" s="661"/>
      <c r="L14" s="662"/>
      <c r="M14" s="673" t="s">
        <v>447</v>
      </c>
      <c r="N14" s="769" t="str">
        <f>M14&amp;"
("&amp;ROUND(HLOOKUP(M14,$C$26:$I$27,2,0),2)&amp;" USD/MWh)"</f>
        <v>CHAVARRIA 220
(16,66 USD/MWh)</v>
      </c>
      <c r="O14" s="286"/>
      <c r="P14" s="286"/>
      <c r="Q14" s="286"/>
    </row>
    <row r="15" spans="1:17" ht="11.25" customHeight="1">
      <c r="A15" s="184"/>
      <c r="B15" s="180"/>
      <c r="C15" s="180"/>
      <c r="D15" s="180"/>
      <c r="E15" s="180"/>
      <c r="F15" s="180"/>
      <c r="G15" s="180"/>
      <c r="H15" s="180"/>
      <c r="I15" s="180"/>
      <c r="J15" s="661"/>
      <c r="K15" s="661"/>
      <c r="L15" s="662"/>
      <c r="M15" s="673" t="s">
        <v>175</v>
      </c>
      <c r="N15" s="769" t="str">
        <f t="shared" ref="N15:N20" si="0">M15&amp;"
("&amp;ROUND(HLOOKUP(M15,$C$26:$I$27,2,0),2)&amp;" USD/MWh)"</f>
        <v>INDEPENDENCIA 220
(16,59 USD/MWh)</v>
      </c>
      <c r="O15" s="286"/>
      <c r="P15" s="286"/>
      <c r="Q15" s="286"/>
    </row>
    <row r="16" spans="1:17" ht="11.25" customHeight="1">
      <c r="A16" s="184"/>
      <c r="B16" s="180"/>
      <c r="C16" s="180"/>
      <c r="D16" s="180"/>
      <c r="E16" s="180"/>
      <c r="F16" s="180"/>
      <c r="G16" s="180"/>
      <c r="H16" s="180"/>
      <c r="I16" s="180"/>
      <c r="J16" s="661"/>
      <c r="K16" s="661"/>
      <c r="L16" s="662"/>
      <c r="M16" s="673" t="s">
        <v>176</v>
      </c>
      <c r="N16" s="769" t="str">
        <f t="shared" si="0"/>
        <v>CARABAYLLO 220
(16,65 USD/MWh)</v>
      </c>
      <c r="O16" s="286"/>
      <c r="P16" s="286"/>
      <c r="Q16" s="286"/>
    </row>
    <row r="17" spans="1:17" ht="11.25" customHeight="1">
      <c r="A17" s="184"/>
      <c r="B17" s="180"/>
      <c r="C17" s="180"/>
      <c r="D17" s="180"/>
      <c r="E17" s="180"/>
      <c r="F17" s="180"/>
      <c r="G17" s="180"/>
      <c r="H17" s="180"/>
      <c r="I17" s="180"/>
      <c r="J17" s="661"/>
      <c r="K17" s="661"/>
      <c r="L17" s="662"/>
      <c r="M17" s="673" t="s">
        <v>173</v>
      </c>
      <c r="N17" s="769" t="str">
        <f t="shared" si="0"/>
        <v>SANTA ROSA 220
(16,6 USD/MWh)</v>
      </c>
      <c r="O17" s="286"/>
      <c r="P17" s="286"/>
      <c r="Q17" s="286"/>
    </row>
    <row r="18" spans="1:17" ht="11.25" customHeight="1">
      <c r="A18" s="184"/>
      <c r="B18" s="180"/>
      <c r="C18" s="180"/>
      <c r="D18" s="180"/>
      <c r="E18" s="180"/>
      <c r="F18" s="180"/>
      <c r="G18" s="180"/>
      <c r="H18" s="180"/>
      <c r="I18" s="180"/>
      <c r="J18" s="661"/>
      <c r="K18" s="661"/>
      <c r="L18" s="662"/>
      <c r="M18" s="673" t="s">
        <v>174</v>
      </c>
      <c r="N18" s="769" t="str">
        <f t="shared" si="0"/>
        <v>SAN JUAN 220
(16,47 USD/MWh)</v>
      </c>
      <c r="O18" s="286"/>
      <c r="P18" s="286"/>
      <c r="Q18" s="286"/>
    </row>
    <row r="19" spans="1:17" ht="11.25" customHeight="1">
      <c r="A19" s="184"/>
      <c r="B19" s="180"/>
      <c r="C19" s="180"/>
      <c r="D19" s="180"/>
      <c r="E19" s="180"/>
      <c r="F19" s="180"/>
      <c r="G19" s="180"/>
      <c r="H19" s="180"/>
      <c r="I19" s="180"/>
      <c r="J19" s="661"/>
      <c r="K19" s="661"/>
      <c r="L19" s="664"/>
      <c r="M19" s="673" t="s">
        <v>177</v>
      </c>
      <c r="N19" s="769" t="str">
        <f t="shared" si="0"/>
        <v>POMACOCHA 220
(16,33 USD/MWh)</v>
      </c>
      <c r="O19" s="286"/>
      <c r="P19" s="286"/>
      <c r="Q19" s="286"/>
    </row>
    <row r="20" spans="1:17" ht="11.25" customHeight="1">
      <c r="A20" s="184"/>
      <c r="B20" s="190"/>
      <c r="C20" s="190"/>
      <c r="D20" s="190"/>
      <c r="E20" s="190"/>
      <c r="F20" s="190"/>
      <c r="G20" s="180"/>
      <c r="H20" s="180"/>
      <c r="I20" s="180"/>
      <c r="J20" s="661"/>
      <c r="K20" s="661"/>
      <c r="L20" s="662"/>
      <c r="M20" s="673" t="s">
        <v>178</v>
      </c>
      <c r="N20" s="769" t="str">
        <f t="shared" si="0"/>
        <v>OROYA NUEVA 50
(16,24 USD/MWh)</v>
      </c>
      <c r="O20" s="286"/>
      <c r="P20" s="286"/>
      <c r="Q20" s="286"/>
    </row>
    <row r="21" spans="1:17" ht="11.25" customHeight="1">
      <c r="A21" s="184"/>
      <c r="B21" s="964" t="str">
        <f>"Gráfico N°20: Costos marginales medios registrados en las principales barras del área norte durante el mes de "&amp;'1. Resumen'!Q4</f>
        <v>Gráfico N°20: Costos marginales medios registrados en las principales barras del área norte durante el mes de octubre</v>
      </c>
      <c r="C21" s="964"/>
      <c r="D21" s="964"/>
      <c r="E21" s="964"/>
      <c r="F21" s="964"/>
      <c r="G21" s="964"/>
      <c r="H21" s="964"/>
      <c r="I21" s="964"/>
      <c r="J21" s="661"/>
      <c r="K21" s="661"/>
      <c r="L21" s="662"/>
      <c r="M21" s="673"/>
      <c r="N21" s="769"/>
      <c r="O21" s="286"/>
      <c r="P21" s="286"/>
      <c r="Q21" s="286"/>
    </row>
    <row r="22" spans="1:17" ht="7.5" customHeight="1">
      <c r="A22" s="184"/>
      <c r="B22" s="186"/>
      <c r="C22" s="186"/>
      <c r="D22" s="186"/>
      <c r="E22" s="186"/>
      <c r="F22" s="186"/>
      <c r="G22" s="184"/>
      <c r="H22" s="184"/>
      <c r="I22" s="184"/>
      <c r="J22" s="657"/>
      <c r="K22" s="657"/>
      <c r="L22" s="659"/>
      <c r="M22" s="673"/>
      <c r="N22" s="769"/>
      <c r="O22" s="286"/>
      <c r="P22" s="286"/>
      <c r="Q22" s="286"/>
    </row>
    <row r="23" spans="1:17" ht="11.25" customHeight="1">
      <c r="A23" s="184"/>
      <c r="B23" s="186"/>
      <c r="C23" s="186"/>
      <c r="D23" s="186"/>
      <c r="E23" s="186"/>
      <c r="F23" s="186"/>
      <c r="G23" s="184"/>
      <c r="H23" s="184"/>
      <c r="I23" s="184"/>
      <c r="J23" s="657"/>
      <c r="K23" s="657"/>
      <c r="L23" s="665"/>
      <c r="M23" s="673" t="s">
        <v>179</v>
      </c>
      <c r="N23" s="769" t="str">
        <f t="shared" ref="N23:N29" si="1">M23&amp;"
("&amp;ROUND(HLOOKUP(M23,$C$45:$I$46,2,0),2)&amp;" USD/MWh)"</f>
        <v>TINTAYA NUEVA 220
(17,97 USD/MWh)</v>
      </c>
      <c r="O23" s="286"/>
      <c r="P23" s="286"/>
      <c r="Q23" s="286"/>
    </row>
    <row r="24" spans="1:17" ht="11.25" customHeight="1">
      <c r="A24" s="184"/>
      <c r="B24" s="189" t="s">
        <v>389</v>
      </c>
      <c r="C24" s="186"/>
      <c r="D24" s="186"/>
      <c r="E24" s="186"/>
      <c r="F24" s="186"/>
      <c r="G24" s="184"/>
      <c r="H24" s="184"/>
      <c r="I24" s="184"/>
      <c r="J24" s="657"/>
      <c r="K24" s="657"/>
      <c r="L24" s="659"/>
      <c r="M24" s="673" t="s">
        <v>180</v>
      </c>
      <c r="N24" s="769" t="str">
        <f t="shared" si="1"/>
        <v>PUNO 138
(17,48 USD/MWh)</v>
      </c>
      <c r="O24" s="286"/>
      <c r="P24" s="286"/>
      <c r="Q24" s="286"/>
    </row>
    <row r="25" spans="1:17" ht="6.75" customHeight="1">
      <c r="A25" s="184"/>
      <c r="B25" s="186"/>
      <c r="C25" s="186"/>
      <c r="D25" s="186"/>
      <c r="E25" s="186"/>
      <c r="F25" s="186"/>
      <c r="G25" s="184"/>
      <c r="H25" s="184"/>
      <c r="I25" s="184"/>
      <c r="J25" s="657"/>
      <c r="K25" s="657"/>
      <c r="L25" s="659"/>
      <c r="M25" s="673" t="s">
        <v>181</v>
      </c>
      <c r="N25" s="769" t="str">
        <f t="shared" si="1"/>
        <v>SOCABAYA 220
(17,38 USD/MWh)</v>
      </c>
      <c r="O25" s="286"/>
      <c r="P25" s="286"/>
      <c r="Q25" s="286"/>
    </row>
    <row r="26" spans="1:17" ht="25.5" customHeight="1">
      <c r="A26" s="184"/>
      <c r="B26" s="494" t="s">
        <v>166</v>
      </c>
      <c r="C26" s="491" t="s">
        <v>447</v>
      </c>
      <c r="D26" s="491" t="s">
        <v>173</v>
      </c>
      <c r="E26" s="491" t="s">
        <v>176</v>
      </c>
      <c r="F26" s="491" t="s">
        <v>174</v>
      </c>
      <c r="G26" s="491" t="s">
        <v>175</v>
      </c>
      <c r="H26" s="491" t="s">
        <v>177</v>
      </c>
      <c r="I26" s="492" t="s">
        <v>178</v>
      </c>
      <c r="J26" s="666"/>
      <c r="K26" s="661"/>
      <c r="L26" s="662"/>
      <c r="M26" s="673" t="s">
        <v>182</v>
      </c>
      <c r="N26" s="769" t="str">
        <f t="shared" si="1"/>
        <v>MOQUEGUA 138
(17,31 USD/MWh)</v>
      </c>
      <c r="O26" s="286"/>
      <c r="P26" s="286"/>
      <c r="Q26" s="286"/>
    </row>
    <row r="27" spans="1:17" ht="18" customHeight="1">
      <c r="A27" s="184"/>
      <c r="B27" s="495" t="s">
        <v>172</v>
      </c>
      <c r="C27" s="270">
        <v>16.655598755186713</v>
      </c>
      <c r="D27" s="270">
        <v>16.601464639569294</v>
      </c>
      <c r="E27" s="270">
        <v>16.646116568137575</v>
      </c>
      <c r="F27" s="270">
        <v>16.465805145265353</v>
      </c>
      <c r="G27" s="270">
        <v>16.594660941938461</v>
      </c>
      <c r="H27" s="270">
        <v>16.329097627493045</v>
      </c>
      <c r="I27" s="270">
        <v>16.241282332797891</v>
      </c>
      <c r="J27" s="667"/>
      <c r="K27" s="661"/>
      <c r="L27" s="662"/>
      <c r="M27" s="673" t="s">
        <v>183</v>
      </c>
      <c r="N27" s="769" t="str">
        <f t="shared" si="1"/>
        <v>DOLORESPATA 138
(16,95 USD/MWh)</v>
      </c>
      <c r="O27" s="286"/>
      <c r="P27" s="286"/>
      <c r="Q27" s="286"/>
    </row>
    <row r="28" spans="1:17" ht="19.5" customHeight="1">
      <c r="A28" s="184"/>
      <c r="B28" s="965" t="str">
        <f>"Cuadro N°12: Valor de los costos marginales medios registrados en las principales barras del área centro durante el mes de "&amp;'1. Resumen'!Q4</f>
        <v>Cuadro N°12: Valor de los costos marginales medios registrados en las principales barras del área centro durante el mes de octubre</v>
      </c>
      <c r="C28" s="965"/>
      <c r="D28" s="965"/>
      <c r="E28" s="965"/>
      <c r="F28" s="965"/>
      <c r="G28" s="965"/>
      <c r="H28" s="965"/>
      <c r="I28" s="965"/>
      <c r="J28" s="661"/>
      <c r="K28" s="661"/>
      <c r="L28" s="662"/>
      <c r="M28" s="673" t="s">
        <v>184</v>
      </c>
      <c r="N28" s="769" t="str">
        <f t="shared" si="1"/>
        <v>COTARUSE 220
(16,79 USD/MWh)</v>
      </c>
      <c r="O28" s="286"/>
      <c r="P28" s="286"/>
      <c r="Q28" s="286"/>
    </row>
    <row r="29" spans="1:17" ht="11.25" customHeight="1">
      <c r="A29" s="184"/>
      <c r="B29" s="190"/>
      <c r="C29" s="190"/>
      <c r="D29" s="190"/>
      <c r="E29" s="190"/>
      <c r="F29" s="190"/>
      <c r="G29" s="190"/>
      <c r="H29" s="190"/>
      <c r="I29" s="190"/>
      <c r="J29" s="668"/>
      <c r="K29" s="668"/>
      <c r="L29" s="662"/>
      <c r="M29" s="673" t="s">
        <v>185</v>
      </c>
      <c r="N29" s="769" t="str">
        <f t="shared" si="1"/>
        <v>SAN GABAN 138
(16,27 USD/MWh)</v>
      </c>
      <c r="O29" s="286"/>
      <c r="P29" s="286"/>
      <c r="Q29" s="286"/>
    </row>
    <row r="30" spans="1:17" ht="11.25" customHeight="1">
      <c r="A30" s="184"/>
      <c r="B30" s="190"/>
      <c r="C30" s="190"/>
      <c r="D30" s="190"/>
      <c r="E30" s="190"/>
      <c r="F30" s="190"/>
      <c r="G30" s="190"/>
      <c r="H30" s="190"/>
      <c r="I30" s="190"/>
      <c r="J30" s="668"/>
      <c r="K30" s="668"/>
      <c r="L30" s="662"/>
      <c r="M30" s="673"/>
      <c r="N30" s="770"/>
      <c r="O30" s="286"/>
      <c r="P30" s="286"/>
      <c r="Q30" s="286"/>
    </row>
    <row r="31" spans="1:17" ht="11.25" customHeight="1">
      <c r="A31" s="184"/>
      <c r="B31" s="190"/>
      <c r="C31" s="190"/>
      <c r="D31" s="190"/>
      <c r="E31" s="190"/>
      <c r="F31" s="190"/>
      <c r="G31" s="190"/>
      <c r="H31" s="190"/>
      <c r="I31" s="190"/>
      <c r="J31" s="668"/>
      <c r="K31" s="668"/>
      <c r="L31" s="662"/>
      <c r="M31" s="673"/>
      <c r="N31" s="770"/>
      <c r="O31" s="286"/>
      <c r="P31" s="286"/>
      <c r="Q31" s="286"/>
    </row>
    <row r="32" spans="1:17" ht="11.25" customHeight="1">
      <c r="A32" s="184"/>
      <c r="B32" s="190"/>
      <c r="C32" s="190"/>
      <c r="D32" s="190"/>
      <c r="E32" s="190"/>
      <c r="F32" s="190"/>
      <c r="G32" s="190"/>
      <c r="H32" s="190"/>
      <c r="I32" s="190"/>
      <c r="J32" s="668"/>
      <c r="K32" s="668"/>
      <c r="L32" s="662"/>
      <c r="M32" s="673"/>
      <c r="N32" s="286"/>
      <c r="O32" s="286"/>
      <c r="P32" s="286"/>
      <c r="Q32" s="286"/>
    </row>
    <row r="33" spans="1:17" ht="11.25" customHeight="1">
      <c r="A33" s="184"/>
      <c r="B33" s="190"/>
      <c r="C33" s="190"/>
      <c r="D33" s="190"/>
      <c r="E33" s="190"/>
      <c r="F33" s="190"/>
      <c r="G33" s="190"/>
      <c r="H33" s="190"/>
      <c r="I33" s="190"/>
      <c r="J33" s="668"/>
      <c r="K33" s="668"/>
      <c r="L33" s="662"/>
      <c r="N33" s="286"/>
      <c r="O33" s="286"/>
      <c r="P33" s="286"/>
      <c r="Q33" s="286"/>
    </row>
    <row r="34" spans="1:17" ht="11.25" customHeight="1">
      <c r="A34" s="184"/>
      <c r="B34" s="190"/>
      <c r="C34" s="190"/>
      <c r="D34" s="190"/>
      <c r="E34" s="190"/>
      <c r="F34" s="190"/>
      <c r="G34" s="190"/>
      <c r="H34" s="190"/>
      <c r="I34" s="190"/>
      <c r="J34" s="668"/>
      <c r="K34" s="668"/>
      <c r="L34" s="662"/>
      <c r="N34" s="286"/>
      <c r="O34" s="286"/>
      <c r="P34" s="286"/>
      <c r="Q34" s="286"/>
    </row>
    <row r="35" spans="1:17" ht="11.25" customHeight="1">
      <c r="A35" s="184"/>
      <c r="B35" s="190"/>
      <c r="C35" s="190"/>
      <c r="D35" s="190"/>
      <c r="E35" s="190"/>
      <c r="F35" s="190"/>
      <c r="G35" s="190"/>
      <c r="H35" s="190"/>
      <c r="I35" s="190"/>
      <c r="J35" s="668"/>
      <c r="K35" s="668"/>
      <c r="L35" s="669"/>
      <c r="N35" s="286"/>
      <c r="O35" s="286"/>
      <c r="P35" s="286"/>
      <c r="Q35" s="286"/>
    </row>
    <row r="36" spans="1:17" ht="11.25" customHeight="1">
      <c r="A36" s="184"/>
      <c r="B36" s="190"/>
      <c r="C36" s="190"/>
      <c r="D36" s="190"/>
      <c r="E36" s="190"/>
      <c r="F36" s="190"/>
      <c r="G36" s="190"/>
      <c r="H36" s="190"/>
      <c r="I36" s="190"/>
      <c r="J36" s="668"/>
      <c r="K36" s="668"/>
      <c r="L36" s="662"/>
      <c r="N36" s="286"/>
      <c r="O36" s="286"/>
      <c r="P36" s="286"/>
      <c r="Q36" s="286"/>
    </row>
    <row r="37" spans="1:17" ht="11.25" customHeight="1">
      <c r="A37" s="184"/>
      <c r="B37" s="190"/>
      <c r="C37" s="190"/>
      <c r="D37" s="190"/>
      <c r="E37" s="190"/>
      <c r="F37" s="190"/>
      <c r="G37" s="190"/>
      <c r="H37" s="190"/>
      <c r="I37" s="190"/>
      <c r="J37" s="668"/>
      <c r="K37" s="668"/>
      <c r="L37" s="662"/>
      <c r="N37" s="286"/>
      <c r="O37" s="286"/>
      <c r="P37" s="286"/>
      <c r="Q37" s="286"/>
    </row>
    <row r="38" spans="1:17" ht="11.25" customHeight="1">
      <c r="A38" s="184"/>
      <c r="B38" s="190"/>
      <c r="C38" s="190"/>
      <c r="D38" s="190"/>
      <c r="E38" s="190"/>
      <c r="F38" s="190"/>
      <c r="G38" s="190"/>
      <c r="H38" s="190"/>
      <c r="I38" s="190"/>
      <c r="J38" s="668"/>
      <c r="K38" s="668"/>
      <c r="L38" s="662"/>
      <c r="N38" s="286"/>
      <c r="O38" s="286"/>
      <c r="P38" s="286"/>
      <c r="Q38" s="286"/>
    </row>
    <row r="39" spans="1:17" ht="11.25" customHeight="1">
      <c r="A39" s="184"/>
      <c r="B39" s="190"/>
      <c r="C39" s="190"/>
      <c r="D39" s="190"/>
      <c r="E39" s="190"/>
      <c r="F39" s="190"/>
      <c r="G39" s="190"/>
      <c r="H39" s="190"/>
      <c r="I39" s="190"/>
      <c r="J39" s="668"/>
      <c r="K39" s="668"/>
      <c r="L39" s="662"/>
      <c r="N39" s="286"/>
      <c r="O39" s="286"/>
      <c r="P39" s="286"/>
      <c r="Q39" s="286"/>
    </row>
    <row r="40" spans="1:17" ht="13.5" customHeight="1">
      <c r="A40" s="184"/>
      <c r="B40" s="963" t="str">
        <f>"Gráfico N°21: Costos marginales medios registrados en las principales barras del área centro durante el mes de "&amp;'1. Resumen'!Q4</f>
        <v>Gráfico N°21: Costos marginales medios registrados en las principales barras del área centro durante el mes de octubre</v>
      </c>
      <c r="C40" s="963"/>
      <c r="D40" s="963"/>
      <c r="E40" s="963"/>
      <c r="F40" s="963"/>
      <c r="G40" s="963"/>
      <c r="H40" s="963"/>
      <c r="I40" s="963"/>
      <c r="J40" s="668"/>
      <c r="K40" s="668"/>
      <c r="L40" s="662"/>
      <c r="N40" s="286"/>
      <c r="O40" s="286"/>
      <c r="P40" s="286"/>
      <c r="Q40" s="286"/>
    </row>
    <row r="41" spans="1:17" ht="6.75" customHeight="1">
      <c r="A41" s="184"/>
      <c r="B41" s="190"/>
      <c r="C41" s="190"/>
      <c r="D41" s="190"/>
      <c r="E41" s="190"/>
      <c r="F41" s="190"/>
      <c r="G41" s="190"/>
      <c r="H41" s="190"/>
      <c r="I41" s="190"/>
      <c r="J41" s="668"/>
      <c r="K41" s="668"/>
      <c r="L41" s="662"/>
      <c r="N41" s="286"/>
      <c r="O41" s="286"/>
      <c r="P41" s="286"/>
      <c r="Q41" s="286"/>
    </row>
    <row r="42" spans="1:17" ht="8.25" customHeight="1">
      <c r="A42" s="184"/>
      <c r="B42" s="186"/>
      <c r="C42" s="186"/>
      <c r="D42" s="186"/>
      <c r="E42" s="186"/>
      <c r="F42" s="186"/>
      <c r="G42" s="186"/>
      <c r="H42" s="186"/>
      <c r="I42" s="186"/>
      <c r="J42" s="670"/>
      <c r="K42" s="670"/>
      <c r="L42" s="11"/>
      <c r="N42" s="286"/>
      <c r="O42" s="286"/>
      <c r="P42" s="286"/>
      <c r="Q42" s="286"/>
    </row>
    <row r="43" spans="1:17" ht="11.25" customHeight="1">
      <c r="A43" s="184"/>
      <c r="B43" s="189" t="s">
        <v>390</v>
      </c>
      <c r="C43" s="186"/>
      <c r="D43" s="186"/>
      <c r="E43" s="186"/>
      <c r="F43" s="186"/>
      <c r="G43" s="186"/>
      <c r="H43" s="186"/>
      <c r="I43" s="186"/>
      <c r="J43" s="670"/>
      <c r="K43" s="670"/>
      <c r="L43" s="11"/>
      <c r="N43" s="286"/>
      <c r="O43" s="286"/>
      <c r="P43" s="286"/>
      <c r="Q43" s="286"/>
    </row>
    <row r="44" spans="1:17" ht="6.75" customHeight="1">
      <c r="A44" s="184"/>
      <c r="B44" s="186"/>
      <c r="C44" s="186"/>
      <c r="D44" s="186"/>
      <c r="E44" s="186"/>
      <c r="F44" s="186"/>
      <c r="G44" s="186"/>
      <c r="H44" s="186"/>
      <c r="I44" s="186"/>
      <c r="J44" s="670"/>
      <c r="K44" s="670"/>
      <c r="L44" s="11"/>
      <c r="N44" s="286"/>
      <c r="O44" s="286"/>
      <c r="P44" s="286"/>
      <c r="Q44" s="286"/>
    </row>
    <row r="45" spans="1:17" ht="27" customHeight="1">
      <c r="A45" s="184"/>
      <c r="B45" s="494" t="s">
        <v>166</v>
      </c>
      <c r="C45" s="491" t="s">
        <v>179</v>
      </c>
      <c r="D45" s="491" t="s">
        <v>181</v>
      </c>
      <c r="E45" s="491" t="s">
        <v>182</v>
      </c>
      <c r="F45" s="491" t="s">
        <v>180</v>
      </c>
      <c r="G45" s="491" t="s">
        <v>183</v>
      </c>
      <c r="H45" s="491" t="s">
        <v>184</v>
      </c>
      <c r="I45" s="492" t="s">
        <v>185</v>
      </c>
      <c r="J45" s="666"/>
      <c r="K45" s="668"/>
      <c r="N45" s="286"/>
      <c r="O45" s="286"/>
      <c r="P45" s="286"/>
      <c r="Q45" s="286"/>
    </row>
    <row r="46" spans="1:17" ht="18.75" customHeight="1">
      <c r="A46" s="184"/>
      <c r="B46" s="495" t="s">
        <v>172</v>
      </c>
      <c r="C46" s="270">
        <v>17.971373647176552</v>
      </c>
      <c r="D46" s="270">
        <v>17.381823005249842</v>
      </c>
      <c r="E46" s="270">
        <v>17.307859827072054</v>
      </c>
      <c r="F46" s="270">
        <v>17.477607378344437</v>
      </c>
      <c r="G46" s="270">
        <v>16.950304095465441</v>
      </c>
      <c r="H46" s="270">
        <v>16.790694976315816</v>
      </c>
      <c r="I46" s="270">
        <v>16.273411140855799</v>
      </c>
      <c r="J46" s="667"/>
      <c r="K46" s="668"/>
      <c r="N46" s="286"/>
      <c r="O46" s="286"/>
      <c r="P46" s="286"/>
      <c r="Q46" s="286"/>
    </row>
    <row r="47" spans="1:17" ht="18" customHeight="1">
      <c r="A47" s="184"/>
      <c r="B47" s="965" t="str">
        <f>"Cuadro N°13: Valor de los costos marginales medios registrados en las principales barras del área sur durante el mes de "&amp;'1. Resumen'!Q4</f>
        <v>Cuadro N°13: Valor de los costos marginales medios registrados en las principales barras del área sur durante el mes de octubre</v>
      </c>
      <c r="C47" s="965"/>
      <c r="D47" s="965"/>
      <c r="E47" s="965"/>
      <c r="F47" s="965"/>
      <c r="G47" s="965"/>
      <c r="H47" s="965"/>
      <c r="I47" s="965"/>
      <c r="J47" s="667"/>
      <c r="K47" s="668"/>
    </row>
    <row r="48" spans="1:17" ht="12.75">
      <c r="A48" s="184"/>
      <c r="B48" s="190"/>
      <c r="C48" s="190"/>
      <c r="D48" s="190"/>
      <c r="E48" s="190"/>
      <c r="F48" s="190"/>
      <c r="G48" s="180"/>
      <c r="H48" s="180"/>
      <c r="I48" s="180"/>
      <c r="J48" s="661"/>
      <c r="K48" s="668"/>
    </row>
    <row r="49" spans="1:11" ht="12.75">
      <c r="A49" s="184"/>
      <c r="B49" s="180"/>
      <c r="C49" s="180"/>
      <c r="D49" s="180"/>
      <c r="E49" s="180"/>
      <c r="F49" s="180"/>
      <c r="G49" s="180"/>
      <c r="H49" s="180"/>
      <c r="I49" s="180"/>
      <c r="J49" s="661"/>
      <c r="K49" s="668"/>
    </row>
    <row r="50" spans="1:11" ht="12.75">
      <c r="A50" s="184"/>
      <c r="B50" s="111"/>
      <c r="C50" s="111"/>
      <c r="D50" s="111"/>
      <c r="E50" s="111"/>
      <c r="F50" s="111"/>
      <c r="G50" s="111"/>
      <c r="H50" s="111"/>
      <c r="I50" s="111"/>
      <c r="J50" s="671"/>
      <c r="K50" s="668"/>
    </row>
    <row r="51" spans="1:11" ht="12.75">
      <c r="A51" s="184"/>
      <c r="B51" s="111"/>
      <c r="C51" s="111"/>
      <c r="D51" s="111"/>
      <c r="E51" s="111"/>
      <c r="F51" s="111"/>
      <c r="G51" s="111"/>
      <c r="H51" s="111"/>
      <c r="I51" s="111"/>
      <c r="J51" s="671"/>
      <c r="K51" s="668"/>
    </row>
    <row r="52" spans="1:11" ht="12.75">
      <c r="A52" s="184"/>
      <c r="B52" s="111"/>
      <c r="C52" s="111"/>
      <c r="D52" s="111"/>
      <c r="E52" s="111"/>
      <c r="F52" s="111"/>
      <c r="G52" s="111"/>
      <c r="H52" s="111"/>
      <c r="I52" s="111"/>
      <c r="J52" s="671"/>
      <c r="K52" s="668"/>
    </row>
    <row r="53" spans="1:11" ht="12.75">
      <c r="A53" s="184"/>
      <c r="B53" s="111"/>
      <c r="C53" s="111"/>
      <c r="D53" s="111"/>
      <c r="E53" s="111"/>
      <c r="F53" s="111"/>
      <c r="G53" s="111"/>
      <c r="H53" s="111"/>
      <c r="I53" s="111"/>
      <c r="J53" s="671"/>
      <c r="K53" s="668"/>
    </row>
    <row r="54" spans="1:11" ht="12.75">
      <c r="A54" s="184"/>
      <c r="B54" s="111"/>
      <c r="C54" s="111"/>
      <c r="D54" s="111"/>
      <c r="E54" s="111"/>
      <c r="F54" s="111"/>
      <c r="G54" s="111"/>
      <c r="H54" s="111"/>
      <c r="I54" s="111"/>
      <c r="J54" s="671"/>
      <c r="K54" s="668"/>
    </row>
    <row r="55" spans="1:11" ht="12.75">
      <c r="A55" s="184"/>
      <c r="B55" s="111"/>
      <c r="C55" s="111"/>
      <c r="D55" s="111"/>
      <c r="E55" s="111"/>
      <c r="F55" s="111"/>
      <c r="G55" s="111"/>
      <c r="H55" s="111"/>
      <c r="I55" s="111"/>
      <c r="J55" s="671"/>
      <c r="K55" s="668"/>
    </row>
    <row r="56" spans="1:11" ht="12.75">
      <c r="A56" s="184"/>
      <c r="B56" s="180"/>
      <c r="C56" s="180"/>
      <c r="D56" s="180"/>
      <c r="E56" s="180"/>
      <c r="F56" s="180"/>
      <c r="G56" s="180"/>
      <c r="H56" s="180"/>
      <c r="I56" s="180"/>
      <c r="J56" s="661"/>
      <c r="K56" s="668"/>
    </row>
    <row r="57" spans="1:11" ht="12.75">
      <c r="A57" s="184"/>
      <c r="B57" s="180"/>
      <c r="C57" s="180"/>
      <c r="D57" s="180"/>
      <c r="E57" s="180"/>
      <c r="F57" s="180"/>
      <c r="G57" s="180"/>
      <c r="H57" s="180"/>
      <c r="I57" s="180"/>
      <c r="J57" s="661"/>
      <c r="K57" s="668"/>
    </row>
    <row r="58" spans="1:11" ht="12.75">
      <c r="A58" s="184"/>
      <c r="B58" s="963" t="str">
        <f>"Gráfico N°22: Costos marginales medios registrados en las principales barras del área sur durante el mes de "&amp;'1. Resumen'!Q4</f>
        <v>Gráfico N°22: Costos marginales medios registrados en las principales barras del área sur durante el mes de octubre</v>
      </c>
      <c r="C58" s="963"/>
      <c r="D58" s="963"/>
      <c r="E58" s="963"/>
      <c r="F58" s="963"/>
      <c r="G58" s="963"/>
      <c r="H58" s="963"/>
      <c r="I58" s="963"/>
      <c r="J58" s="661"/>
      <c r="K58" s="668"/>
    </row>
    <row r="59" spans="1:11" ht="12.75">
      <c r="A59" s="74"/>
      <c r="B59" s="136"/>
      <c r="C59" s="136"/>
      <c r="D59" s="136"/>
      <c r="E59" s="136"/>
      <c r="F59" s="136"/>
      <c r="G59" s="136"/>
      <c r="H59" s="180"/>
      <c r="I59" s="180"/>
      <c r="J59" s="661"/>
      <c r="K59" s="668"/>
    </row>
  </sheetData>
  <mergeCells count="8">
    <mergeCell ref="B58:I58"/>
    <mergeCell ref="B21:I21"/>
    <mergeCell ref="B10:I10"/>
    <mergeCell ref="A2:K2"/>
    <mergeCell ref="A4:H4"/>
    <mergeCell ref="B28:I28"/>
    <mergeCell ref="B47:I47"/>
    <mergeCell ref="B40:I40"/>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Mensual-Octubre 2020
INFSGI-MES-10-2020
12/11/2020
Versión: 01</oddHeader>
    <oddFooter>&amp;L&amp;7COES, 2020&amp;C14&amp;R&amp;7Dirección Ejecutiva
Sub Dirección de Gestión de Información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theme="4"/>
  </sheetPr>
  <dimension ref="A1:L71"/>
  <sheetViews>
    <sheetView showGridLines="0" view="pageBreakPreview" topLeftCell="A8" zoomScaleNormal="100" zoomScaleSheetLayoutView="100" zoomScalePageLayoutView="145" workbookViewId="0">
      <selection activeCell="O14" sqref="O14"/>
    </sheetView>
  </sheetViews>
  <sheetFormatPr defaultColWidth="9.33203125" defaultRowHeight="11.25"/>
  <cols>
    <col min="10" max="10" width="9.33203125" customWidth="1"/>
    <col min="11" max="11" width="11.33203125" customWidth="1"/>
    <col min="12" max="12" width="12.33203125" customWidth="1"/>
  </cols>
  <sheetData>
    <row r="1" spans="1:12" ht="11.25" customHeight="1"/>
    <row r="2" spans="1:12" ht="26.25" customHeight="1">
      <c r="A2" s="923" t="s">
        <v>392</v>
      </c>
      <c r="B2" s="923"/>
      <c r="C2" s="923"/>
      <c r="D2" s="923"/>
      <c r="E2" s="923"/>
      <c r="F2" s="923"/>
      <c r="G2" s="923"/>
      <c r="H2" s="923"/>
      <c r="I2" s="923"/>
      <c r="J2" s="923"/>
      <c r="K2" s="923"/>
      <c r="L2" s="923"/>
    </row>
    <row r="3" spans="1:12" ht="11.25" customHeight="1">
      <c r="A3" s="184"/>
      <c r="B3" s="184"/>
      <c r="C3" s="184"/>
      <c r="D3" s="184"/>
      <c r="E3" s="184"/>
      <c r="F3" s="184"/>
      <c r="G3" s="184"/>
      <c r="H3" s="184"/>
      <c r="I3" s="184"/>
      <c r="J3" s="184"/>
      <c r="K3" s="184"/>
      <c r="L3" s="192"/>
    </row>
    <row r="4" spans="1:12" ht="11.25" customHeight="1">
      <c r="A4" s="184"/>
      <c r="B4" s="184"/>
      <c r="C4" s="184"/>
      <c r="D4" s="184"/>
      <c r="E4" s="184"/>
      <c r="F4" s="184"/>
      <c r="G4" s="184"/>
      <c r="H4" s="184"/>
      <c r="I4" s="184"/>
      <c r="J4" s="184"/>
      <c r="K4" s="184"/>
      <c r="L4" s="17"/>
    </row>
    <row r="5" spans="1:12" ht="11.25" customHeight="1">
      <c r="A5" s="184"/>
      <c r="B5" s="184"/>
      <c r="C5" s="184"/>
      <c r="D5" s="184"/>
      <c r="E5" s="184"/>
      <c r="F5" s="184"/>
      <c r="G5" s="184"/>
      <c r="H5" s="184"/>
      <c r="I5" s="184"/>
      <c r="J5" s="184"/>
      <c r="K5" s="184"/>
      <c r="L5" s="17"/>
    </row>
    <row r="6" spans="1:12" ht="11.25" customHeight="1">
      <c r="A6" s="184"/>
      <c r="B6" s="184"/>
      <c r="C6" s="184"/>
      <c r="D6" s="184"/>
      <c r="E6" s="184"/>
      <c r="F6" s="184"/>
      <c r="G6" s="184"/>
      <c r="H6" s="184"/>
      <c r="I6" s="184"/>
      <c r="J6" s="184"/>
      <c r="K6" s="184"/>
      <c r="L6" s="17"/>
    </row>
    <row r="7" spans="1:12" ht="11.25" customHeight="1">
      <c r="A7" s="184"/>
      <c r="B7" s="185"/>
      <c r="C7" s="184"/>
      <c r="D7" s="184"/>
      <c r="E7" s="184"/>
      <c r="F7" s="184"/>
      <c r="G7" s="184"/>
      <c r="H7" s="184"/>
      <c r="I7" s="184"/>
      <c r="J7" s="184"/>
      <c r="K7" s="184"/>
      <c r="L7" s="17"/>
    </row>
    <row r="8" spans="1:12" ht="11.25" customHeight="1">
      <c r="A8" s="184"/>
      <c r="B8" s="185"/>
      <c r="C8" s="184"/>
      <c r="D8" s="184"/>
      <c r="E8" s="184"/>
      <c r="F8" s="184"/>
      <c r="G8" s="184"/>
      <c r="H8" s="184"/>
      <c r="I8" s="184"/>
      <c r="J8" s="184"/>
      <c r="K8" s="184"/>
      <c r="L8" s="17"/>
    </row>
    <row r="9" spans="1:12" ht="11.25" customHeight="1">
      <c r="A9" s="184"/>
      <c r="B9" s="185"/>
      <c r="C9" s="184"/>
      <c r="D9" s="184"/>
      <c r="E9" s="184"/>
      <c r="F9" s="184"/>
      <c r="G9" s="184"/>
      <c r="H9" s="184"/>
      <c r="I9" s="184"/>
      <c r="J9" s="184"/>
      <c r="K9" s="184"/>
      <c r="L9" s="17"/>
    </row>
    <row r="10" spans="1:12" ht="11.25" customHeight="1">
      <c r="A10" s="184"/>
      <c r="B10" s="184"/>
      <c r="C10" s="184"/>
      <c r="D10" s="184"/>
      <c r="E10" s="184"/>
      <c r="F10" s="184"/>
      <c r="G10" s="184"/>
      <c r="H10" s="184"/>
      <c r="I10" s="184"/>
      <c r="J10" s="184"/>
      <c r="K10" s="184"/>
      <c r="L10" s="17"/>
    </row>
    <row r="11" spans="1:12" ht="11.25" customHeight="1">
      <c r="A11" s="184"/>
      <c r="B11" s="184"/>
      <c r="C11" s="184"/>
      <c r="D11" s="184"/>
      <c r="E11" s="184"/>
      <c r="F11" s="184"/>
      <c r="G11" s="184"/>
      <c r="H11" s="184"/>
      <c r="I11" s="184"/>
      <c r="J11" s="184"/>
      <c r="K11" s="184"/>
      <c r="L11" s="17"/>
    </row>
    <row r="12" spans="1:12" ht="11.25" customHeight="1">
      <c r="A12" s="184"/>
      <c r="B12" s="184"/>
      <c r="C12" s="184"/>
      <c r="D12" s="184"/>
      <c r="E12" s="184"/>
      <c r="F12" s="184"/>
      <c r="G12" s="184"/>
      <c r="H12" s="184"/>
      <c r="I12" s="184"/>
      <c r="J12" s="184"/>
      <c r="K12" s="184"/>
      <c r="L12" s="17"/>
    </row>
    <row r="13" spans="1:12" ht="11.25" customHeight="1">
      <c r="A13" s="184"/>
      <c r="B13" s="184"/>
      <c r="C13" s="184"/>
      <c r="D13" s="184"/>
      <c r="E13" s="184"/>
      <c r="F13" s="184"/>
      <c r="G13" s="184"/>
      <c r="H13" s="184"/>
      <c r="I13" s="184"/>
      <c r="J13" s="184"/>
      <c r="K13" s="184"/>
      <c r="L13" s="17"/>
    </row>
    <row r="14" spans="1:12" ht="11.25" customHeight="1">
      <c r="A14" s="184"/>
      <c r="B14" s="184"/>
      <c r="C14" s="184"/>
      <c r="D14" s="184"/>
      <c r="E14" s="184"/>
      <c r="F14" s="184"/>
      <c r="G14" s="184"/>
      <c r="H14" s="184"/>
      <c r="I14" s="184"/>
      <c r="J14" s="184"/>
      <c r="K14" s="184"/>
      <c r="L14" s="17"/>
    </row>
    <row r="15" spans="1:12" ht="11.25" customHeight="1">
      <c r="A15" s="184"/>
      <c r="B15" s="184"/>
      <c r="C15" s="184"/>
      <c r="D15" s="184"/>
      <c r="E15" s="184"/>
      <c r="F15" s="184"/>
      <c r="G15" s="184"/>
      <c r="H15" s="184"/>
      <c r="I15" s="184"/>
      <c r="J15" s="184"/>
      <c r="K15" s="184"/>
      <c r="L15" s="17"/>
    </row>
    <row r="16" spans="1:12" ht="11.25" customHeight="1">
      <c r="A16" s="184"/>
      <c r="B16" s="184"/>
      <c r="C16" s="184"/>
      <c r="D16" s="184"/>
      <c r="E16" s="184"/>
      <c r="F16" s="184"/>
      <c r="G16" s="184"/>
      <c r="H16" s="184"/>
      <c r="I16" s="184"/>
      <c r="J16" s="184"/>
      <c r="K16" s="184"/>
      <c r="L16" s="17"/>
    </row>
    <row r="17" spans="1:12" ht="11.25" customHeight="1">
      <c r="A17" s="184"/>
      <c r="B17" s="184"/>
      <c r="C17" s="184"/>
      <c r="D17" s="184"/>
      <c r="E17" s="184"/>
      <c r="F17" s="184"/>
      <c r="G17" s="184"/>
      <c r="H17" s="184"/>
      <c r="I17" s="184"/>
      <c r="J17" s="184"/>
      <c r="K17" s="184"/>
      <c r="L17" s="17"/>
    </row>
    <row r="18" spans="1:12" ht="11.25" customHeight="1">
      <c r="A18" s="184"/>
      <c r="B18" s="184"/>
      <c r="C18" s="184"/>
      <c r="D18" s="184"/>
      <c r="E18" s="184"/>
      <c r="F18" s="184"/>
      <c r="G18" s="184"/>
      <c r="H18" s="184"/>
      <c r="I18" s="184"/>
      <c r="J18" s="184"/>
      <c r="K18" s="184"/>
      <c r="L18" s="192"/>
    </row>
    <row r="19" spans="1:12" ht="11.25" customHeight="1">
      <c r="A19" s="184"/>
      <c r="B19" s="184"/>
      <c r="C19" s="184"/>
      <c r="D19" s="184"/>
      <c r="E19" s="184"/>
      <c r="F19" s="184"/>
      <c r="G19" s="184"/>
      <c r="H19" s="184"/>
      <c r="I19" s="184"/>
      <c r="J19" s="184"/>
      <c r="K19" s="184"/>
      <c r="L19" s="192"/>
    </row>
    <row r="20" spans="1:12" ht="11.25" customHeight="1">
      <c r="A20" s="184"/>
      <c r="B20" s="184"/>
      <c r="C20" s="184"/>
      <c r="D20" s="184"/>
      <c r="E20" s="184"/>
      <c r="F20" s="184"/>
      <c r="G20" s="184"/>
      <c r="H20" s="184"/>
      <c r="I20" s="184"/>
      <c r="J20" s="184"/>
      <c r="K20" s="184"/>
      <c r="L20" s="192"/>
    </row>
    <row r="21" spans="1:12" ht="11.25" customHeight="1">
      <c r="A21" s="184"/>
      <c r="B21" s="184"/>
      <c r="C21" s="184"/>
      <c r="D21" s="184"/>
      <c r="E21" s="184"/>
      <c r="F21" s="184"/>
      <c r="G21" s="184"/>
      <c r="H21" s="184"/>
      <c r="I21" s="184"/>
      <c r="J21" s="184"/>
      <c r="K21" s="184"/>
      <c r="L21" s="192"/>
    </row>
    <row r="22" spans="1:12" ht="11.25" customHeight="1">
      <c r="A22" s="184"/>
      <c r="B22" s="184"/>
      <c r="C22" s="184"/>
      <c r="D22" s="184"/>
      <c r="E22" s="184"/>
      <c r="F22" s="184"/>
      <c r="G22" s="184"/>
      <c r="H22" s="184"/>
      <c r="I22" s="184"/>
      <c r="J22" s="184"/>
      <c r="K22" s="184"/>
      <c r="L22" s="192"/>
    </row>
    <row r="23" spans="1:12" ht="11.25" customHeight="1">
      <c r="A23" s="184"/>
      <c r="B23" s="184"/>
      <c r="C23" s="184"/>
      <c r="D23" s="184"/>
      <c r="E23" s="184"/>
      <c r="F23" s="184"/>
      <c r="G23" s="184"/>
      <c r="H23" s="184"/>
      <c r="I23" s="184"/>
      <c r="J23" s="184"/>
      <c r="K23" s="184"/>
      <c r="L23" s="192"/>
    </row>
    <row r="24" spans="1:12" ht="11.25" customHeight="1">
      <c r="A24" s="184"/>
      <c r="B24" s="184"/>
      <c r="C24" s="184"/>
      <c r="D24" s="184"/>
      <c r="E24" s="184"/>
      <c r="F24" s="184"/>
      <c r="G24" s="184"/>
      <c r="H24" s="184"/>
      <c r="I24" s="184"/>
      <c r="J24" s="184"/>
      <c r="K24" s="184"/>
      <c r="L24" s="192"/>
    </row>
    <row r="25" spans="1:12" ht="11.25" customHeight="1">
      <c r="A25" s="184"/>
      <c r="B25" s="184"/>
      <c r="C25" s="184"/>
      <c r="D25" s="184"/>
      <c r="E25" s="184"/>
      <c r="F25" s="184"/>
      <c r="G25" s="184"/>
      <c r="H25" s="184"/>
      <c r="I25" s="184"/>
      <c r="J25" s="184"/>
      <c r="K25" s="184"/>
      <c r="L25" s="192"/>
    </row>
    <row r="26" spans="1:12" ht="11.25" customHeight="1">
      <c r="A26" s="184"/>
      <c r="B26" s="184"/>
      <c r="C26" s="184"/>
      <c r="D26" s="184"/>
      <c r="E26" s="184"/>
      <c r="F26" s="184"/>
      <c r="G26" s="184"/>
      <c r="H26" s="184"/>
      <c r="I26" s="184"/>
      <c r="J26" s="184"/>
      <c r="K26" s="184"/>
      <c r="L26" s="192"/>
    </row>
    <row r="27" spans="1:12" ht="11.25" customHeight="1">
      <c r="A27" s="184"/>
      <c r="B27" s="184"/>
      <c r="C27" s="184"/>
      <c r="D27" s="184"/>
      <c r="E27" s="184"/>
      <c r="F27" s="184"/>
      <c r="G27" s="184"/>
      <c r="H27" s="184"/>
      <c r="I27" s="184"/>
      <c r="J27" s="184"/>
      <c r="K27" s="184"/>
      <c r="L27" s="192"/>
    </row>
    <row r="28" spans="1:12" ht="11.25" customHeight="1">
      <c r="A28" s="184"/>
      <c r="B28" s="184"/>
      <c r="C28" s="184"/>
      <c r="D28" s="184"/>
      <c r="E28" s="184"/>
      <c r="F28" s="184"/>
      <c r="G28" s="184"/>
      <c r="H28" s="184"/>
      <c r="I28" s="184"/>
      <c r="J28" s="184"/>
      <c r="K28" s="184"/>
      <c r="L28" s="192"/>
    </row>
    <row r="29" spans="1:12" ht="11.25" customHeight="1">
      <c r="A29" s="184"/>
      <c r="B29" s="184"/>
      <c r="C29" s="184"/>
      <c r="D29" s="184"/>
      <c r="E29" s="184"/>
      <c r="F29" s="184"/>
      <c r="G29" s="184"/>
      <c r="H29" s="184"/>
      <c r="I29" s="184"/>
      <c r="J29" s="184"/>
      <c r="K29" s="184"/>
      <c r="L29" s="192"/>
    </row>
    <row r="30" spans="1:12" ht="11.25" customHeight="1">
      <c r="A30" s="184"/>
      <c r="B30" s="184"/>
      <c r="C30" s="184"/>
      <c r="D30" s="184"/>
      <c r="E30" s="184"/>
      <c r="F30" s="184"/>
      <c r="G30" s="184"/>
      <c r="H30" s="184"/>
      <c r="I30" s="184"/>
      <c r="J30" s="184"/>
      <c r="K30" s="184"/>
      <c r="L30" s="192"/>
    </row>
    <row r="31" spans="1:12" ht="11.25" customHeight="1">
      <c r="A31" s="184"/>
      <c r="B31" s="184"/>
      <c r="C31" s="184"/>
      <c r="D31" s="184"/>
      <c r="E31" s="184"/>
      <c r="F31" s="184"/>
      <c r="G31" s="184"/>
      <c r="H31" s="184"/>
      <c r="I31" s="184"/>
      <c r="J31" s="184"/>
      <c r="K31" s="184"/>
      <c r="L31" s="192"/>
    </row>
    <row r="32" spans="1:12" ht="11.25" customHeight="1">
      <c r="A32" s="184"/>
      <c r="B32" s="184"/>
      <c r="C32" s="184"/>
      <c r="D32" s="184"/>
      <c r="E32" s="184"/>
      <c r="F32" s="184"/>
      <c r="G32" s="184"/>
      <c r="H32" s="184"/>
      <c r="I32" s="184"/>
      <c r="J32" s="184"/>
      <c r="K32" s="184"/>
      <c r="L32" s="73"/>
    </row>
    <row r="33" spans="1:12" ht="11.25" customHeight="1">
      <c r="A33" s="184"/>
      <c r="B33" s="184"/>
      <c r="C33" s="184"/>
      <c r="D33" s="184"/>
      <c r="E33" s="184"/>
      <c r="F33" s="184"/>
      <c r="G33" s="184"/>
      <c r="H33" s="184"/>
      <c r="I33" s="184"/>
      <c r="J33" s="184"/>
      <c r="K33" s="184"/>
      <c r="L33" s="73"/>
    </row>
    <row r="34" spans="1:12" ht="11.25" customHeight="1">
      <c r="A34" s="184"/>
      <c r="B34" s="184"/>
      <c r="C34" s="184"/>
      <c r="D34" s="184"/>
      <c r="E34" s="184"/>
      <c r="F34" s="184"/>
      <c r="G34" s="184"/>
      <c r="H34" s="184"/>
      <c r="I34" s="184"/>
      <c r="J34" s="184"/>
      <c r="K34" s="184"/>
      <c r="L34" s="73"/>
    </row>
    <row r="35" spans="1:12" ht="11.25" customHeight="1">
      <c r="A35" s="184"/>
      <c r="B35" s="184"/>
      <c r="C35" s="184"/>
      <c r="D35" s="184"/>
      <c r="E35" s="184"/>
      <c r="F35" s="184"/>
      <c r="G35" s="184"/>
      <c r="H35" s="184"/>
      <c r="I35" s="184"/>
      <c r="J35" s="184"/>
      <c r="K35" s="184"/>
      <c r="L35" s="73"/>
    </row>
    <row r="36" spans="1:12" ht="11.25" customHeight="1">
      <c r="A36" s="184"/>
      <c r="B36" s="184"/>
      <c r="C36" s="184"/>
      <c r="D36" s="184"/>
      <c r="E36" s="184"/>
      <c r="F36" s="184"/>
      <c r="G36" s="184"/>
      <c r="H36" s="184"/>
      <c r="I36" s="184"/>
      <c r="J36" s="184"/>
      <c r="K36" s="184"/>
      <c r="L36" s="73"/>
    </row>
    <row r="37" spans="1:12" ht="11.25" customHeight="1">
      <c r="A37" s="184"/>
      <c r="B37" s="184"/>
      <c r="C37" s="184"/>
      <c r="D37" s="184"/>
      <c r="E37" s="184"/>
      <c r="F37" s="184"/>
      <c r="G37" s="184"/>
      <c r="H37" s="184"/>
      <c r="I37" s="184"/>
      <c r="J37" s="184"/>
      <c r="K37" s="184"/>
      <c r="L37" s="73"/>
    </row>
    <row r="38" spans="1:12" ht="11.25" customHeight="1">
      <c r="A38" s="184"/>
      <c r="B38" s="184"/>
      <c r="C38" s="184"/>
      <c r="D38" s="184"/>
      <c r="E38" s="184"/>
      <c r="F38" s="184"/>
      <c r="G38" s="184"/>
      <c r="H38" s="184"/>
      <c r="I38" s="184"/>
      <c r="J38" s="184"/>
      <c r="K38" s="184"/>
      <c r="L38" s="73"/>
    </row>
    <row r="39" spans="1:12" ht="11.25" customHeight="1">
      <c r="A39" s="184"/>
      <c r="B39" s="184"/>
      <c r="C39" s="184"/>
      <c r="D39" s="184"/>
      <c r="E39" s="184"/>
      <c r="F39" s="184"/>
      <c r="G39" s="184"/>
      <c r="H39" s="184"/>
      <c r="I39" s="184"/>
      <c r="J39" s="184"/>
      <c r="K39" s="184"/>
      <c r="L39" s="73"/>
    </row>
    <row r="40" spans="1:12" ht="11.25" customHeight="1">
      <c r="A40" s="184"/>
      <c r="B40" s="184"/>
      <c r="C40" s="184"/>
      <c r="D40" s="184"/>
      <c r="E40" s="184"/>
      <c r="F40" s="184"/>
      <c r="G40" s="184"/>
      <c r="H40" s="184"/>
      <c r="I40" s="184"/>
      <c r="J40" s="184"/>
      <c r="K40" s="184"/>
      <c r="L40" s="73"/>
    </row>
    <row r="41" spans="1:12" ht="11.25" customHeight="1">
      <c r="A41" s="184"/>
      <c r="B41" s="184"/>
      <c r="C41" s="184"/>
      <c r="D41" s="184"/>
      <c r="E41" s="184"/>
      <c r="F41" s="184"/>
      <c r="G41" s="184"/>
      <c r="H41" s="184"/>
      <c r="I41" s="184"/>
      <c r="J41" s="184"/>
      <c r="K41" s="184"/>
      <c r="L41" s="73"/>
    </row>
    <row r="42" spans="1:12" ht="11.25" customHeight="1">
      <c r="A42" s="184"/>
      <c r="B42" s="184"/>
      <c r="C42" s="184"/>
      <c r="D42" s="184"/>
      <c r="E42" s="184"/>
      <c r="F42" s="184"/>
      <c r="G42" s="184"/>
      <c r="H42" s="184"/>
      <c r="I42" s="184"/>
      <c r="J42" s="184"/>
      <c r="K42" s="184"/>
      <c r="L42" s="73"/>
    </row>
    <row r="43" spans="1:12" ht="11.25" customHeight="1">
      <c r="A43" s="184"/>
      <c r="B43" s="184"/>
      <c r="C43" s="184"/>
      <c r="D43" s="184"/>
      <c r="E43" s="184"/>
      <c r="F43" s="184"/>
      <c r="G43" s="184"/>
      <c r="H43" s="184"/>
      <c r="I43" s="184"/>
      <c r="J43" s="184"/>
      <c r="K43" s="184"/>
      <c r="L43" s="73"/>
    </row>
    <row r="44" spans="1:12" ht="11.25" customHeight="1">
      <c r="A44" s="74"/>
      <c r="B44" s="74"/>
      <c r="C44" s="74"/>
      <c r="D44" s="74"/>
      <c r="E44" s="74"/>
      <c r="F44" s="74"/>
      <c r="G44" s="74"/>
      <c r="H44" s="74"/>
      <c r="I44" s="74"/>
      <c r="J44" s="74"/>
      <c r="K44" s="184"/>
      <c r="L44" s="73"/>
    </row>
    <row r="45" spans="1:12" ht="11.25" customHeight="1">
      <c r="A45" s="74"/>
      <c r="B45" s="74"/>
      <c r="C45" s="74"/>
      <c r="D45" s="74"/>
      <c r="E45" s="74"/>
      <c r="F45" s="74"/>
      <c r="G45" s="74"/>
      <c r="H45" s="74"/>
      <c r="I45" s="74"/>
      <c r="J45" s="74"/>
      <c r="K45" s="184"/>
      <c r="L45" s="73"/>
    </row>
    <row r="46" spans="1:12" ht="11.25" customHeight="1">
      <c r="A46" s="74"/>
      <c r="B46" s="74"/>
      <c r="C46" s="74"/>
      <c r="D46" s="74"/>
      <c r="E46" s="74"/>
      <c r="F46" s="74"/>
      <c r="G46" s="74"/>
      <c r="H46" s="74"/>
      <c r="I46" s="74"/>
      <c r="J46" s="74"/>
      <c r="K46" s="184"/>
      <c r="L46" s="73"/>
    </row>
    <row r="47" spans="1:12" ht="11.25" customHeight="1">
      <c r="A47" s="74"/>
      <c r="B47" s="74"/>
      <c r="C47" s="74"/>
      <c r="D47" s="74"/>
      <c r="E47" s="74"/>
      <c r="F47" s="74"/>
      <c r="G47" s="74"/>
      <c r="H47" s="74"/>
      <c r="I47" s="74"/>
      <c r="J47" s="74"/>
      <c r="K47" s="184"/>
      <c r="L47" s="73"/>
    </row>
    <row r="48" spans="1:12" ht="11.25" customHeight="1">
      <c r="A48" s="74"/>
      <c r="B48" s="74"/>
      <c r="C48" s="74"/>
      <c r="D48" s="74"/>
      <c r="E48" s="74"/>
      <c r="F48" s="74"/>
      <c r="G48" s="74"/>
      <c r="H48" s="74"/>
      <c r="I48" s="74"/>
      <c r="J48" s="74"/>
      <c r="K48" s="184"/>
      <c r="L48" s="73"/>
    </row>
    <row r="49" spans="1:12" ht="11.25" customHeight="1">
      <c r="A49" s="74"/>
      <c r="B49" s="74"/>
      <c r="C49" s="74"/>
      <c r="D49" s="74"/>
      <c r="E49" s="74"/>
      <c r="F49" s="74"/>
      <c r="G49" s="74"/>
      <c r="H49" s="74"/>
      <c r="I49" s="74"/>
      <c r="J49" s="74"/>
      <c r="K49" s="184"/>
      <c r="L49" s="73"/>
    </row>
    <row r="50" spans="1:12" ht="12.75">
      <c r="A50" s="74"/>
      <c r="B50" s="74"/>
      <c r="C50" s="74"/>
      <c r="D50" s="74"/>
      <c r="E50" s="74"/>
      <c r="F50" s="74"/>
      <c r="G50" s="74"/>
      <c r="H50" s="74"/>
      <c r="I50" s="74"/>
      <c r="J50" s="74"/>
      <c r="K50" s="184"/>
      <c r="L50" s="73"/>
    </row>
    <row r="51" spans="1:12" ht="12.75">
      <c r="A51" s="74"/>
      <c r="B51" s="74"/>
      <c r="C51" s="74"/>
      <c r="D51" s="74"/>
      <c r="E51" s="74"/>
      <c r="F51" s="74"/>
      <c r="G51" s="74"/>
      <c r="H51" s="74"/>
      <c r="I51" s="74"/>
      <c r="J51" s="74"/>
      <c r="K51" s="184"/>
      <c r="L51" s="73"/>
    </row>
    <row r="52" spans="1:12" ht="12.75">
      <c r="A52" s="74"/>
      <c r="B52" s="74"/>
      <c r="C52" s="74"/>
      <c r="D52" s="74"/>
      <c r="E52" s="74"/>
      <c r="F52" s="74"/>
      <c r="G52" s="74"/>
      <c r="H52" s="74"/>
      <c r="I52" s="74"/>
      <c r="J52" s="74"/>
      <c r="K52" s="184"/>
      <c r="L52" s="73"/>
    </row>
    <row r="53" spans="1:12" ht="12.75">
      <c r="A53" s="74"/>
      <c r="B53" s="74"/>
      <c r="C53" s="74"/>
      <c r="D53" s="74"/>
      <c r="E53" s="74"/>
      <c r="F53" s="74"/>
      <c r="G53" s="74"/>
      <c r="H53" s="74"/>
      <c r="I53" s="74"/>
      <c r="J53" s="74"/>
      <c r="K53" s="184"/>
      <c r="L53" s="73"/>
    </row>
    <row r="54" spans="1:12" ht="12.75">
      <c r="A54" s="74"/>
      <c r="B54" s="74"/>
      <c r="C54" s="74"/>
      <c r="D54" s="74"/>
      <c r="E54" s="74"/>
      <c r="F54" s="74"/>
      <c r="G54" s="74"/>
      <c r="H54" s="74"/>
      <c r="I54" s="74"/>
      <c r="J54" s="74"/>
      <c r="K54" s="184"/>
      <c r="L54" s="73"/>
    </row>
    <row r="55" spans="1:12" ht="12.75">
      <c r="A55" s="74"/>
      <c r="B55" s="74"/>
      <c r="C55" s="74"/>
      <c r="D55" s="74"/>
      <c r="E55" s="74"/>
      <c r="F55" s="74"/>
      <c r="G55" s="74"/>
      <c r="H55" s="74"/>
      <c r="I55" s="74"/>
      <c r="J55" s="74"/>
      <c r="K55" s="184"/>
      <c r="L55" s="73"/>
    </row>
    <row r="56" spans="1:12" ht="12.75">
      <c r="A56" s="74"/>
      <c r="B56" s="74"/>
      <c r="C56" s="74"/>
      <c r="D56" s="74"/>
      <c r="E56" s="74"/>
      <c r="F56" s="74"/>
      <c r="G56" s="74"/>
      <c r="H56" s="74"/>
      <c r="I56" s="74"/>
      <c r="J56" s="74"/>
      <c r="K56" s="184"/>
      <c r="L56" s="73"/>
    </row>
    <row r="57" spans="1:12" ht="12.75">
      <c r="A57" s="74"/>
      <c r="B57" s="74"/>
      <c r="C57" s="74"/>
      <c r="D57" s="74"/>
      <c r="E57" s="74"/>
      <c r="F57" s="74"/>
      <c r="G57" s="74"/>
      <c r="H57" s="74"/>
      <c r="I57" s="74"/>
      <c r="J57" s="74"/>
      <c r="K57" s="184"/>
      <c r="L57" s="73"/>
    </row>
    <row r="58" spans="1:12" ht="12.75">
      <c r="A58" s="74"/>
      <c r="B58" s="74"/>
      <c r="C58" s="74"/>
      <c r="D58" s="74"/>
      <c r="E58" s="74"/>
      <c r="F58" s="74"/>
      <c r="G58" s="74"/>
      <c r="H58" s="74"/>
      <c r="I58" s="74"/>
      <c r="J58" s="74"/>
      <c r="K58" s="184"/>
      <c r="L58" s="73"/>
    </row>
    <row r="59" spans="1:12" ht="12.75">
      <c r="A59" s="74"/>
      <c r="B59" s="74"/>
      <c r="C59" s="74"/>
      <c r="D59" s="74"/>
      <c r="E59" s="74"/>
      <c r="F59" s="74"/>
      <c r="G59" s="74"/>
      <c r="H59" s="74"/>
      <c r="I59" s="74"/>
      <c r="J59" s="74"/>
      <c r="K59" s="184"/>
      <c r="L59" s="73"/>
    </row>
    <row r="60" spans="1:12" ht="12.75">
      <c r="A60" s="74"/>
      <c r="B60" s="74"/>
      <c r="C60" s="74"/>
      <c r="D60" s="74"/>
      <c r="E60" s="74"/>
      <c r="F60" s="74"/>
      <c r="G60" s="74"/>
      <c r="H60" s="74"/>
      <c r="I60" s="74"/>
      <c r="J60" s="74"/>
      <c r="K60" s="184"/>
      <c r="L60" s="73"/>
    </row>
    <row r="61" spans="1:12" ht="12.75">
      <c r="A61" s="74"/>
      <c r="B61" s="74"/>
      <c r="C61" s="74"/>
      <c r="D61" s="74"/>
      <c r="E61" s="74"/>
      <c r="F61" s="74"/>
      <c r="G61" s="74"/>
      <c r="H61" s="74"/>
      <c r="I61" s="74"/>
      <c r="J61" s="74"/>
      <c r="K61" s="184"/>
      <c r="L61" s="73"/>
    </row>
    <row r="62" spans="1:12" ht="12.75">
      <c r="A62" s="74"/>
      <c r="B62" s="74"/>
      <c r="C62" s="74"/>
      <c r="D62" s="74"/>
      <c r="E62" s="74"/>
      <c r="F62" s="74"/>
      <c r="G62" s="74"/>
      <c r="H62" s="74"/>
      <c r="I62" s="74"/>
      <c r="J62" s="74"/>
      <c r="K62" s="184"/>
      <c r="L62" s="73"/>
    </row>
    <row r="63" spans="1:12" ht="12.75">
      <c r="A63" s="74"/>
      <c r="B63" s="74"/>
      <c r="C63" s="74"/>
      <c r="D63" s="74"/>
      <c r="E63" s="74"/>
      <c r="F63" s="74"/>
      <c r="G63" s="74"/>
      <c r="H63" s="74"/>
      <c r="I63" s="74"/>
      <c r="J63" s="74"/>
      <c r="K63" s="184"/>
      <c r="L63" s="73"/>
    </row>
    <row r="64" spans="1:12" ht="12.75">
      <c r="A64" s="74"/>
      <c r="B64" s="74"/>
      <c r="C64" s="74"/>
      <c r="D64" s="74"/>
      <c r="E64" s="74"/>
      <c r="F64" s="74"/>
      <c r="G64" s="74"/>
      <c r="H64" s="74"/>
      <c r="I64" s="74"/>
      <c r="J64" s="74"/>
      <c r="K64" s="184"/>
      <c r="L64" s="73"/>
    </row>
    <row r="65" spans="1:12" ht="12.75">
      <c r="A65" s="74"/>
      <c r="B65" s="74"/>
      <c r="C65" s="74"/>
      <c r="D65" s="74"/>
      <c r="E65" s="74"/>
      <c r="F65" s="74"/>
      <c r="G65" s="74"/>
      <c r="H65" s="74"/>
      <c r="I65" s="74"/>
      <c r="J65" s="74"/>
      <c r="K65" s="184"/>
      <c r="L65" s="73"/>
    </row>
    <row r="66" spans="1:12" ht="12.75">
      <c r="A66" s="74"/>
      <c r="B66" s="74"/>
      <c r="C66" s="74"/>
      <c r="D66" s="74"/>
      <c r="E66" s="74"/>
      <c r="F66" s="74"/>
      <c r="G66" s="74"/>
      <c r="H66" s="74"/>
      <c r="I66" s="74"/>
      <c r="J66" s="74"/>
      <c r="K66" s="184"/>
      <c r="L66" s="73"/>
    </row>
    <row r="67" spans="1:12" ht="12.75">
      <c r="A67" s="74"/>
      <c r="B67" s="74"/>
      <c r="C67" s="74"/>
      <c r="D67" s="74"/>
      <c r="E67" s="74"/>
      <c r="F67" s="74"/>
      <c r="G67" s="74"/>
      <c r="H67" s="74"/>
      <c r="I67" s="74"/>
      <c r="J67" s="74"/>
      <c r="K67" s="184"/>
      <c r="L67" s="73"/>
    </row>
    <row r="68" spans="1:12" ht="12.75">
      <c r="A68" s="74"/>
      <c r="B68" s="74"/>
      <c r="C68" s="74"/>
      <c r="D68" s="74"/>
      <c r="E68" s="74"/>
      <c r="F68" s="74"/>
      <c r="G68" s="74"/>
      <c r="H68" s="74"/>
      <c r="I68" s="74"/>
      <c r="J68" s="74"/>
      <c r="K68" s="184"/>
      <c r="L68" s="73"/>
    </row>
    <row r="69" spans="1:12" ht="12.75">
      <c r="A69" s="74"/>
      <c r="B69" s="74"/>
      <c r="C69" s="74"/>
      <c r="D69" s="74"/>
      <c r="E69" s="74"/>
      <c r="F69" s="74"/>
      <c r="G69" s="74"/>
      <c r="H69" s="74"/>
      <c r="I69" s="74"/>
      <c r="J69" s="74"/>
      <c r="K69" s="184"/>
      <c r="L69" s="73"/>
    </row>
    <row r="70" spans="1:12" ht="12.75">
      <c r="A70" s="193"/>
      <c r="B70" s="193"/>
      <c r="C70" s="193"/>
      <c r="D70" s="193"/>
      <c r="E70" s="193"/>
      <c r="F70" s="193"/>
      <c r="G70" s="193"/>
      <c r="H70" s="193"/>
      <c r="I70" s="193"/>
      <c r="J70" s="193"/>
      <c r="K70" s="184"/>
      <c r="L70" s="73"/>
    </row>
    <row r="71" spans="1:12" ht="12.75">
      <c r="A71" s="74"/>
      <c r="B71" s="73"/>
      <c r="C71" s="73"/>
      <c r="D71" s="73"/>
      <c r="E71" s="73"/>
      <c r="F71" s="73"/>
      <c r="G71" s="73"/>
      <c r="H71" s="73"/>
      <c r="I71" s="73"/>
      <c r="J71" s="73"/>
      <c r="K71" s="184"/>
      <c r="L71" s="73"/>
    </row>
  </sheetData>
  <mergeCells count="1">
    <mergeCell ref="A2:L2"/>
  </mergeCells>
  <pageMargins left="0.70866141732283472" right="0.51181102362204722" top="1.0236220472440944" bottom="0.62992125984251968" header="0.31496062992125984" footer="0.31496062992125984"/>
  <pageSetup paperSize="9" scale="95" orientation="portrait" r:id="rId1"/>
  <headerFooter>
    <oddHeader>&amp;R&amp;7Informe de la Operación Mensual-Octubre 2020
INFSGI-MES-10-2020
12/11/2020
Versión: 01</oddHeader>
    <oddFooter>&amp;L&amp;7COES, 2020&amp;C15&amp;R&amp;7Dirección Ejecutiva
Sub Dirección de Gestión de Información</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theme="4"/>
  </sheetPr>
  <dimension ref="A1:L60"/>
  <sheetViews>
    <sheetView showGridLines="0" view="pageBreakPreview" zoomScaleNormal="100" zoomScaleSheetLayoutView="100" zoomScalePageLayoutView="115" workbookViewId="0">
      <selection activeCell="O14" sqref="O14"/>
    </sheetView>
  </sheetViews>
  <sheetFormatPr defaultColWidth="9.33203125" defaultRowHeight="11.25"/>
  <cols>
    <col min="1" max="1" width="12.83203125" style="46" customWidth="1"/>
    <col min="2" max="2" width="19.33203125" style="46" customWidth="1"/>
    <col min="3" max="3" width="25.6640625" style="46" customWidth="1"/>
    <col min="4" max="4" width="10.1640625" style="46" customWidth="1"/>
    <col min="5" max="5" width="11" style="46" customWidth="1"/>
    <col min="6" max="6" width="10.5" style="46" customWidth="1"/>
    <col min="7" max="7" width="12.1640625" style="46" customWidth="1"/>
    <col min="8" max="8" width="12.33203125" style="46" customWidth="1"/>
    <col min="9" max="9" width="9.33203125" style="46"/>
    <col min="10" max="11" width="9.33203125" style="46" customWidth="1"/>
    <col min="12" max="16384" width="9.33203125" style="46"/>
  </cols>
  <sheetData>
    <row r="1" spans="1:12" ht="4.5" customHeight="1"/>
    <row r="2" spans="1:12" ht="14.25" customHeight="1">
      <c r="A2" s="966" t="s">
        <v>391</v>
      </c>
      <c r="B2" s="966"/>
      <c r="C2" s="966"/>
      <c r="D2" s="966"/>
      <c r="E2" s="966"/>
      <c r="F2" s="966"/>
      <c r="G2" s="966"/>
      <c r="H2" s="966"/>
      <c r="I2" s="203"/>
      <c r="J2" s="203"/>
      <c r="K2" s="203"/>
    </row>
    <row r="3" spans="1:12" ht="3" customHeight="1">
      <c r="A3" s="77"/>
      <c r="B3" s="77"/>
      <c r="C3" s="77"/>
      <c r="D3" s="77"/>
      <c r="E3" s="77"/>
      <c r="F3" s="77"/>
      <c r="G3" s="77"/>
      <c r="H3" s="77"/>
      <c r="I3" s="204"/>
      <c r="J3" s="204"/>
      <c r="K3" s="204"/>
      <c r="L3" s="36"/>
    </row>
    <row r="4" spans="1:12" ht="15" customHeight="1">
      <c r="A4" s="957" t="s">
        <v>444</v>
      </c>
      <c r="B4" s="957"/>
      <c r="C4" s="957"/>
      <c r="D4" s="957"/>
      <c r="E4" s="957"/>
      <c r="F4" s="957"/>
      <c r="G4" s="957"/>
      <c r="H4" s="957"/>
      <c r="I4" s="195"/>
      <c r="J4" s="195"/>
      <c r="K4" s="195"/>
      <c r="L4" s="36"/>
    </row>
    <row r="5" spans="1:12" ht="11.25" customHeight="1">
      <c r="A5" s="77"/>
      <c r="B5" s="164"/>
      <c r="C5" s="78"/>
      <c r="D5" s="79"/>
      <c r="E5" s="79"/>
      <c r="F5" s="80"/>
      <c r="G5" s="76"/>
      <c r="H5" s="76"/>
      <c r="I5" s="196"/>
      <c r="J5" s="196"/>
      <c r="K5" s="196"/>
      <c r="L5" s="205"/>
    </row>
    <row r="6" spans="1:12" ht="30.75" customHeight="1">
      <c r="A6" s="518" t="s">
        <v>186</v>
      </c>
      <c r="B6" s="516" t="s">
        <v>187</v>
      </c>
      <c r="C6" s="516" t="s">
        <v>188</v>
      </c>
      <c r="D6" s="515" t="str">
        <f>UPPER('1. Resumen'!Q4)&amp;"
 "&amp;'1. Resumen'!Q5</f>
        <v>OCTUBRE
 2020</v>
      </c>
      <c r="E6" s="515" t="str">
        <f>UPPER('1. Resumen'!Q4)&amp;"
 "&amp;'1. Resumen'!Q5-1</f>
        <v>OCTUBRE
 2019</v>
      </c>
      <c r="F6" s="515" t="str">
        <f>UPPER('1. Resumen'!Q4)&amp;"
 "&amp;'1. Resumen'!Q5-2</f>
        <v>OCTUBRE
 2018</v>
      </c>
      <c r="G6" s="516" t="s">
        <v>481</v>
      </c>
      <c r="H6" s="517" t="s">
        <v>435</v>
      </c>
      <c r="I6" s="196"/>
      <c r="J6" s="196"/>
      <c r="K6" s="196"/>
      <c r="L6" s="166"/>
    </row>
    <row r="7" spans="1:12" ht="19.5" customHeight="1">
      <c r="A7" s="967" t="s">
        <v>189</v>
      </c>
      <c r="B7" s="828" t="s">
        <v>679</v>
      </c>
      <c r="C7" s="829" t="s">
        <v>680</v>
      </c>
      <c r="D7" s="830">
        <v>8.3999999999999986</v>
      </c>
      <c r="E7" s="830"/>
      <c r="F7" s="830"/>
      <c r="G7" s="831"/>
      <c r="H7" s="831"/>
      <c r="I7" s="196"/>
      <c r="J7" s="196"/>
      <c r="K7" s="196"/>
      <c r="L7" s="58"/>
    </row>
    <row r="8" spans="1:12" ht="19.5" customHeight="1">
      <c r="A8" s="967"/>
      <c r="B8" s="828" t="s">
        <v>585</v>
      </c>
      <c r="C8" s="829" t="s">
        <v>586</v>
      </c>
      <c r="D8" s="830"/>
      <c r="E8" s="830"/>
      <c r="F8" s="830">
        <v>40.86666666666666</v>
      </c>
      <c r="G8" s="831"/>
      <c r="H8" s="831"/>
      <c r="I8" s="196"/>
      <c r="J8" s="196"/>
      <c r="K8" s="196"/>
      <c r="L8" s="58"/>
    </row>
    <row r="9" spans="1:12" ht="19.5" customHeight="1">
      <c r="A9" s="967"/>
      <c r="B9" s="828" t="s">
        <v>681</v>
      </c>
      <c r="C9" s="829" t="s">
        <v>682</v>
      </c>
      <c r="D9" s="830">
        <v>57.8</v>
      </c>
      <c r="E9" s="830"/>
      <c r="F9" s="830"/>
      <c r="G9" s="831"/>
      <c r="H9" s="831"/>
      <c r="I9" s="196"/>
      <c r="J9" s="196"/>
      <c r="K9" s="196"/>
      <c r="L9" s="58"/>
    </row>
    <row r="10" spans="1:12" ht="14.25" customHeight="1">
      <c r="A10" s="967"/>
      <c r="B10" s="828" t="s">
        <v>683</v>
      </c>
      <c r="C10" s="829" t="s">
        <v>684</v>
      </c>
      <c r="D10" s="830">
        <v>174.20000000000002</v>
      </c>
      <c r="E10" s="830">
        <v>134.46666666666667</v>
      </c>
      <c r="F10" s="830"/>
      <c r="G10" s="831"/>
      <c r="H10" s="831"/>
      <c r="I10" s="196"/>
      <c r="J10" s="196"/>
      <c r="K10" s="196"/>
      <c r="L10" s="58"/>
    </row>
    <row r="11" spans="1:12" ht="14.25" customHeight="1">
      <c r="A11" s="967"/>
      <c r="B11" s="828" t="s">
        <v>587</v>
      </c>
      <c r="C11" s="829" t="s">
        <v>482</v>
      </c>
      <c r="D11" s="830">
        <v>10.350000000000001</v>
      </c>
      <c r="E11" s="830"/>
      <c r="F11" s="830"/>
      <c r="G11" s="831"/>
      <c r="H11" s="831"/>
      <c r="I11" s="196"/>
      <c r="J11" s="196"/>
      <c r="K11" s="196"/>
      <c r="L11" s="58"/>
    </row>
    <row r="12" spans="1:12" ht="18.75" customHeight="1">
      <c r="A12" s="508" t="s">
        <v>190</v>
      </c>
      <c r="B12" s="509"/>
      <c r="C12" s="510"/>
      <c r="D12" s="511">
        <f>SUM(D7:D11)</f>
        <v>250.75</v>
      </c>
      <c r="E12" s="511">
        <f>SUM(E7:E11)</f>
        <v>134.46666666666667</v>
      </c>
      <c r="F12" s="511">
        <f>SUM(F7:F11)</f>
        <v>40.86666666666666</v>
      </c>
      <c r="G12" s="511">
        <f>SUM(G7:G11)</f>
        <v>0</v>
      </c>
      <c r="H12" s="762">
        <f t="shared" ref="H12" si="0">+E12/F12-1</f>
        <v>2.2903752039151719</v>
      </c>
      <c r="I12" s="196"/>
      <c r="J12" s="196"/>
      <c r="K12" s="197"/>
      <c r="L12" s="206"/>
    </row>
    <row r="13" spans="1:12" ht="11.25" customHeight="1">
      <c r="A13" s="268" t="str">
        <f>"Cuadro N° 14: Horas de operación de los principales equipos de congestión en "&amp;'1. Resumen'!Q4</f>
        <v>Cuadro N° 14: Horas de operación de los principales equipos de congestión en octubre</v>
      </c>
      <c r="B13" s="209"/>
      <c r="C13" s="210"/>
      <c r="D13" s="211"/>
      <c r="E13" s="211"/>
      <c r="F13" s="212"/>
      <c r="G13" s="76"/>
      <c r="H13" s="82"/>
      <c r="I13" s="196"/>
      <c r="J13" s="196"/>
      <c r="K13" s="197"/>
      <c r="L13" s="206"/>
    </row>
    <row r="14" spans="1:12" ht="11.25" customHeight="1">
      <c r="A14" s="137"/>
      <c r="B14" s="209"/>
      <c r="C14" s="210"/>
      <c r="D14" s="211"/>
      <c r="E14" s="211"/>
      <c r="F14" s="212"/>
      <c r="G14" s="76"/>
      <c r="H14" s="76"/>
      <c r="I14" s="196"/>
      <c r="J14" s="196"/>
      <c r="K14" s="197"/>
      <c r="L14" s="206"/>
    </row>
    <row r="15" spans="1:12" ht="11.25" customHeight="1">
      <c r="A15" s="137"/>
      <c r="B15" s="209"/>
      <c r="C15" s="210"/>
      <c r="D15" s="211"/>
      <c r="E15" s="211"/>
      <c r="F15" s="212"/>
      <c r="G15" s="76"/>
      <c r="H15" s="76"/>
      <c r="I15" s="196"/>
      <c r="J15" s="196"/>
      <c r="K15" s="197"/>
      <c r="L15" s="206"/>
    </row>
    <row r="16" spans="1:12" ht="11.25" customHeight="1">
      <c r="A16" s="77"/>
      <c r="B16" s="164"/>
      <c r="C16" s="78"/>
      <c r="D16" s="79"/>
      <c r="E16" s="79"/>
      <c r="F16" s="80"/>
      <c r="G16" s="76"/>
      <c r="H16" s="76"/>
      <c r="I16" s="196"/>
      <c r="J16" s="196"/>
      <c r="K16" s="197"/>
      <c r="L16" s="206"/>
    </row>
    <row r="17" spans="1:12" ht="11.25" customHeight="1">
      <c r="A17" s="77"/>
      <c r="B17" s="164"/>
      <c r="C17" s="78"/>
      <c r="D17" s="79"/>
      <c r="E17" s="79"/>
      <c r="F17" s="80"/>
      <c r="G17" s="76"/>
      <c r="H17" s="76"/>
      <c r="I17" s="196"/>
      <c r="J17" s="196"/>
      <c r="K17" s="197"/>
      <c r="L17" s="206"/>
    </row>
    <row r="18" spans="1:12" ht="11.25" customHeight="1">
      <c r="A18" s="77"/>
      <c r="B18" s="164"/>
      <c r="C18" s="78"/>
      <c r="D18" s="79"/>
      <c r="E18" s="79"/>
      <c r="F18" s="80"/>
      <c r="G18" s="76"/>
      <c r="H18" s="76"/>
      <c r="I18" s="196"/>
      <c r="J18" s="196"/>
      <c r="K18" s="197"/>
      <c r="L18" s="207"/>
    </row>
    <row r="19" spans="1:12" ht="11.25" customHeight="1">
      <c r="A19" s="77"/>
      <c r="B19" s="164"/>
      <c r="C19" s="78"/>
      <c r="D19" s="79"/>
      <c r="E19" s="79"/>
      <c r="F19" s="80"/>
      <c r="G19" s="76"/>
      <c r="H19" s="76"/>
      <c r="I19" s="196"/>
      <c r="J19" s="196"/>
      <c r="K19" s="197"/>
      <c r="L19" s="206"/>
    </row>
    <row r="20" spans="1:12" ht="11.25" customHeight="1">
      <c r="A20" s="77"/>
      <c r="B20" s="164"/>
      <c r="C20" s="78"/>
      <c r="D20" s="79"/>
      <c r="E20" s="79"/>
      <c r="F20" s="80"/>
      <c r="G20" s="76"/>
      <c r="H20" s="76"/>
      <c r="I20" s="196"/>
      <c r="J20" s="196"/>
      <c r="K20" s="197"/>
      <c r="L20" s="206"/>
    </row>
    <row r="21" spans="1:12" ht="11.25" customHeight="1">
      <c r="A21" s="77"/>
      <c r="B21" s="164"/>
      <c r="C21" s="78"/>
      <c r="D21" s="79"/>
      <c r="E21" s="79"/>
      <c r="F21" s="80"/>
      <c r="G21" s="76"/>
      <c r="H21" s="76"/>
      <c r="I21" s="196"/>
      <c r="J21" s="196"/>
      <c r="K21" s="196"/>
      <c r="L21" s="58"/>
    </row>
    <row r="22" spans="1:12" ht="11.25" customHeight="1">
      <c r="A22" s="77"/>
      <c r="B22" s="164"/>
      <c r="C22" s="78"/>
      <c r="D22" s="79"/>
      <c r="E22" s="79"/>
      <c r="F22" s="80"/>
      <c r="G22" s="76"/>
      <c r="H22" s="76"/>
      <c r="I22" s="196"/>
      <c r="J22" s="196"/>
      <c r="K22" s="197"/>
      <c r="L22" s="206"/>
    </row>
    <row r="23" spans="1:12" ht="11.25" customHeight="1">
      <c r="A23" s="77"/>
      <c r="B23" s="164"/>
      <c r="C23" s="78"/>
      <c r="D23" s="79"/>
      <c r="E23" s="79"/>
      <c r="F23" s="80"/>
      <c r="G23" s="76"/>
      <c r="H23" s="76"/>
      <c r="I23" s="196"/>
      <c r="J23" s="196"/>
      <c r="K23" s="198"/>
      <c r="L23" s="206"/>
    </row>
    <row r="24" spans="1:12" ht="11.25" customHeight="1">
      <c r="A24" s="77"/>
      <c r="B24" s="164"/>
      <c r="C24" s="78"/>
      <c r="D24" s="79"/>
      <c r="E24" s="79"/>
      <c r="F24" s="80"/>
      <c r="G24" s="76"/>
      <c r="H24" s="76"/>
      <c r="I24" s="196"/>
      <c r="J24" s="196"/>
      <c r="K24" s="198"/>
      <c r="L24" s="206"/>
    </row>
    <row r="25" spans="1:12" ht="11.25" customHeight="1">
      <c r="A25" s="77"/>
      <c r="B25" s="164"/>
      <c r="C25" s="78"/>
      <c r="D25" s="79"/>
      <c r="E25" s="79"/>
      <c r="F25" s="80"/>
      <c r="G25" s="76"/>
      <c r="H25" s="76"/>
      <c r="I25" s="196"/>
      <c r="J25" s="196"/>
      <c r="K25" s="198"/>
      <c r="L25" s="206"/>
    </row>
    <row r="26" spans="1:12" ht="11.25" customHeight="1">
      <c r="A26" s="77"/>
      <c r="B26" s="164"/>
      <c r="C26" s="78"/>
      <c r="D26" s="79"/>
      <c r="E26" s="79"/>
      <c r="F26" s="80"/>
      <c r="G26" s="76"/>
      <c r="H26" s="76"/>
      <c r="I26" s="196"/>
      <c r="J26" s="196"/>
      <c r="K26" s="198"/>
      <c r="L26" s="206"/>
    </row>
    <row r="27" spans="1:12" ht="11.25" customHeight="1">
      <c r="A27" s="77"/>
      <c r="B27" s="164"/>
      <c r="C27" s="78"/>
      <c r="D27" s="79"/>
      <c r="E27" s="79"/>
      <c r="F27" s="80"/>
      <c r="G27" s="76"/>
      <c r="H27" s="76"/>
      <c r="I27" s="196"/>
      <c r="J27" s="196"/>
      <c r="K27" s="198"/>
      <c r="L27" s="206"/>
    </row>
    <row r="28" spans="1:12" ht="11.25" customHeight="1">
      <c r="A28" s="77"/>
      <c r="B28" s="164"/>
      <c r="C28" s="78"/>
      <c r="D28" s="79"/>
      <c r="E28" s="79"/>
      <c r="F28" s="80"/>
      <c r="G28" s="76"/>
      <c r="H28" s="76"/>
      <c r="I28" s="196"/>
      <c r="J28" s="196"/>
      <c r="K28" s="198"/>
      <c r="L28" s="206"/>
    </row>
    <row r="29" spans="1:12" ht="11.25" customHeight="1">
      <c r="A29" s="77"/>
      <c r="B29" s="77"/>
      <c r="C29" s="77"/>
      <c r="D29" s="77"/>
      <c r="E29" s="77"/>
      <c r="F29" s="77"/>
      <c r="G29" s="77"/>
      <c r="H29" s="77"/>
      <c r="I29" s="196"/>
      <c r="J29" s="196"/>
      <c r="K29" s="198"/>
      <c r="L29" s="206"/>
    </row>
    <row r="30" spans="1:12" ht="11.25" customHeight="1">
      <c r="A30" s="77"/>
      <c r="B30" s="77"/>
      <c r="C30" s="77"/>
      <c r="D30" s="77"/>
      <c r="E30" s="77"/>
      <c r="F30" s="77"/>
      <c r="G30" s="77"/>
      <c r="H30" s="77"/>
      <c r="I30" s="196"/>
      <c r="J30" s="196"/>
      <c r="K30" s="199"/>
      <c r="L30" s="59"/>
    </row>
    <row r="31" spans="1:12" ht="11.25" customHeight="1">
      <c r="A31" s="77"/>
      <c r="B31" s="77"/>
      <c r="C31" s="77"/>
      <c r="D31" s="77"/>
      <c r="E31" s="77"/>
      <c r="F31" s="77"/>
      <c r="G31" s="77"/>
      <c r="H31" s="77"/>
      <c r="I31" s="196"/>
      <c r="J31" s="196"/>
      <c r="K31" s="199"/>
      <c r="L31" s="59"/>
    </row>
    <row r="32" spans="1:12" ht="11.25" customHeight="1">
      <c r="A32" s="77"/>
      <c r="B32" s="77"/>
      <c r="C32" s="77"/>
      <c r="D32" s="77"/>
      <c r="E32" s="77"/>
      <c r="F32" s="77"/>
      <c r="G32" s="77"/>
      <c r="H32" s="77"/>
      <c r="I32" s="196"/>
      <c r="J32" s="196"/>
      <c r="K32" s="199"/>
      <c r="L32" s="59"/>
    </row>
    <row r="33" spans="1:12" ht="11.25" customHeight="1">
      <c r="A33" s="77"/>
      <c r="B33" s="77"/>
      <c r="C33" s="77"/>
      <c r="D33" s="77"/>
      <c r="E33" s="77"/>
      <c r="F33" s="77"/>
      <c r="G33" s="77"/>
      <c r="H33" s="77"/>
      <c r="I33" s="196"/>
      <c r="J33" s="196"/>
      <c r="K33" s="199"/>
      <c r="L33" s="59"/>
    </row>
    <row r="34" spans="1:12" ht="11.25" customHeight="1">
      <c r="A34" s="77"/>
      <c r="B34" s="77"/>
      <c r="C34" s="77"/>
      <c r="D34" s="77"/>
      <c r="E34" s="77"/>
      <c r="F34" s="77"/>
      <c r="G34" s="77"/>
      <c r="H34" s="77"/>
      <c r="I34" s="196"/>
      <c r="J34" s="196"/>
      <c r="K34" s="199"/>
      <c r="L34" s="59"/>
    </row>
    <row r="35" spans="1:12" ht="11.25" customHeight="1">
      <c r="A35" s="77"/>
      <c r="B35" s="77"/>
      <c r="C35" s="77"/>
      <c r="D35" s="77"/>
      <c r="E35" s="77"/>
      <c r="F35" s="77"/>
      <c r="G35" s="77"/>
      <c r="H35" s="77"/>
      <c r="I35" s="196"/>
      <c r="J35" s="196"/>
      <c r="K35" s="199"/>
      <c r="L35" s="59"/>
    </row>
    <row r="36" spans="1:12" ht="11.25" customHeight="1">
      <c r="A36" s="77"/>
      <c r="B36" s="77"/>
      <c r="C36" s="77"/>
      <c r="D36" s="77"/>
      <c r="E36" s="77"/>
      <c r="F36" s="77"/>
      <c r="G36" s="77"/>
      <c r="H36" s="77"/>
      <c r="I36" s="196"/>
      <c r="J36" s="196"/>
      <c r="K36" s="199"/>
      <c r="L36" s="59"/>
    </row>
    <row r="37" spans="1:12" ht="11.25" customHeight="1">
      <c r="A37" s="77"/>
      <c r="B37" s="77"/>
      <c r="C37" s="77"/>
      <c r="D37" s="77"/>
      <c r="E37" s="77"/>
      <c r="F37" s="77"/>
      <c r="G37" s="77"/>
      <c r="H37" s="77"/>
      <c r="I37" s="196"/>
      <c r="J37" s="196"/>
      <c r="K37" s="199"/>
      <c r="L37" s="59"/>
    </row>
    <row r="38" spans="1:12" ht="8.25" customHeight="1">
      <c r="A38" s="77"/>
      <c r="B38" s="77"/>
      <c r="C38" s="77"/>
      <c r="D38" s="77"/>
      <c r="E38" s="77"/>
      <c r="F38" s="77"/>
      <c r="G38" s="77"/>
      <c r="H38" s="77"/>
      <c r="I38" s="196"/>
      <c r="J38" s="196"/>
      <c r="K38" s="199"/>
      <c r="L38" s="59"/>
    </row>
    <row r="39" spans="1:12" ht="24.75" customHeight="1">
      <c r="A39" s="77"/>
      <c r="B39" s="77"/>
      <c r="C39" s="77"/>
      <c r="D39" s="77"/>
      <c r="E39" s="77"/>
      <c r="F39" s="77"/>
      <c r="G39" s="77"/>
      <c r="H39" s="77"/>
      <c r="I39" s="196"/>
      <c r="J39" s="196"/>
      <c r="K39" s="199"/>
      <c r="L39" s="59"/>
    </row>
    <row r="40" spans="1:12" ht="11.25" customHeight="1">
      <c r="A40" s="77"/>
      <c r="B40" s="77"/>
      <c r="C40" s="77"/>
      <c r="D40" s="77"/>
      <c r="E40" s="77"/>
      <c r="F40" s="77"/>
      <c r="G40" s="77"/>
      <c r="H40" s="77"/>
      <c r="I40" s="196"/>
      <c r="J40" s="196"/>
      <c r="K40" s="199"/>
      <c r="L40" s="59"/>
    </row>
    <row r="41" spans="1:12" ht="11.25" customHeight="1">
      <c r="A41" s="77"/>
      <c r="B41" s="77"/>
      <c r="C41" s="77"/>
      <c r="D41" s="77"/>
      <c r="E41" s="77"/>
      <c r="F41" s="77"/>
      <c r="G41" s="77"/>
      <c r="H41" s="77"/>
      <c r="I41" s="196"/>
      <c r="J41" s="196"/>
      <c r="K41" s="199"/>
      <c r="L41" s="59"/>
    </row>
    <row r="42" spans="1:12" ht="11.25" customHeight="1">
      <c r="A42" s="77"/>
      <c r="B42" s="77"/>
      <c r="C42" s="77"/>
      <c r="D42" s="77"/>
      <c r="E42" s="77"/>
      <c r="F42" s="77"/>
      <c r="G42" s="77"/>
      <c r="H42" s="77"/>
      <c r="I42" s="196"/>
      <c r="J42" s="196"/>
      <c r="K42" s="199"/>
      <c r="L42" s="59"/>
    </row>
    <row r="43" spans="1:12" ht="11.25" customHeight="1">
      <c r="A43" s="77"/>
      <c r="B43" s="77"/>
      <c r="C43" s="77"/>
      <c r="D43" s="77"/>
      <c r="E43" s="77"/>
      <c r="F43" s="77"/>
      <c r="G43" s="77"/>
      <c r="H43" s="77"/>
      <c r="I43" s="196"/>
      <c r="J43" s="196"/>
      <c r="K43" s="198"/>
    </row>
    <row r="44" spans="1:12" ht="11.25" customHeight="1">
      <c r="A44" s="77"/>
      <c r="B44" s="77"/>
      <c r="C44" s="77"/>
      <c r="D44" s="77"/>
      <c r="E44" s="77"/>
      <c r="F44" s="77"/>
      <c r="G44" s="77"/>
      <c r="H44" s="77"/>
      <c r="I44" s="196"/>
      <c r="J44" s="196"/>
      <c r="K44" s="198"/>
    </row>
    <row r="45" spans="1:12" ht="12.75">
      <c r="A45" s="54"/>
      <c r="B45" s="77"/>
      <c r="C45" s="77"/>
      <c r="D45" s="77"/>
      <c r="E45" s="77"/>
      <c r="F45" s="77"/>
      <c r="G45" s="77"/>
      <c r="H45" s="77"/>
      <c r="I45" s="196"/>
      <c r="J45" s="196"/>
      <c r="K45" s="198"/>
    </row>
    <row r="46" spans="1:12" ht="12.75">
      <c r="A46" s="77"/>
      <c r="B46" s="77"/>
      <c r="C46" s="77"/>
      <c r="D46" s="77"/>
      <c r="E46" s="77"/>
      <c r="F46" s="77"/>
      <c r="G46" s="77"/>
      <c r="H46" s="77"/>
      <c r="I46" s="196"/>
      <c r="J46" s="196"/>
      <c r="K46" s="198"/>
    </row>
    <row r="47" spans="1:12" ht="12.75">
      <c r="A47" s="77"/>
      <c r="B47" s="77"/>
      <c r="C47" s="77"/>
      <c r="D47" s="77"/>
      <c r="E47" s="77"/>
      <c r="F47" s="77"/>
      <c r="G47" s="77"/>
      <c r="H47" s="77"/>
      <c r="I47" s="196"/>
      <c r="J47" s="196"/>
      <c r="K47" s="198"/>
    </row>
    <row r="48" spans="1:12" ht="12.75">
      <c r="A48" s="77"/>
      <c r="B48" s="77"/>
      <c r="C48" s="77"/>
      <c r="D48" s="77"/>
      <c r="E48" s="77"/>
      <c r="F48" s="77"/>
      <c r="G48" s="77"/>
      <c r="H48" s="77"/>
      <c r="I48" s="196"/>
      <c r="J48" s="196"/>
      <c r="K48" s="198"/>
    </row>
    <row r="49" spans="1:11" ht="12.75">
      <c r="A49" s="77"/>
      <c r="B49" s="77"/>
      <c r="C49" s="77"/>
      <c r="D49" s="77"/>
      <c r="E49" s="77"/>
      <c r="F49" s="77"/>
      <c r="G49" s="77"/>
      <c r="H49" s="77"/>
      <c r="I49" s="196"/>
      <c r="J49" s="196"/>
      <c r="K49" s="198"/>
    </row>
    <row r="50" spans="1:11" ht="12.75">
      <c r="A50" s="77"/>
      <c r="B50" s="77"/>
      <c r="C50" s="77"/>
      <c r="D50" s="77"/>
      <c r="E50" s="77"/>
      <c r="F50" s="77"/>
      <c r="G50" s="77"/>
      <c r="H50" s="77"/>
      <c r="I50" s="111"/>
      <c r="J50" s="111"/>
      <c r="K50" s="198"/>
    </row>
    <row r="51" spans="1:11" ht="12.75">
      <c r="A51" s="77"/>
      <c r="B51" s="77"/>
      <c r="C51" s="77"/>
      <c r="D51" s="77"/>
      <c r="E51" s="77"/>
      <c r="F51" s="77"/>
      <c r="G51" s="77"/>
      <c r="H51" s="77"/>
      <c r="I51" s="111"/>
      <c r="J51" s="111"/>
      <c r="K51" s="198"/>
    </row>
    <row r="52" spans="1:11" ht="12.75">
      <c r="A52" s="77"/>
      <c r="B52" s="77"/>
      <c r="C52" s="77"/>
      <c r="D52" s="77"/>
      <c r="E52" s="77"/>
      <c r="F52" s="77"/>
      <c r="G52" s="77"/>
      <c r="H52" s="77"/>
      <c r="I52" s="111"/>
      <c r="J52" s="111"/>
      <c r="K52" s="198"/>
    </row>
    <row r="53" spans="1:11" ht="12.75">
      <c r="B53" s="77"/>
      <c r="C53" s="77"/>
      <c r="D53" s="77"/>
      <c r="E53" s="77"/>
      <c r="F53" s="77"/>
      <c r="G53" s="77"/>
      <c r="H53" s="77"/>
      <c r="I53" s="111"/>
      <c r="J53" s="111"/>
      <c r="K53" s="198"/>
    </row>
    <row r="54" spans="1:11" ht="12.75">
      <c r="A54" s="268" t="str">
        <f>"Gráfico N° 23: Comparación de las horas de operación de los principales equipos de congestión en "&amp;'1. Resumen'!Q4&amp;"."</f>
        <v>Gráfico N° 23: Comparación de las horas de operación de los principales equipos de congestión en octubre.</v>
      </c>
      <c r="B54" s="77"/>
      <c r="C54" s="77"/>
      <c r="D54" s="77"/>
      <c r="E54" s="77"/>
      <c r="F54" s="77"/>
      <c r="G54" s="77"/>
      <c r="H54" s="77"/>
      <c r="I54" s="111"/>
      <c r="J54" s="111"/>
      <c r="K54" s="198"/>
    </row>
    <row r="55" spans="1:11" ht="12.75">
      <c r="A55" s="77"/>
      <c r="B55" s="77"/>
      <c r="C55" s="77"/>
      <c r="D55" s="77"/>
      <c r="E55" s="77"/>
      <c r="F55" s="77"/>
      <c r="G55" s="77"/>
      <c r="H55" s="77"/>
      <c r="I55" s="197"/>
      <c r="J55" s="197"/>
      <c r="K55" s="198"/>
    </row>
    <row r="56" spans="1:11" ht="12.75">
      <c r="A56" s="196"/>
      <c r="B56" s="197"/>
      <c r="C56" s="197"/>
      <c r="D56" s="197"/>
      <c r="E56" s="197"/>
      <c r="F56" s="197"/>
      <c r="G56" s="197"/>
      <c r="H56" s="197"/>
      <c r="I56" s="197"/>
      <c r="J56" s="197"/>
      <c r="K56" s="198"/>
    </row>
    <row r="57" spans="1:11" ht="12.75">
      <c r="A57" s="196"/>
      <c r="B57" s="208"/>
      <c r="C57" s="198"/>
      <c r="D57" s="198"/>
      <c r="E57" s="198"/>
      <c r="F57" s="198"/>
      <c r="G57" s="197"/>
      <c r="H57" s="197"/>
      <c r="I57" s="197"/>
      <c r="J57" s="197"/>
      <c r="K57" s="198"/>
    </row>
    <row r="58" spans="1:11" ht="12.75">
      <c r="A58" s="1"/>
      <c r="B58" s="31"/>
      <c r="C58" s="31"/>
      <c r="D58" s="31"/>
      <c r="E58" s="31"/>
      <c r="F58" s="31"/>
      <c r="G58" s="31"/>
      <c r="H58" s="197"/>
      <c r="I58" s="197"/>
      <c r="J58" s="197"/>
      <c r="K58" s="198"/>
    </row>
    <row r="59" spans="1:11" ht="12.75">
      <c r="A59" s="1"/>
      <c r="B59" s="31"/>
      <c r="C59" s="31"/>
      <c r="D59" s="31"/>
      <c r="E59" s="31"/>
      <c r="F59" s="31"/>
      <c r="G59" s="31"/>
      <c r="H59" s="197"/>
      <c r="I59" s="197"/>
      <c r="J59" s="197"/>
      <c r="K59" s="197"/>
    </row>
    <row r="60" spans="1:11" ht="12.75">
      <c r="A60" s="1"/>
      <c r="B60" s="31"/>
      <c r="C60" s="31"/>
      <c r="D60" s="31"/>
      <c r="E60" s="31"/>
      <c r="F60" s="31"/>
      <c r="G60" s="31"/>
      <c r="H60" s="197"/>
      <c r="I60" s="197"/>
      <c r="J60" s="197"/>
      <c r="K60" s="197"/>
    </row>
  </sheetData>
  <mergeCells count="3">
    <mergeCell ref="A4:H4"/>
    <mergeCell ref="A2:H2"/>
    <mergeCell ref="A7:A11"/>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Mensual-Octubre 2020
INFSGI-MES-10-2020
12/11/2020
Versión: 01</oddHeader>
    <oddFooter>&amp;L&amp;7COES, 2020&amp;C16&amp;R&amp;7Dirección Ejecutiva
Sub Dirección de Gestión de Información</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theme="4"/>
  </sheetPr>
  <dimension ref="A1:L250"/>
  <sheetViews>
    <sheetView showGridLines="0" view="pageBreakPreview" zoomScale="130" zoomScaleNormal="160" zoomScaleSheetLayoutView="130" zoomScalePageLayoutView="130" workbookViewId="0">
      <selection activeCell="L30" sqref="L30"/>
    </sheetView>
  </sheetViews>
  <sheetFormatPr defaultColWidth="9.33203125" defaultRowHeight="11.25"/>
  <cols>
    <col min="1" max="1" width="19.6640625" customWidth="1"/>
    <col min="2" max="2" width="12.33203125" customWidth="1"/>
    <col min="3" max="4" width="9" customWidth="1"/>
    <col min="5" max="5" width="13.5" customWidth="1"/>
    <col min="6" max="6" width="12" customWidth="1"/>
    <col min="7" max="7" width="11" customWidth="1"/>
    <col min="8" max="8" width="8.6640625" customWidth="1"/>
    <col min="9" max="9" width="6.6640625" customWidth="1"/>
    <col min="10" max="10" width="12.5" customWidth="1"/>
    <col min="11" max="11" width="9.33203125" customWidth="1"/>
  </cols>
  <sheetData>
    <row r="1" spans="1:12" ht="11.25" customHeight="1"/>
    <row r="2" spans="1:12" ht="32.25" customHeight="1">
      <c r="A2" s="975" t="s">
        <v>419</v>
      </c>
      <c r="B2" s="975"/>
      <c r="C2" s="975"/>
      <c r="D2" s="975"/>
      <c r="E2" s="975"/>
      <c r="F2" s="975"/>
      <c r="G2" s="975"/>
      <c r="H2" s="975"/>
      <c r="I2" s="975"/>
      <c r="J2" s="975"/>
      <c r="K2" s="163"/>
    </row>
    <row r="3" spans="1:12" ht="6.75" customHeight="1">
      <c r="A3" s="17"/>
      <c r="B3" s="159"/>
      <c r="C3" s="213"/>
      <c r="D3" s="18"/>
      <c r="E3" s="18"/>
      <c r="F3" s="192"/>
      <c r="G3" s="66"/>
      <c r="H3" s="66"/>
      <c r="I3" s="71"/>
      <c r="J3" s="163"/>
      <c r="K3" s="163"/>
      <c r="L3" s="36"/>
    </row>
    <row r="4" spans="1:12" ht="15" customHeight="1">
      <c r="A4" s="976" t="s">
        <v>443</v>
      </c>
      <c r="B4" s="976"/>
      <c r="C4" s="976"/>
      <c r="D4" s="976"/>
      <c r="E4" s="976"/>
      <c r="F4" s="976"/>
      <c r="G4" s="976"/>
      <c r="H4" s="976"/>
      <c r="I4" s="976"/>
      <c r="J4" s="976"/>
      <c r="K4" s="163"/>
      <c r="L4" s="36"/>
    </row>
    <row r="5" spans="1:12" ht="38.25" customHeight="1">
      <c r="A5" s="973" t="s">
        <v>191</v>
      </c>
      <c r="B5" s="519" t="s">
        <v>192</v>
      </c>
      <c r="C5" s="520" t="s">
        <v>193</v>
      </c>
      <c r="D5" s="520" t="s">
        <v>194</v>
      </c>
      <c r="E5" s="520" t="s">
        <v>195</v>
      </c>
      <c r="F5" s="520" t="s">
        <v>196</v>
      </c>
      <c r="G5" s="520" t="s">
        <v>197</v>
      </c>
      <c r="H5" s="520" t="s">
        <v>198</v>
      </c>
      <c r="I5" s="521" t="s">
        <v>199</v>
      </c>
      <c r="J5" s="522" t="s">
        <v>200</v>
      </c>
      <c r="K5" s="131"/>
    </row>
    <row r="6" spans="1:12" ht="11.25" customHeight="1">
      <c r="A6" s="974"/>
      <c r="B6" s="701" t="s">
        <v>201</v>
      </c>
      <c r="C6" s="521" t="s">
        <v>202</v>
      </c>
      <c r="D6" s="521" t="s">
        <v>203</v>
      </c>
      <c r="E6" s="521" t="s">
        <v>204</v>
      </c>
      <c r="F6" s="521" t="s">
        <v>205</v>
      </c>
      <c r="G6" s="521" t="s">
        <v>206</v>
      </c>
      <c r="H6" s="521" t="s">
        <v>207</v>
      </c>
      <c r="I6" s="702"/>
      <c r="J6" s="703" t="s">
        <v>208</v>
      </c>
      <c r="K6" s="19"/>
    </row>
    <row r="7" spans="1:12" ht="20.25" customHeight="1">
      <c r="A7" s="711" t="s">
        <v>676</v>
      </c>
      <c r="B7" s="712">
        <v>17</v>
      </c>
      <c r="C7" s="712">
        <v>6</v>
      </c>
      <c r="D7" s="712">
        <v>3</v>
      </c>
      <c r="E7" s="712"/>
      <c r="F7" s="712">
        <v>6</v>
      </c>
      <c r="G7" s="712">
        <v>1</v>
      </c>
      <c r="H7" s="712"/>
      <c r="I7" s="713">
        <f>+SUM(B7:H7)</f>
        <v>33</v>
      </c>
      <c r="J7" s="714">
        <v>281.68</v>
      </c>
      <c r="K7" s="22"/>
    </row>
    <row r="8" spans="1:12" s="730" customFormat="1" ht="20.25" customHeight="1">
      <c r="A8" s="851" t="s">
        <v>677</v>
      </c>
      <c r="B8" s="852"/>
      <c r="C8" s="852">
        <v>2</v>
      </c>
      <c r="D8" s="852"/>
      <c r="E8" s="852"/>
      <c r="F8" s="852"/>
      <c r="G8" s="852"/>
      <c r="H8" s="852"/>
      <c r="I8" s="713">
        <f t="shared" ref="I8:I10" si="0">+SUM(B8:H8)</f>
        <v>2</v>
      </c>
      <c r="J8" s="853">
        <v>51.71</v>
      </c>
      <c r="K8" s="22"/>
    </row>
    <row r="9" spans="1:12" s="730" customFormat="1" ht="20.25" customHeight="1">
      <c r="A9" s="851" t="s">
        <v>581</v>
      </c>
      <c r="B9" s="852"/>
      <c r="C9" s="852"/>
      <c r="D9" s="852"/>
      <c r="E9" s="852"/>
      <c r="F9" s="852"/>
      <c r="G9" s="852"/>
      <c r="H9" s="852">
        <v>1</v>
      </c>
      <c r="I9" s="713">
        <f t="shared" si="0"/>
        <v>1</v>
      </c>
      <c r="J9" s="853">
        <v>0.46</v>
      </c>
      <c r="K9" s="22"/>
    </row>
    <row r="10" spans="1:12" s="730" customFormat="1" ht="20.25" customHeight="1">
      <c r="A10" s="851" t="s">
        <v>166</v>
      </c>
      <c r="B10" s="852"/>
      <c r="C10" s="852">
        <v>1</v>
      </c>
      <c r="D10" s="852">
        <v>4</v>
      </c>
      <c r="E10" s="852"/>
      <c r="F10" s="852">
        <v>2</v>
      </c>
      <c r="G10" s="852"/>
      <c r="H10" s="852"/>
      <c r="I10" s="713">
        <f t="shared" si="0"/>
        <v>7</v>
      </c>
      <c r="J10" s="853">
        <v>8.8000000000000007</v>
      </c>
      <c r="K10" s="22"/>
    </row>
    <row r="11" spans="1:12" s="730" customFormat="1" ht="18.75" customHeight="1">
      <c r="A11" s="851" t="s">
        <v>678</v>
      </c>
      <c r="B11" s="852"/>
      <c r="C11" s="852">
        <v>1</v>
      </c>
      <c r="D11" s="852"/>
      <c r="E11" s="852"/>
      <c r="F11" s="852"/>
      <c r="G11" s="852"/>
      <c r="H11" s="852"/>
      <c r="I11" s="713">
        <f t="shared" ref="I9:I11" si="1">+SUM(B11:H11)</f>
        <v>1</v>
      </c>
      <c r="J11" s="853">
        <v>5.5</v>
      </c>
      <c r="K11" s="22"/>
    </row>
    <row r="12" spans="1:12" ht="14.25" customHeight="1">
      <c r="A12" s="709" t="s">
        <v>199</v>
      </c>
      <c r="B12" s="704">
        <f t="shared" ref="B12:H12" si="2">+SUM(B7:B11)</f>
        <v>17</v>
      </c>
      <c r="C12" s="704">
        <f t="shared" si="2"/>
        <v>10</v>
      </c>
      <c r="D12" s="704">
        <f t="shared" si="2"/>
        <v>7</v>
      </c>
      <c r="E12" s="704">
        <f t="shared" si="2"/>
        <v>0</v>
      </c>
      <c r="F12" s="704">
        <f t="shared" si="2"/>
        <v>8</v>
      </c>
      <c r="G12" s="704">
        <f t="shared" si="2"/>
        <v>1</v>
      </c>
      <c r="H12" s="704">
        <f t="shared" si="2"/>
        <v>1</v>
      </c>
      <c r="I12" s="704">
        <f>SUM(I7:I11)</f>
        <v>44</v>
      </c>
      <c r="J12" s="705">
        <f>SUM(J7:J11)</f>
        <v>348.15</v>
      </c>
      <c r="K12" s="22"/>
    </row>
    <row r="13" spans="1:12" ht="11.25" customHeight="1">
      <c r="A13" s="977" t="str">
        <f>"Cuadro N°15: Número de fallas y energía interrumpida (MWh) por tipo de equipo y Causa según clasificacion CIER en el mes de "&amp;'1. Resumen'!Q4&amp;" "&amp;'1. Resumen'!Q5</f>
        <v>Cuadro N°15: Número de fallas y energía interrumpida (MWh) por tipo de equipo y Causa según clasificacion CIER en el mes de octubre 2020</v>
      </c>
      <c r="B13" s="977"/>
      <c r="C13" s="977"/>
      <c r="D13" s="977"/>
      <c r="E13" s="977"/>
      <c r="F13" s="977"/>
      <c r="G13" s="977"/>
      <c r="H13" s="977"/>
      <c r="I13" s="977"/>
      <c r="J13" s="977"/>
      <c r="K13" s="22"/>
    </row>
    <row r="14" spans="1:12" ht="11.25" customHeight="1">
      <c r="K14" s="22"/>
    </row>
    <row r="15" spans="1:12" ht="11.25" customHeight="1">
      <c r="A15" s="17"/>
      <c r="B15" s="215"/>
      <c r="C15" s="214"/>
      <c r="D15" s="214"/>
      <c r="E15" s="214"/>
      <c r="F15" s="214"/>
      <c r="G15" s="178"/>
      <c r="H15" s="178"/>
      <c r="I15" s="138"/>
      <c r="J15" s="25"/>
      <c r="K15" s="25"/>
      <c r="L15" s="22"/>
    </row>
    <row r="16" spans="1:12" ht="11.25" customHeight="1">
      <c r="A16" s="970" t="str">
        <f>"FALLAS  POR TIPO DE CAUSA  -  "&amp;UPPER('1. Resumen'!Q4)&amp;" "&amp;'1. Resumen'!Q5</f>
        <v>FALLAS  POR TIPO DE CAUSA  -  OCTUBRE 2020</v>
      </c>
      <c r="B16" s="970"/>
      <c r="C16" s="970"/>
      <c r="D16" s="970"/>
      <c r="E16" s="970" t="str">
        <f>"FALLAS  POR TIPO DE EQUIPO  -  "&amp;UPPER('1. Resumen'!Q4)&amp;" "&amp;'1. Resumen'!Q5</f>
        <v>FALLAS  POR TIPO DE EQUIPO  -  OCTUBRE 2020</v>
      </c>
      <c r="F16" s="970"/>
      <c r="G16" s="970"/>
      <c r="H16" s="970"/>
      <c r="I16" s="970"/>
      <c r="J16" s="970"/>
      <c r="K16" s="25"/>
      <c r="L16" s="22"/>
    </row>
    <row r="17" spans="1:12" ht="11.25" customHeight="1">
      <c r="A17" s="17"/>
      <c r="E17" s="214"/>
      <c r="F17" s="214"/>
      <c r="G17" s="178"/>
      <c r="H17" s="178"/>
      <c r="I17" s="138"/>
      <c r="J17" s="111"/>
      <c r="K17" s="111"/>
      <c r="L17" s="22"/>
    </row>
    <row r="18" spans="1:12" ht="11.25" customHeight="1">
      <c r="A18" s="17"/>
      <c r="B18" s="215"/>
      <c r="C18" s="214"/>
      <c r="D18" s="214"/>
      <c r="E18" s="214"/>
      <c r="F18" s="214"/>
      <c r="G18" s="178"/>
      <c r="H18" s="178"/>
      <c r="I18" s="138"/>
      <c r="J18" s="111"/>
      <c r="K18" s="111"/>
      <c r="L18" s="30"/>
    </row>
    <row r="19" spans="1:12" ht="11.25" customHeight="1">
      <c r="A19" s="17"/>
      <c r="B19" s="215"/>
      <c r="C19" s="214"/>
      <c r="D19" s="214"/>
      <c r="E19" s="214"/>
      <c r="F19" s="214"/>
      <c r="G19" s="178"/>
      <c r="H19" s="178"/>
      <c r="I19" s="138"/>
      <c r="J19" s="111"/>
      <c r="K19" s="111"/>
      <c r="L19" s="22"/>
    </row>
    <row r="20" spans="1:12" ht="11.25" customHeight="1">
      <c r="A20" s="17"/>
      <c r="B20" s="215"/>
      <c r="C20" s="214"/>
      <c r="D20" s="214"/>
      <c r="E20" s="214"/>
      <c r="F20" s="214"/>
      <c r="G20" s="178"/>
      <c r="H20" s="178"/>
      <c r="I20" s="138"/>
      <c r="J20" s="111"/>
      <c r="K20" s="111"/>
      <c r="L20" s="22"/>
    </row>
    <row r="21" spans="1:12" ht="11.25" customHeight="1">
      <c r="A21" s="17"/>
      <c r="B21" s="215"/>
      <c r="C21" s="214"/>
      <c r="D21" s="214"/>
      <c r="E21" s="214"/>
      <c r="F21" s="214"/>
      <c r="G21" s="178"/>
      <c r="H21" s="178"/>
      <c r="I21" s="138"/>
      <c r="J21" s="111"/>
      <c r="K21" s="111"/>
      <c r="L21" s="22"/>
    </row>
    <row r="22" spans="1:12" ht="11.25" customHeight="1">
      <c r="A22" s="17"/>
      <c r="B22" s="215"/>
      <c r="C22" s="214"/>
      <c r="D22" s="214"/>
      <c r="E22" s="214"/>
      <c r="F22" s="214"/>
      <c r="G22" s="178"/>
      <c r="H22" s="178"/>
      <c r="I22" s="138"/>
      <c r="J22" s="111"/>
      <c r="K22" s="111"/>
      <c r="L22" s="30"/>
    </row>
    <row r="23" spans="1:12" ht="11.25" customHeight="1">
      <c r="A23" s="17"/>
      <c r="B23" s="215"/>
      <c r="C23" s="214"/>
      <c r="D23" s="214"/>
      <c r="E23" s="214"/>
      <c r="F23" s="214"/>
      <c r="G23" s="178"/>
      <c r="H23" s="178"/>
      <c r="I23" s="138"/>
      <c r="J23" s="111"/>
      <c r="K23" s="111"/>
      <c r="L23" s="22"/>
    </row>
    <row r="24" spans="1:12" ht="11.25" customHeight="1">
      <c r="A24" s="17"/>
      <c r="B24" s="215"/>
      <c r="C24" s="214"/>
      <c r="D24" s="214"/>
      <c r="E24" s="214"/>
      <c r="F24" s="214"/>
      <c r="G24" s="178"/>
      <c r="H24" s="178"/>
      <c r="I24" s="138"/>
      <c r="J24" s="111"/>
      <c r="K24" s="111"/>
      <c r="L24" s="22"/>
    </row>
    <row r="25" spans="1:12" ht="11.25" customHeight="1">
      <c r="A25" s="17"/>
      <c r="B25" s="215"/>
      <c r="C25" s="214"/>
      <c r="D25" s="214"/>
      <c r="E25" s="214"/>
      <c r="F25" s="214"/>
      <c r="G25" s="178"/>
      <c r="H25" s="178"/>
      <c r="I25" s="138"/>
      <c r="J25" s="111"/>
      <c r="K25" s="111"/>
      <c r="L25" s="22"/>
    </row>
    <row r="26" spans="1:12" ht="11.25" customHeight="1">
      <c r="A26" s="17"/>
      <c r="B26" s="215"/>
      <c r="C26" s="214"/>
      <c r="D26" s="214"/>
      <c r="E26" s="214"/>
      <c r="F26" s="214"/>
      <c r="G26" s="178"/>
      <c r="H26" s="178"/>
      <c r="I26" s="138"/>
      <c r="J26" s="111"/>
      <c r="K26" s="111"/>
      <c r="L26" s="22"/>
    </row>
    <row r="27" spans="1:12" ht="11.25" customHeight="1">
      <c r="A27" s="17"/>
      <c r="B27" s="215"/>
      <c r="C27" s="214"/>
      <c r="D27" s="214"/>
      <c r="E27" s="214"/>
      <c r="F27" s="214"/>
      <c r="G27" s="178"/>
      <c r="H27" s="178"/>
      <c r="I27" s="138"/>
      <c r="J27" s="111"/>
      <c r="K27" s="111"/>
      <c r="L27" s="22"/>
    </row>
    <row r="28" spans="1:12" ht="11.25" customHeight="1">
      <c r="A28" s="17"/>
      <c r="B28" s="215"/>
      <c r="C28" s="214"/>
      <c r="D28" s="214"/>
      <c r="E28" s="214"/>
      <c r="F28" s="214"/>
      <c r="G28" s="178"/>
      <c r="H28" s="178"/>
      <c r="I28" s="138"/>
      <c r="J28" s="111"/>
      <c r="K28" s="111"/>
      <c r="L28" s="22"/>
    </row>
    <row r="29" spans="1:12" ht="11.25" customHeight="1">
      <c r="A29" s="17"/>
      <c r="B29" s="215"/>
      <c r="C29" s="214"/>
      <c r="D29" s="214"/>
      <c r="E29" s="214"/>
      <c r="F29" s="214"/>
      <c r="G29" s="178"/>
      <c r="H29" s="178"/>
      <c r="I29" s="138"/>
      <c r="J29" s="111"/>
      <c r="K29" s="111"/>
      <c r="L29" s="22"/>
    </row>
    <row r="30" spans="1:12" ht="11.25" customHeight="1">
      <c r="A30" s="17"/>
      <c r="B30" s="215"/>
      <c r="C30" s="214"/>
      <c r="D30" s="214"/>
      <c r="E30" s="214"/>
      <c r="F30" s="214"/>
      <c r="G30" s="178"/>
      <c r="H30" s="178"/>
      <c r="I30" s="138"/>
      <c r="J30" s="111"/>
      <c r="K30" s="111"/>
      <c r="L30" s="22"/>
    </row>
    <row r="31" spans="1:12" ht="11.25" customHeight="1">
      <c r="A31" s="17"/>
      <c r="B31" s="215"/>
      <c r="C31" s="214"/>
      <c r="D31" s="214"/>
      <c r="E31" s="214"/>
      <c r="F31" s="214"/>
      <c r="G31" s="178"/>
      <c r="H31" s="178"/>
      <c r="I31" s="138"/>
      <c r="J31" s="111"/>
      <c r="K31" s="111"/>
      <c r="L31" s="22"/>
    </row>
    <row r="32" spans="1:12" ht="11.25" customHeight="1">
      <c r="A32" s="17"/>
      <c r="B32" s="215"/>
      <c r="C32" s="214"/>
      <c r="D32" s="214"/>
      <c r="E32" s="214"/>
      <c r="F32" s="214"/>
      <c r="G32" s="178"/>
      <c r="H32" s="178"/>
      <c r="I32" s="138"/>
      <c r="J32" s="111"/>
      <c r="K32" s="111"/>
      <c r="L32" s="22"/>
    </row>
    <row r="33" spans="1:12" ht="11.25" customHeight="1">
      <c r="A33" s="17"/>
      <c r="B33" s="215"/>
      <c r="C33" s="214"/>
      <c r="D33" s="214"/>
      <c r="E33" s="214"/>
      <c r="F33" s="214"/>
      <c r="G33" s="178"/>
      <c r="H33" s="178"/>
      <c r="I33" s="138"/>
      <c r="J33" s="111"/>
      <c r="K33" s="111"/>
      <c r="L33" s="22"/>
    </row>
    <row r="34" spans="1:12" ht="23.25" customHeight="1">
      <c r="A34" s="969" t="s">
        <v>407</v>
      </c>
      <c r="B34" s="969"/>
      <c r="C34" s="969"/>
      <c r="D34" s="271"/>
      <c r="E34" s="972" t="s">
        <v>408</v>
      </c>
      <c r="F34" s="972"/>
      <c r="G34" s="972"/>
      <c r="H34" s="972"/>
      <c r="I34" s="972"/>
      <c r="J34" s="972"/>
      <c r="K34" s="25"/>
      <c r="L34" s="22"/>
    </row>
    <row r="35" spans="1:12" ht="11.25" customHeight="1">
      <c r="A35" s="17"/>
      <c r="B35" s="132"/>
      <c r="C35" s="132"/>
      <c r="D35" s="132"/>
      <c r="E35" s="132"/>
      <c r="F35" s="132"/>
      <c r="G35" s="25"/>
      <c r="H35" s="25"/>
      <c r="I35" s="25"/>
      <c r="J35" s="25"/>
      <c r="K35" s="25"/>
      <c r="L35" s="22"/>
    </row>
    <row r="36" spans="1:12" ht="6.75" customHeight="1">
      <c r="A36" s="17"/>
      <c r="B36" s="132"/>
      <c r="C36" s="132"/>
      <c r="D36" s="132"/>
      <c r="E36" s="132"/>
      <c r="F36" s="132"/>
      <c r="G36" s="25"/>
      <c r="H36" s="25"/>
      <c r="I36" s="25"/>
      <c r="J36" s="25"/>
      <c r="K36" s="25"/>
      <c r="L36" s="216"/>
    </row>
    <row r="37" spans="1:12" ht="11.25" customHeight="1">
      <c r="A37" s="971" t="str">
        <f>"ENERGÍA INTERRUMPIDA APROXIMADA POR TIPO DE EQUIPO (MWh)  -  "&amp;UPPER('1. Resumen'!Q4)&amp;" "&amp;'1. Resumen'!Q5</f>
        <v>ENERGÍA INTERRUMPIDA APROXIMADA POR TIPO DE EQUIPO (MWh)  -  OCTUBRE 2020</v>
      </c>
      <c r="B37" s="971"/>
      <c r="C37" s="971"/>
      <c r="D37" s="971"/>
      <c r="E37" s="971"/>
      <c r="F37" s="971"/>
      <c r="G37" s="971"/>
      <c r="H37" s="971"/>
      <c r="I37" s="971"/>
      <c r="J37" s="971"/>
      <c r="K37" s="25"/>
      <c r="L37" s="216"/>
    </row>
    <row r="38" spans="1:12" ht="11.25" customHeight="1">
      <c r="A38" s="17"/>
      <c r="B38" s="132"/>
      <c r="C38" s="132"/>
      <c r="D38" s="132"/>
      <c r="E38" s="132"/>
      <c r="F38" s="132"/>
      <c r="G38" s="25"/>
      <c r="H38" s="25"/>
      <c r="I38" s="25"/>
      <c r="J38" s="25"/>
      <c r="K38" s="25"/>
      <c r="L38" s="216"/>
    </row>
    <row r="39" spans="1:12" ht="11.25" customHeight="1">
      <c r="A39" s="17"/>
      <c r="B39" s="132"/>
      <c r="C39" s="25"/>
      <c r="D39" s="25"/>
      <c r="E39" s="25"/>
      <c r="F39" s="25"/>
      <c r="G39" s="25"/>
      <c r="H39" s="25"/>
      <c r="I39" s="25"/>
      <c r="J39" s="25"/>
      <c r="K39" s="25"/>
      <c r="L39" s="216"/>
    </row>
    <row r="40" spans="1:12" ht="11.25" customHeight="1">
      <c r="A40" s="17"/>
      <c r="B40" s="132"/>
      <c r="C40" s="25"/>
      <c r="D40" s="25"/>
      <c r="E40" s="25"/>
      <c r="F40" s="25"/>
      <c r="G40" s="25"/>
      <c r="H40" s="25"/>
    </row>
    <row r="41" spans="1:12" ht="12.75">
      <c r="A41" s="17"/>
      <c r="B41" s="132"/>
      <c r="J41" s="25"/>
      <c r="K41" s="25"/>
      <c r="L41" s="216"/>
    </row>
    <row r="42" spans="1:12" ht="12.75">
      <c r="A42" s="17"/>
      <c r="B42" s="132"/>
      <c r="C42" s="132"/>
      <c r="D42" s="132"/>
      <c r="E42" s="132"/>
      <c r="F42" s="132"/>
      <c r="G42" s="25"/>
      <c r="H42" s="25"/>
      <c r="I42" s="25"/>
      <c r="J42" s="25"/>
      <c r="K42" s="25"/>
      <c r="L42" s="216"/>
    </row>
    <row r="43" spans="1:12" ht="3" customHeight="1">
      <c r="A43" s="17"/>
      <c r="B43" s="132"/>
      <c r="C43" s="132"/>
      <c r="D43" s="132"/>
      <c r="E43" s="132"/>
      <c r="F43" s="132"/>
      <c r="G43" s="25"/>
      <c r="H43" s="25"/>
      <c r="I43" s="25"/>
      <c r="J43" s="25"/>
      <c r="K43" s="25"/>
      <c r="L43" s="216"/>
    </row>
    <row r="44" spans="1:12" ht="12.75">
      <c r="A44" s="17"/>
      <c r="B44" s="132"/>
      <c r="C44" s="132"/>
      <c r="D44" s="132"/>
      <c r="E44" s="132"/>
      <c r="F44" s="132"/>
      <c r="G44" s="25"/>
      <c r="H44" s="25"/>
      <c r="I44" s="25"/>
      <c r="J44" s="25"/>
      <c r="K44" s="25"/>
      <c r="L44" s="216"/>
    </row>
    <row r="45" spans="1:12" ht="12.75">
      <c r="A45" s="17"/>
      <c r="B45" s="132"/>
      <c r="C45" s="132"/>
      <c r="D45" s="132"/>
      <c r="E45" s="132"/>
      <c r="F45" s="132"/>
      <c r="G45" s="25"/>
      <c r="H45" s="25"/>
      <c r="I45" s="25"/>
      <c r="J45" s="25"/>
      <c r="K45" s="25"/>
      <c r="L45" s="216"/>
    </row>
    <row r="46" spans="1:12" ht="12.75">
      <c r="A46" s="17"/>
      <c r="B46" s="132"/>
      <c r="C46" s="132"/>
      <c r="D46" s="132"/>
      <c r="E46" s="132"/>
      <c r="F46" s="132"/>
      <c r="G46" s="25"/>
      <c r="H46" s="25"/>
      <c r="I46" s="25"/>
      <c r="J46" s="25"/>
      <c r="K46" s="25"/>
      <c r="L46" s="216"/>
    </row>
    <row r="47" spans="1:12" ht="12.75">
      <c r="A47" s="163"/>
      <c r="B47" s="25"/>
      <c r="C47" s="25"/>
      <c r="D47" s="25"/>
      <c r="E47" s="25"/>
      <c r="F47" s="25"/>
      <c r="G47" s="25"/>
      <c r="H47" s="25"/>
      <c r="I47" s="25"/>
      <c r="J47" s="25"/>
      <c r="K47" s="25"/>
      <c r="L47" s="216"/>
    </row>
    <row r="48" spans="1:12" ht="12.75">
      <c r="A48" s="163"/>
      <c r="B48" s="25"/>
      <c r="C48" s="25"/>
      <c r="D48" s="25"/>
      <c r="E48" s="25"/>
      <c r="F48" s="25"/>
      <c r="G48" s="25"/>
      <c r="H48" s="25"/>
      <c r="I48" s="25"/>
      <c r="J48" s="25"/>
      <c r="K48" s="25"/>
      <c r="L48" s="216"/>
    </row>
    <row r="49" spans="1:12" ht="12.75">
      <c r="A49" s="163"/>
      <c r="B49" s="25"/>
      <c r="C49" s="25"/>
      <c r="D49" s="25"/>
      <c r="E49" s="25"/>
      <c r="F49" s="25"/>
      <c r="G49" s="25"/>
      <c r="H49" s="25"/>
      <c r="I49" s="25"/>
      <c r="J49" s="25"/>
      <c r="K49" s="25"/>
      <c r="L49" s="216"/>
    </row>
    <row r="50" spans="1:12" ht="12.75">
      <c r="A50" s="163"/>
      <c r="B50" s="25"/>
      <c r="C50" s="25"/>
      <c r="D50" s="25"/>
      <c r="E50" s="25"/>
      <c r="F50" s="25"/>
      <c r="G50" s="25"/>
      <c r="H50" s="25"/>
      <c r="I50" s="25"/>
      <c r="J50" s="25"/>
      <c r="K50" s="25"/>
      <c r="L50" s="216"/>
    </row>
    <row r="51" spans="1:12" ht="12.75">
      <c r="A51" s="163"/>
      <c r="B51" s="25"/>
      <c r="C51" s="25"/>
      <c r="D51" s="25"/>
      <c r="E51" s="25"/>
      <c r="F51" s="25"/>
      <c r="G51" s="25"/>
      <c r="H51" s="25"/>
      <c r="I51" s="25"/>
      <c r="J51" s="25"/>
      <c r="K51" s="25"/>
      <c r="L51" s="216"/>
    </row>
    <row r="52" spans="1:12" ht="9" customHeight="1">
      <c r="A52" s="163"/>
      <c r="B52" s="25"/>
      <c r="C52" s="25"/>
      <c r="D52" s="25"/>
      <c r="E52" s="25"/>
      <c r="F52" s="25"/>
      <c r="G52" s="25"/>
      <c r="H52" s="25"/>
      <c r="I52" s="25"/>
      <c r="J52" s="25"/>
      <c r="K52" s="25"/>
      <c r="L52" s="216"/>
    </row>
    <row r="53" spans="1:12">
      <c r="A53" s="271" t="str">
        <f>"Gráfico N°26: Comparación de la energía interrumpida aproximada por tipo de equipo en "&amp;'1. Resumen'!Q4&amp;" "&amp;'1. Resumen'!Q5</f>
        <v>Gráfico N°26: Comparación de la energía interrumpida aproximada por tipo de equipo en octubre 2020</v>
      </c>
      <c r="B53" s="25"/>
      <c r="C53" s="25"/>
      <c r="D53" s="25"/>
      <c r="E53" s="25"/>
      <c r="F53" s="25"/>
      <c r="G53" s="25"/>
      <c r="H53" s="25"/>
      <c r="I53" s="25"/>
      <c r="J53" s="25"/>
      <c r="K53" s="25"/>
      <c r="L53" s="216"/>
    </row>
    <row r="54" spans="1:12" ht="5.25" customHeight="1">
      <c r="B54" s="25"/>
      <c r="C54" s="25"/>
      <c r="D54" s="25"/>
      <c r="E54" s="25"/>
      <c r="F54" s="25"/>
      <c r="G54" s="25"/>
      <c r="H54" s="25"/>
      <c r="I54" s="25"/>
      <c r="J54" s="25"/>
      <c r="K54" s="25"/>
      <c r="L54" s="216"/>
    </row>
    <row r="55" spans="1:12" ht="24" customHeight="1">
      <c r="A55" s="978" t="s">
        <v>209</v>
      </c>
      <c r="B55" s="978"/>
      <c r="C55" s="978"/>
      <c r="D55" s="978"/>
      <c r="E55" s="978"/>
      <c r="F55" s="978"/>
      <c r="G55" s="978"/>
      <c r="H55" s="978"/>
      <c r="I55" s="978"/>
      <c r="J55" s="978"/>
      <c r="K55" s="25"/>
      <c r="L55" s="216"/>
    </row>
    <row r="56" spans="1:12" ht="11.25" customHeight="1">
      <c r="A56" s="968" t="s">
        <v>210</v>
      </c>
      <c r="B56" s="968"/>
      <c r="C56" s="968"/>
      <c r="D56" s="968"/>
      <c r="E56" s="968"/>
      <c r="F56" s="968"/>
      <c r="G56" s="968"/>
      <c r="H56" s="968"/>
      <c r="I56" s="968"/>
      <c r="J56" s="968"/>
      <c r="K56" s="25"/>
      <c r="L56" s="216"/>
    </row>
    <row r="57" spans="1:12" ht="12.75">
      <c r="A57" s="163"/>
      <c r="B57" s="25"/>
      <c r="C57" s="25"/>
      <c r="D57" s="25"/>
      <c r="E57" s="25"/>
      <c r="F57" s="25"/>
      <c r="G57" s="25"/>
      <c r="H57" s="25"/>
      <c r="I57" s="25"/>
      <c r="J57" s="25"/>
      <c r="K57" s="25"/>
      <c r="L57" s="216"/>
    </row>
    <row r="58" spans="1:12" ht="12.75">
      <c r="A58" s="163"/>
      <c r="B58" s="25"/>
      <c r="C58" s="25"/>
      <c r="D58" s="25"/>
      <c r="E58" s="25"/>
      <c r="F58" s="25"/>
      <c r="G58" s="25"/>
      <c r="H58" s="25"/>
      <c r="I58" s="25"/>
      <c r="J58" s="25"/>
      <c r="K58" s="25"/>
      <c r="L58" s="216"/>
    </row>
    <row r="59" spans="1:12" ht="12.75">
      <c r="A59" s="163"/>
      <c r="B59" s="25"/>
      <c r="C59" s="25"/>
      <c r="D59" s="25"/>
      <c r="E59" s="25"/>
      <c r="F59" s="25"/>
      <c r="G59" s="25"/>
      <c r="H59" s="25"/>
      <c r="I59" s="25"/>
      <c r="J59" s="25"/>
      <c r="K59" s="25"/>
      <c r="L59" s="216"/>
    </row>
    <row r="60" spans="1:12" ht="12.75">
      <c r="A60" s="163"/>
      <c r="B60" s="25"/>
      <c r="C60" s="25"/>
      <c r="D60" s="25"/>
      <c r="E60" s="25"/>
      <c r="F60" s="25"/>
      <c r="G60" s="25"/>
      <c r="H60" s="25"/>
      <c r="I60" s="25"/>
      <c r="J60" s="25"/>
      <c r="K60" s="25"/>
      <c r="L60" s="216"/>
    </row>
    <row r="61" spans="1:12" ht="12.75">
      <c r="A61" s="163"/>
      <c r="B61" s="25"/>
      <c r="C61" s="25"/>
      <c r="D61" s="25"/>
      <c r="E61" s="25"/>
      <c r="F61" s="25"/>
      <c r="G61" s="25"/>
      <c r="H61" s="25"/>
      <c r="I61" s="25"/>
      <c r="J61" s="25"/>
      <c r="K61" s="25"/>
      <c r="L61" s="216"/>
    </row>
    <row r="62" spans="1:12" ht="12.75">
      <c r="A62" s="163"/>
      <c r="B62" s="25"/>
      <c r="C62" s="25"/>
      <c r="D62" s="25"/>
      <c r="E62" s="25"/>
      <c r="F62" s="25"/>
      <c r="G62" s="25"/>
      <c r="H62" s="25"/>
      <c r="I62" s="25"/>
      <c r="J62" s="25"/>
      <c r="K62" s="25"/>
      <c r="L62" s="216"/>
    </row>
    <row r="63" spans="1:12" ht="12.75">
      <c r="A63" s="163"/>
      <c r="B63" s="25"/>
      <c r="C63" s="25"/>
      <c r="D63" s="25"/>
      <c r="E63" s="25"/>
      <c r="F63" s="25"/>
      <c r="G63" s="25"/>
      <c r="H63" s="25"/>
      <c r="I63" s="25"/>
      <c r="J63" s="25"/>
      <c r="K63" s="25"/>
      <c r="L63" s="216"/>
    </row>
    <row r="64" spans="1:12" ht="12.75">
      <c r="A64" s="163"/>
      <c r="B64" s="25"/>
      <c r="C64" s="25"/>
      <c r="D64" s="25"/>
      <c r="E64" s="25"/>
      <c r="F64" s="25"/>
      <c r="G64" s="25"/>
      <c r="H64" s="25"/>
      <c r="I64" s="25"/>
      <c r="J64" s="25"/>
      <c r="K64" s="25"/>
      <c r="L64" s="216"/>
    </row>
    <row r="65" spans="1:12" ht="12.75">
      <c r="A65" s="163"/>
      <c r="B65" s="25"/>
      <c r="C65" s="25"/>
      <c r="D65" s="25"/>
      <c r="E65" s="25"/>
      <c r="F65" s="25"/>
      <c r="G65" s="25"/>
      <c r="H65" s="25"/>
      <c r="I65" s="25"/>
      <c r="J65" s="25"/>
      <c r="K65" s="25"/>
      <c r="L65" s="216"/>
    </row>
    <row r="66" spans="1:12" ht="12.75">
      <c r="A66" s="163"/>
      <c r="B66" s="25"/>
      <c r="C66" s="25"/>
      <c r="D66" s="25"/>
      <c r="E66" s="25"/>
      <c r="F66" s="25"/>
      <c r="G66" s="25"/>
      <c r="H66" s="25"/>
      <c r="I66" s="25"/>
      <c r="J66" s="25"/>
      <c r="K66" s="25"/>
      <c r="L66" s="216"/>
    </row>
    <row r="67" spans="1:12" ht="12.75">
      <c r="A67" s="163"/>
      <c r="B67" s="25"/>
      <c r="J67" s="25"/>
      <c r="K67" s="25"/>
      <c r="L67" s="216"/>
    </row>
    <row r="68" spans="1:12" ht="12.75">
      <c r="A68" s="163"/>
      <c r="B68" s="25"/>
      <c r="J68" s="25"/>
      <c r="K68" s="25"/>
      <c r="L68" s="216"/>
    </row>
    <row r="69" spans="1:12" ht="12.75">
      <c r="A69" s="163"/>
      <c r="B69" s="25"/>
      <c r="J69" s="25"/>
      <c r="K69" s="25"/>
      <c r="L69" s="216"/>
    </row>
    <row r="70" spans="1:12" ht="12.75">
      <c r="A70" s="163"/>
      <c r="B70" s="25"/>
      <c r="J70" s="25"/>
      <c r="K70" s="25"/>
      <c r="L70" s="216"/>
    </row>
    <row r="71" spans="1:12">
      <c r="B71" s="216"/>
      <c r="C71" s="216"/>
      <c r="D71" s="216"/>
      <c r="E71" s="216"/>
      <c r="F71" s="216"/>
      <c r="G71" s="216"/>
      <c r="H71" s="216"/>
      <c r="I71" s="216"/>
      <c r="J71" s="216"/>
      <c r="K71" s="216"/>
      <c r="L71" s="216"/>
    </row>
    <row r="72" spans="1:12">
      <c r="B72" s="216"/>
      <c r="C72" s="216"/>
      <c r="D72" s="216"/>
      <c r="E72" s="216"/>
      <c r="F72" s="216"/>
      <c r="G72" s="216"/>
      <c r="H72" s="216"/>
      <c r="I72" s="216"/>
      <c r="J72" s="216"/>
      <c r="K72" s="216"/>
      <c r="L72" s="216"/>
    </row>
    <row r="73" spans="1:12">
      <c r="B73" s="216"/>
      <c r="C73" s="216"/>
      <c r="D73" s="216"/>
      <c r="E73" s="216"/>
      <c r="F73" s="216"/>
      <c r="G73" s="216"/>
      <c r="H73" s="216"/>
      <c r="I73" s="216"/>
      <c r="J73" s="216"/>
      <c r="K73" s="216"/>
      <c r="L73" s="216"/>
    </row>
    <row r="74" spans="1:12">
      <c r="B74" s="216"/>
      <c r="C74" s="216"/>
      <c r="D74" s="216"/>
      <c r="E74" s="216"/>
      <c r="F74" s="216"/>
      <c r="G74" s="216"/>
      <c r="H74" s="216"/>
      <c r="I74" s="216"/>
      <c r="J74" s="216"/>
      <c r="K74" s="216"/>
      <c r="L74" s="216"/>
    </row>
    <row r="75" spans="1:12">
      <c r="B75" s="216"/>
      <c r="C75" s="216"/>
      <c r="D75" s="216"/>
      <c r="E75" s="216"/>
      <c r="F75" s="216"/>
      <c r="G75" s="216"/>
      <c r="H75" s="216"/>
      <c r="I75" s="216"/>
      <c r="J75" s="216"/>
      <c r="K75" s="216"/>
      <c r="L75" s="216"/>
    </row>
    <row r="76" spans="1:12">
      <c r="B76" s="216"/>
      <c r="C76" s="216"/>
      <c r="D76" s="216"/>
      <c r="E76" s="216"/>
      <c r="F76" s="216"/>
      <c r="G76" s="216"/>
      <c r="H76" s="216"/>
      <c r="I76" s="216"/>
      <c r="J76" s="216"/>
      <c r="K76" s="216"/>
      <c r="L76" s="216"/>
    </row>
    <row r="77" spans="1:12">
      <c r="B77" s="216"/>
      <c r="C77" s="216"/>
      <c r="D77" s="216"/>
      <c r="E77" s="216"/>
      <c r="F77" s="216"/>
      <c r="G77" s="216"/>
      <c r="H77" s="216"/>
      <c r="I77" s="216"/>
      <c r="J77" s="216"/>
      <c r="K77" s="216"/>
      <c r="L77" s="216"/>
    </row>
    <row r="78" spans="1:12">
      <c r="B78" s="216"/>
      <c r="C78" s="216"/>
      <c r="D78" s="216"/>
      <c r="E78" s="216"/>
      <c r="F78" s="216"/>
      <c r="G78" s="216"/>
      <c r="H78" s="216"/>
      <c r="I78" s="216"/>
      <c r="J78" s="216"/>
      <c r="K78" s="216"/>
      <c r="L78" s="216"/>
    </row>
    <row r="79" spans="1:12">
      <c r="B79" s="216"/>
      <c r="C79" s="216"/>
      <c r="D79" s="216"/>
      <c r="E79" s="216"/>
      <c r="F79" s="216"/>
      <c r="G79" s="216"/>
      <c r="H79" s="216"/>
      <c r="I79" s="216"/>
      <c r="J79" s="216"/>
      <c r="K79" s="216"/>
      <c r="L79" s="216"/>
    </row>
    <row r="80" spans="1:12">
      <c r="B80" s="216"/>
      <c r="C80" s="216"/>
      <c r="D80" s="216"/>
      <c r="E80" s="216"/>
      <c r="F80" s="216"/>
      <c r="G80" s="216"/>
      <c r="H80" s="216"/>
      <c r="I80" s="216"/>
      <c r="J80" s="216"/>
      <c r="K80" s="216"/>
      <c r="L80" s="216"/>
    </row>
    <row r="81" spans="2:12">
      <c r="B81" s="216"/>
      <c r="C81" s="216"/>
      <c r="D81" s="216"/>
      <c r="E81" s="216"/>
      <c r="F81" s="216"/>
      <c r="G81" s="216"/>
      <c r="H81" s="216"/>
      <c r="I81" s="216"/>
      <c r="J81" s="216"/>
      <c r="K81" s="216"/>
      <c r="L81" s="216"/>
    </row>
    <row r="82" spans="2:12">
      <c r="B82" s="216"/>
      <c r="C82" s="216"/>
      <c r="D82" s="216"/>
      <c r="E82" s="216"/>
      <c r="F82" s="216"/>
      <c r="G82" s="216"/>
      <c r="H82" s="216"/>
      <c r="I82" s="216"/>
      <c r="J82" s="216"/>
      <c r="K82" s="216"/>
      <c r="L82" s="216"/>
    </row>
    <row r="83" spans="2:12">
      <c r="B83" s="216"/>
      <c r="C83" s="216"/>
      <c r="D83" s="216"/>
      <c r="E83" s="216"/>
      <c r="F83" s="216"/>
      <c r="G83" s="216"/>
      <c r="H83" s="216"/>
      <c r="I83" s="216"/>
      <c r="J83" s="216"/>
      <c r="K83" s="216"/>
      <c r="L83" s="216"/>
    </row>
    <row r="84" spans="2:12">
      <c r="B84" s="216"/>
      <c r="C84" s="216"/>
      <c r="D84" s="216"/>
      <c r="E84" s="216"/>
      <c r="F84" s="216"/>
      <c r="G84" s="216"/>
      <c r="H84" s="216"/>
      <c r="I84" s="216"/>
      <c r="J84" s="216"/>
      <c r="K84" s="216"/>
      <c r="L84" s="216"/>
    </row>
    <row r="85" spans="2:12">
      <c r="B85" s="216"/>
      <c r="C85" s="216"/>
      <c r="D85" s="216"/>
      <c r="E85" s="216"/>
      <c r="F85" s="216"/>
      <c r="G85" s="216"/>
      <c r="H85" s="216"/>
      <c r="I85" s="216"/>
      <c r="J85" s="216"/>
      <c r="K85" s="216"/>
      <c r="L85" s="216"/>
    </row>
    <row r="86" spans="2:12">
      <c r="B86" s="216"/>
      <c r="C86" s="216"/>
      <c r="D86" s="216"/>
      <c r="E86" s="216"/>
      <c r="F86" s="216"/>
      <c r="G86" s="216"/>
      <c r="H86" s="216"/>
      <c r="I86" s="216"/>
      <c r="J86" s="216"/>
      <c r="K86" s="216"/>
      <c r="L86" s="216"/>
    </row>
    <row r="87" spans="2:12">
      <c r="B87" s="216"/>
      <c r="C87" s="216"/>
      <c r="D87" s="216"/>
      <c r="E87" s="216"/>
      <c r="F87" s="216"/>
      <c r="G87" s="216"/>
      <c r="H87" s="216"/>
      <c r="I87" s="216"/>
      <c r="J87" s="216"/>
      <c r="K87" s="216"/>
      <c r="L87" s="216"/>
    </row>
    <row r="88" spans="2:12">
      <c r="B88" s="216"/>
      <c r="C88" s="216"/>
      <c r="D88" s="216"/>
      <c r="E88" s="216"/>
      <c r="F88" s="216"/>
      <c r="G88" s="216"/>
      <c r="H88" s="216"/>
      <c r="I88" s="216"/>
      <c r="J88" s="216"/>
      <c r="K88" s="216"/>
      <c r="L88" s="216"/>
    </row>
    <row r="89" spans="2:12">
      <c r="B89" s="216"/>
      <c r="C89" s="216"/>
      <c r="D89" s="216"/>
      <c r="E89" s="216"/>
      <c r="F89" s="216"/>
      <c r="G89" s="216"/>
      <c r="H89" s="216"/>
      <c r="I89" s="216"/>
      <c r="J89" s="216"/>
      <c r="K89" s="216"/>
      <c r="L89" s="216"/>
    </row>
    <row r="90" spans="2:12">
      <c r="B90" s="216"/>
      <c r="C90" s="216"/>
      <c r="D90" s="216"/>
      <c r="E90" s="216"/>
      <c r="F90" s="216"/>
      <c r="G90" s="216"/>
      <c r="H90" s="216"/>
      <c r="I90" s="216"/>
      <c r="J90" s="216"/>
      <c r="K90" s="216"/>
      <c r="L90" s="216"/>
    </row>
    <row r="91" spans="2:12">
      <c r="B91" s="216"/>
      <c r="C91" s="216"/>
      <c r="D91" s="216"/>
      <c r="E91" s="216"/>
      <c r="F91" s="216"/>
      <c r="G91" s="216"/>
      <c r="H91" s="216"/>
      <c r="I91" s="216"/>
      <c r="J91" s="216"/>
      <c r="K91" s="216"/>
      <c r="L91" s="216"/>
    </row>
    <row r="92" spans="2:12">
      <c r="B92" s="216"/>
      <c r="C92" s="216"/>
      <c r="D92" s="216"/>
      <c r="E92" s="216"/>
      <c r="F92" s="216"/>
      <c r="G92" s="216"/>
      <c r="H92" s="216"/>
      <c r="I92" s="216"/>
      <c r="J92" s="216"/>
      <c r="K92" s="216"/>
      <c r="L92" s="216"/>
    </row>
    <row r="93" spans="2:12">
      <c r="B93" s="216"/>
      <c r="C93" s="216"/>
      <c r="D93" s="216"/>
      <c r="E93" s="216"/>
      <c r="F93" s="216"/>
      <c r="G93" s="216"/>
      <c r="H93" s="216"/>
      <c r="I93" s="216"/>
      <c r="J93" s="216"/>
      <c r="K93" s="216"/>
      <c r="L93" s="216"/>
    </row>
    <row r="94" spans="2:12">
      <c r="B94" s="216"/>
      <c r="C94" s="216"/>
      <c r="D94" s="216"/>
      <c r="E94" s="216"/>
      <c r="F94" s="216"/>
      <c r="G94" s="216"/>
      <c r="H94" s="216"/>
      <c r="I94" s="216"/>
      <c r="J94" s="216"/>
      <c r="K94" s="216"/>
      <c r="L94" s="216"/>
    </row>
    <row r="95" spans="2:12">
      <c r="B95" s="216"/>
      <c r="C95" s="216"/>
      <c r="D95" s="216"/>
      <c r="E95" s="216"/>
      <c r="F95" s="216"/>
      <c r="G95" s="216"/>
      <c r="H95" s="216"/>
      <c r="I95" s="216"/>
      <c r="J95" s="216"/>
      <c r="K95" s="216"/>
      <c r="L95" s="216"/>
    </row>
    <row r="96" spans="2:12">
      <c r="B96" s="216"/>
      <c r="C96" s="216"/>
      <c r="D96" s="216"/>
      <c r="E96" s="216"/>
      <c r="F96" s="216"/>
      <c r="G96" s="216"/>
      <c r="H96" s="216"/>
      <c r="I96" s="216"/>
      <c r="J96" s="216"/>
      <c r="K96" s="216"/>
      <c r="L96" s="216"/>
    </row>
    <row r="97" spans="2:12">
      <c r="B97" s="216"/>
      <c r="C97" s="216"/>
      <c r="D97" s="216"/>
      <c r="E97" s="216"/>
      <c r="F97" s="216"/>
      <c r="G97" s="216"/>
      <c r="H97" s="216"/>
      <c r="I97" s="216"/>
      <c r="J97" s="216"/>
      <c r="K97" s="216"/>
      <c r="L97" s="216"/>
    </row>
    <row r="98" spans="2:12">
      <c r="B98" s="216"/>
      <c r="C98" s="216"/>
      <c r="D98" s="216"/>
      <c r="E98" s="216"/>
      <c r="F98" s="216"/>
      <c r="G98" s="216"/>
      <c r="H98" s="216"/>
      <c r="I98" s="216"/>
      <c r="J98" s="216"/>
      <c r="K98" s="216"/>
      <c r="L98" s="216"/>
    </row>
    <row r="99" spans="2:12">
      <c r="B99" s="216"/>
      <c r="C99" s="216"/>
      <c r="D99" s="216"/>
      <c r="E99" s="216"/>
      <c r="F99" s="216"/>
      <c r="G99" s="216"/>
      <c r="H99" s="216"/>
      <c r="I99" s="216"/>
      <c r="J99" s="216"/>
      <c r="K99" s="216"/>
      <c r="L99" s="216"/>
    </row>
    <row r="100" spans="2:12">
      <c r="B100" s="216"/>
      <c r="C100" s="216"/>
      <c r="D100" s="216"/>
      <c r="E100" s="216"/>
      <c r="F100" s="216"/>
      <c r="G100" s="216"/>
      <c r="H100" s="216"/>
      <c r="I100" s="216"/>
      <c r="J100" s="216"/>
      <c r="K100" s="216"/>
      <c r="L100" s="216"/>
    </row>
    <row r="101" spans="2:12">
      <c r="B101" s="216"/>
      <c r="C101" s="216"/>
      <c r="D101" s="216"/>
      <c r="E101" s="216"/>
      <c r="F101" s="216"/>
      <c r="G101" s="216"/>
      <c r="H101" s="216"/>
      <c r="I101" s="216"/>
      <c r="J101" s="216"/>
      <c r="K101" s="216"/>
      <c r="L101" s="216"/>
    </row>
    <row r="102" spans="2:12">
      <c r="B102" s="216"/>
      <c r="C102" s="216"/>
      <c r="D102" s="216"/>
      <c r="E102" s="216"/>
      <c r="F102" s="216"/>
      <c r="G102" s="216"/>
      <c r="H102" s="216"/>
      <c r="I102" s="216"/>
      <c r="J102" s="216"/>
      <c r="K102" s="216"/>
      <c r="L102" s="216"/>
    </row>
    <row r="103" spans="2:12">
      <c r="B103" s="216"/>
      <c r="C103" s="216"/>
      <c r="D103" s="216"/>
      <c r="E103" s="216"/>
      <c r="F103" s="216"/>
      <c r="G103" s="216"/>
      <c r="H103" s="216"/>
      <c r="I103" s="216"/>
      <c r="J103" s="216"/>
      <c r="K103" s="216"/>
      <c r="L103" s="216"/>
    </row>
    <row r="104" spans="2:12">
      <c r="B104" s="216"/>
      <c r="C104" s="216"/>
      <c r="D104" s="216"/>
      <c r="E104" s="216"/>
      <c r="F104" s="216"/>
      <c r="G104" s="216"/>
      <c r="H104" s="216"/>
      <c r="I104" s="216"/>
      <c r="J104" s="216"/>
      <c r="K104" s="216"/>
      <c r="L104" s="216"/>
    </row>
    <row r="105" spans="2:12">
      <c r="B105" s="216"/>
      <c r="C105" s="216"/>
      <c r="D105" s="216"/>
      <c r="E105" s="216"/>
      <c r="F105" s="216"/>
      <c r="G105" s="216"/>
      <c r="H105" s="216"/>
      <c r="I105" s="216"/>
      <c r="J105" s="216"/>
      <c r="K105" s="216"/>
      <c r="L105" s="216"/>
    </row>
    <row r="106" spans="2:12">
      <c r="B106" s="216"/>
      <c r="C106" s="216"/>
      <c r="D106" s="216"/>
      <c r="E106" s="216"/>
      <c r="F106" s="216"/>
      <c r="G106" s="216"/>
      <c r="H106" s="216"/>
      <c r="I106" s="216"/>
      <c r="J106" s="216"/>
      <c r="K106" s="216"/>
      <c r="L106" s="216"/>
    </row>
    <row r="107" spans="2:12">
      <c r="B107" s="216"/>
      <c r="C107" s="216"/>
      <c r="D107" s="216"/>
      <c r="E107" s="216"/>
      <c r="F107" s="216"/>
      <c r="G107" s="216"/>
      <c r="H107" s="216"/>
      <c r="I107" s="216"/>
      <c r="J107" s="216"/>
      <c r="K107" s="216"/>
      <c r="L107" s="216"/>
    </row>
    <row r="108" spans="2:12">
      <c r="B108" s="216"/>
      <c r="C108" s="216"/>
      <c r="D108" s="216"/>
      <c r="E108" s="216"/>
      <c r="F108" s="216"/>
      <c r="G108" s="216"/>
      <c r="H108" s="216"/>
      <c r="I108" s="216"/>
      <c r="J108" s="216"/>
      <c r="K108" s="216"/>
      <c r="L108" s="216"/>
    </row>
    <row r="109" spans="2:12">
      <c r="B109" s="216"/>
      <c r="C109" s="216"/>
      <c r="D109" s="216"/>
      <c r="E109" s="216"/>
      <c r="F109" s="216"/>
      <c r="G109" s="216"/>
      <c r="H109" s="216"/>
      <c r="I109" s="216"/>
      <c r="J109" s="216"/>
      <c r="K109" s="216"/>
      <c r="L109" s="216"/>
    </row>
    <row r="110" spans="2:12">
      <c r="B110" s="216"/>
      <c r="C110" s="216"/>
      <c r="D110" s="216"/>
      <c r="E110" s="216"/>
      <c r="F110" s="216"/>
      <c r="G110" s="216"/>
      <c r="H110" s="216"/>
      <c r="I110" s="216"/>
      <c r="J110" s="216"/>
      <c r="K110" s="216"/>
      <c r="L110" s="216"/>
    </row>
    <row r="111" spans="2:12">
      <c r="B111" s="216"/>
      <c r="C111" s="216"/>
      <c r="D111" s="216"/>
      <c r="E111" s="216"/>
      <c r="F111" s="216"/>
      <c r="G111" s="216"/>
      <c r="H111" s="216"/>
      <c r="I111" s="216"/>
      <c r="J111" s="216"/>
      <c r="K111" s="216"/>
      <c r="L111" s="216"/>
    </row>
    <row r="112" spans="2:12">
      <c r="B112" s="216"/>
      <c r="C112" s="216"/>
      <c r="D112" s="216"/>
      <c r="E112" s="216"/>
      <c r="F112" s="216"/>
      <c r="G112" s="216"/>
      <c r="H112" s="216"/>
      <c r="I112" s="216"/>
      <c r="J112" s="216"/>
      <c r="K112" s="216"/>
      <c r="L112" s="216"/>
    </row>
    <row r="113" spans="2:12">
      <c r="B113" s="216"/>
      <c r="C113" s="216"/>
      <c r="D113" s="216"/>
      <c r="E113" s="216"/>
      <c r="F113" s="216"/>
      <c r="G113" s="216"/>
      <c r="H113" s="216"/>
      <c r="I113" s="216"/>
      <c r="J113" s="216"/>
      <c r="K113" s="216"/>
      <c r="L113" s="216"/>
    </row>
    <row r="114" spans="2:12">
      <c r="B114" s="216"/>
      <c r="C114" s="216"/>
      <c r="D114" s="216"/>
      <c r="E114" s="216"/>
      <c r="F114" s="216"/>
      <c r="G114" s="216"/>
      <c r="H114" s="216"/>
      <c r="I114" s="216"/>
      <c r="J114" s="216"/>
      <c r="K114" s="216"/>
      <c r="L114" s="216"/>
    </row>
    <row r="115" spans="2:12">
      <c r="B115" s="216"/>
      <c r="C115" s="216"/>
      <c r="D115" s="216"/>
      <c r="E115" s="216"/>
      <c r="F115" s="216"/>
      <c r="G115" s="216"/>
      <c r="H115" s="216"/>
      <c r="I115" s="216"/>
      <c r="J115" s="216"/>
      <c r="K115" s="216"/>
      <c r="L115" s="216"/>
    </row>
    <row r="116" spans="2:12">
      <c r="B116" s="216"/>
      <c r="C116" s="216"/>
      <c r="D116" s="216"/>
      <c r="E116" s="216"/>
      <c r="F116" s="216"/>
      <c r="G116" s="216"/>
      <c r="H116" s="216"/>
      <c r="I116" s="216"/>
      <c r="J116" s="216"/>
      <c r="K116" s="216"/>
      <c r="L116" s="216"/>
    </row>
    <row r="117" spans="2:12">
      <c r="B117" s="216"/>
      <c r="C117" s="216"/>
      <c r="D117" s="216"/>
      <c r="E117" s="216"/>
      <c r="F117" s="216"/>
      <c r="G117" s="216"/>
      <c r="H117" s="216"/>
      <c r="I117" s="216"/>
      <c r="J117" s="216"/>
      <c r="K117" s="216"/>
      <c r="L117" s="216"/>
    </row>
    <row r="118" spans="2:12">
      <c r="B118" s="216"/>
      <c r="C118" s="216"/>
      <c r="D118" s="216"/>
      <c r="E118" s="216"/>
      <c r="F118" s="216"/>
      <c r="G118" s="216"/>
      <c r="H118" s="216"/>
      <c r="I118" s="216"/>
      <c r="J118" s="216"/>
      <c r="K118" s="216"/>
      <c r="L118" s="216"/>
    </row>
    <row r="119" spans="2:12">
      <c r="B119" s="216"/>
      <c r="C119" s="216"/>
      <c r="D119" s="216"/>
      <c r="E119" s="216"/>
      <c r="F119" s="216"/>
      <c r="G119" s="216"/>
      <c r="H119" s="216"/>
      <c r="I119" s="216"/>
      <c r="J119" s="216"/>
      <c r="K119" s="216"/>
      <c r="L119" s="216"/>
    </row>
    <row r="120" spans="2:12">
      <c r="B120" s="216"/>
      <c r="C120" s="216"/>
      <c r="D120" s="216"/>
      <c r="E120" s="216"/>
      <c r="F120" s="216"/>
      <c r="G120" s="216"/>
      <c r="H120" s="216"/>
      <c r="I120" s="216"/>
      <c r="J120" s="216"/>
      <c r="K120" s="216"/>
      <c r="L120" s="216"/>
    </row>
    <row r="121" spans="2:12">
      <c r="B121" s="216"/>
      <c r="C121" s="216"/>
      <c r="D121" s="216"/>
      <c r="E121" s="216"/>
      <c r="F121" s="216"/>
      <c r="G121" s="216"/>
      <c r="H121" s="216"/>
      <c r="I121" s="216"/>
      <c r="J121" s="216"/>
      <c r="K121" s="216"/>
      <c r="L121" s="216"/>
    </row>
    <row r="122" spans="2:12">
      <c r="B122" s="216"/>
      <c r="C122" s="216"/>
      <c r="D122" s="216"/>
      <c r="E122" s="216"/>
      <c r="F122" s="216"/>
      <c r="G122" s="216"/>
      <c r="H122" s="216"/>
      <c r="I122" s="216"/>
      <c r="J122" s="216"/>
      <c r="K122" s="216"/>
      <c r="L122" s="216"/>
    </row>
    <row r="123" spans="2:12">
      <c r="B123" s="216"/>
      <c r="C123" s="216"/>
      <c r="D123" s="216"/>
      <c r="E123" s="216"/>
      <c r="F123" s="216"/>
      <c r="G123" s="216"/>
      <c r="H123" s="216"/>
      <c r="I123" s="216"/>
      <c r="J123" s="216"/>
      <c r="K123" s="216"/>
      <c r="L123" s="216"/>
    </row>
    <row r="124" spans="2:12">
      <c r="B124" s="216"/>
      <c r="C124" s="216"/>
      <c r="D124" s="216"/>
      <c r="E124" s="216"/>
      <c r="F124" s="216"/>
      <c r="G124" s="216"/>
      <c r="H124" s="216"/>
      <c r="I124" s="216"/>
      <c r="J124" s="216"/>
      <c r="K124" s="216"/>
      <c r="L124" s="216"/>
    </row>
    <row r="125" spans="2:12">
      <c r="B125" s="216"/>
      <c r="C125" s="216"/>
      <c r="D125" s="216"/>
      <c r="E125" s="216"/>
      <c r="F125" s="216"/>
      <c r="G125" s="216"/>
      <c r="H125" s="216"/>
      <c r="I125" s="216"/>
      <c r="J125" s="216"/>
      <c r="K125" s="216"/>
      <c r="L125" s="216"/>
    </row>
    <row r="126" spans="2:12">
      <c r="B126" s="216"/>
      <c r="C126" s="216"/>
      <c r="D126" s="216"/>
      <c r="E126" s="216"/>
      <c r="F126" s="216"/>
      <c r="G126" s="216"/>
      <c r="H126" s="216"/>
      <c r="I126" s="216"/>
      <c r="J126" s="216"/>
      <c r="K126" s="216"/>
      <c r="L126" s="216"/>
    </row>
    <row r="127" spans="2:12">
      <c r="B127" s="216"/>
      <c r="C127" s="216"/>
      <c r="D127" s="216"/>
      <c r="E127" s="216"/>
      <c r="F127" s="216"/>
      <c r="G127" s="216"/>
      <c r="H127" s="216"/>
      <c r="I127" s="216"/>
      <c r="J127" s="216"/>
      <c r="K127" s="216"/>
      <c r="L127" s="216"/>
    </row>
    <row r="128" spans="2:12">
      <c r="B128" s="216"/>
      <c r="C128" s="216"/>
      <c r="D128" s="216"/>
      <c r="E128" s="216"/>
      <c r="F128" s="216"/>
      <c r="G128" s="216"/>
      <c r="H128" s="216"/>
      <c r="I128" s="216"/>
      <c r="J128" s="216"/>
      <c r="K128" s="216"/>
      <c r="L128" s="216"/>
    </row>
    <row r="129" spans="2:12">
      <c r="B129" s="216"/>
      <c r="C129" s="216"/>
      <c r="D129" s="216"/>
      <c r="E129" s="216"/>
      <c r="F129" s="216"/>
      <c r="G129" s="216"/>
      <c r="H129" s="216"/>
      <c r="I129" s="216"/>
      <c r="J129" s="216"/>
      <c r="K129" s="216"/>
      <c r="L129" s="216"/>
    </row>
    <row r="130" spans="2:12">
      <c r="B130" s="216"/>
      <c r="C130" s="216"/>
      <c r="D130" s="216"/>
      <c r="E130" s="216"/>
      <c r="F130" s="216"/>
      <c r="G130" s="216"/>
      <c r="H130" s="216"/>
      <c r="I130" s="216"/>
      <c r="J130" s="216"/>
      <c r="K130" s="216"/>
      <c r="L130" s="216"/>
    </row>
    <row r="131" spans="2:12">
      <c r="B131" s="216"/>
      <c r="C131" s="216"/>
      <c r="D131" s="216"/>
      <c r="E131" s="216"/>
      <c r="F131" s="216"/>
      <c r="G131" s="216"/>
      <c r="H131" s="216"/>
      <c r="I131" s="216"/>
      <c r="J131" s="216"/>
      <c r="K131" s="216"/>
      <c r="L131" s="216"/>
    </row>
    <row r="132" spans="2:12">
      <c r="B132" s="216"/>
      <c r="C132" s="216"/>
      <c r="D132" s="216"/>
      <c r="E132" s="216"/>
      <c r="F132" s="216"/>
      <c r="G132" s="216"/>
      <c r="H132" s="216"/>
      <c r="I132" s="216"/>
      <c r="J132" s="216"/>
      <c r="K132" s="216"/>
      <c r="L132" s="216"/>
    </row>
    <row r="133" spans="2:12">
      <c r="B133" s="216"/>
      <c r="C133" s="216"/>
      <c r="D133" s="216"/>
      <c r="E133" s="216"/>
      <c r="F133" s="216"/>
      <c r="G133" s="216"/>
      <c r="H133" s="216"/>
      <c r="I133" s="216"/>
      <c r="J133" s="216"/>
      <c r="K133" s="216"/>
      <c r="L133" s="216"/>
    </row>
    <row r="134" spans="2:12">
      <c r="B134" s="216"/>
      <c r="C134" s="216"/>
      <c r="D134" s="216"/>
      <c r="E134" s="216"/>
      <c r="F134" s="216"/>
      <c r="G134" s="216"/>
      <c r="H134" s="216"/>
      <c r="I134" s="216"/>
      <c r="J134" s="216"/>
      <c r="K134" s="216"/>
      <c r="L134" s="216"/>
    </row>
    <row r="135" spans="2:12">
      <c r="B135" s="216"/>
      <c r="C135" s="216"/>
      <c r="D135" s="216"/>
      <c r="E135" s="216"/>
      <c r="F135" s="216"/>
      <c r="G135" s="216"/>
      <c r="H135" s="216"/>
      <c r="I135" s="216"/>
      <c r="J135" s="216"/>
      <c r="K135" s="216"/>
      <c r="L135" s="216"/>
    </row>
    <row r="136" spans="2:12">
      <c r="B136" s="216"/>
      <c r="C136" s="216"/>
      <c r="D136" s="216"/>
      <c r="E136" s="216"/>
      <c r="F136" s="216"/>
      <c r="G136" s="216"/>
      <c r="H136" s="216"/>
      <c r="I136" s="216"/>
      <c r="J136" s="216"/>
      <c r="K136" s="216"/>
      <c r="L136" s="216"/>
    </row>
    <row r="137" spans="2:12">
      <c r="B137" s="216"/>
      <c r="C137" s="216"/>
      <c r="D137" s="216"/>
      <c r="E137" s="216"/>
      <c r="F137" s="216"/>
      <c r="G137" s="216"/>
      <c r="H137" s="216"/>
      <c r="I137" s="216"/>
      <c r="J137" s="216"/>
      <c r="K137" s="216"/>
      <c r="L137" s="216"/>
    </row>
    <row r="138" spans="2:12">
      <c r="B138" s="216"/>
      <c r="C138" s="216"/>
      <c r="D138" s="216"/>
      <c r="E138" s="216"/>
      <c r="F138" s="216"/>
      <c r="G138" s="216"/>
      <c r="H138" s="216"/>
      <c r="I138" s="216"/>
      <c r="J138" s="216"/>
      <c r="K138" s="216"/>
      <c r="L138" s="216"/>
    </row>
    <row r="139" spans="2:12">
      <c r="B139" s="216"/>
      <c r="C139" s="216"/>
      <c r="D139" s="216"/>
      <c r="E139" s="216"/>
      <c r="F139" s="216"/>
      <c r="G139" s="216"/>
      <c r="H139" s="216"/>
      <c r="I139" s="216"/>
      <c r="J139" s="216"/>
      <c r="K139" s="216"/>
      <c r="L139" s="216"/>
    </row>
    <row r="140" spans="2:12">
      <c r="B140" s="216"/>
      <c r="C140" s="216"/>
      <c r="D140" s="216"/>
      <c r="E140" s="216"/>
      <c r="F140" s="216"/>
      <c r="G140" s="216"/>
      <c r="H140" s="216"/>
      <c r="I140" s="216"/>
      <c r="J140" s="216"/>
      <c r="K140" s="216"/>
      <c r="L140" s="216"/>
    </row>
    <row r="141" spans="2:12">
      <c r="B141" s="216"/>
      <c r="C141" s="216"/>
      <c r="D141" s="216"/>
      <c r="E141" s="216"/>
      <c r="F141" s="216"/>
      <c r="G141" s="216"/>
      <c r="H141" s="216"/>
      <c r="I141" s="216"/>
      <c r="J141" s="216"/>
      <c r="K141" s="216"/>
      <c r="L141" s="216"/>
    </row>
    <row r="142" spans="2:12">
      <c r="B142" s="216"/>
      <c r="C142" s="216"/>
      <c r="D142" s="216"/>
      <c r="E142" s="216"/>
      <c r="F142" s="216"/>
      <c r="G142" s="216"/>
      <c r="H142" s="216"/>
      <c r="I142" s="216"/>
      <c r="J142" s="216"/>
      <c r="K142" s="216"/>
      <c r="L142" s="216"/>
    </row>
    <row r="143" spans="2:12">
      <c r="B143" s="216"/>
      <c r="C143" s="216"/>
      <c r="D143" s="216"/>
      <c r="E143" s="216"/>
      <c r="F143" s="216"/>
      <c r="G143" s="216"/>
      <c r="H143" s="216"/>
      <c r="I143" s="216"/>
      <c r="J143" s="216"/>
      <c r="K143" s="216"/>
      <c r="L143" s="216"/>
    </row>
    <row r="144" spans="2:12">
      <c r="B144" s="216"/>
      <c r="C144" s="216"/>
      <c r="D144" s="216"/>
      <c r="E144" s="216"/>
      <c r="F144" s="216"/>
      <c r="G144" s="216"/>
      <c r="H144" s="216"/>
      <c r="I144" s="216"/>
      <c r="J144" s="216"/>
      <c r="K144" s="216"/>
      <c r="L144" s="216"/>
    </row>
    <row r="145" spans="2:12">
      <c r="B145" s="216"/>
      <c r="C145" s="216"/>
      <c r="D145" s="216"/>
      <c r="E145" s="216"/>
      <c r="F145" s="216"/>
      <c r="G145" s="216"/>
      <c r="H145" s="216"/>
      <c r="I145" s="216"/>
      <c r="J145" s="216"/>
      <c r="K145" s="216"/>
      <c r="L145" s="216"/>
    </row>
    <row r="146" spans="2:12">
      <c r="B146" s="216"/>
      <c r="C146" s="216"/>
      <c r="D146" s="216"/>
      <c r="E146" s="216"/>
      <c r="F146" s="216"/>
      <c r="G146" s="216"/>
      <c r="H146" s="216"/>
      <c r="I146" s="216"/>
      <c r="J146" s="216"/>
      <c r="K146" s="216"/>
      <c r="L146" s="216"/>
    </row>
    <row r="147" spans="2:12">
      <c r="B147" s="216"/>
      <c r="C147" s="216"/>
      <c r="D147" s="216"/>
      <c r="E147" s="216"/>
      <c r="F147" s="216"/>
      <c r="G147" s="216"/>
      <c r="H147" s="216"/>
      <c r="I147" s="216"/>
      <c r="J147" s="216"/>
      <c r="K147" s="216"/>
      <c r="L147" s="216"/>
    </row>
    <row r="148" spans="2:12">
      <c r="B148" s="216"/>
      <c r="C148" s="216"/>
      <c r="D148" s="216"/>
      <c r="E148" s="216"/>
      <c r="F148" s="216"/>
      <c r="G148" s="216"/>
      <c r="H148" s="216"/>
      <c r="I148" s="216"/>
      <c r="J148" s="216"/>
      <c r="K148" s="216"/>
      <c r="L148" s="216"/>
    </row>
    <row r="149" spans="2:12">
      <c r="B149" s="216"/>
      <c r="C149" s="216"/>
      <c r="D149" s="216"/>
      <c r="E149" s="216"/>
      <c r="F149" s="216"/>
      <c r="G149" s="216"/>
      <c r="H149" s="216"/>
      <c r="I149" s="216"/>
      <c r="J149" s="216"/>
      <c r="K149" s="216"/>
      <c r="L149" s="216"/>
    </row>
    <row r="150" spans="2:12">
      <c r="B150" s="216"/>
      <c r="C150" s="216"/>
      <c r="D150" s="216"/>
      <c r="E150" s="216"/>
      <c r="F150" s="216"/>
      <c r="G150" s="216"/>
      <c r="H150" s="216"/>
      <c r="I150" s="216"/>
      <c r="J150" s="216"/>
      <c r="K150" s="216"/>
      <c r="L150" s="216"/>
    </row>
    <row r="151" spans="2:12">
      <c r="B151" s="216"/>
      <c r="C151" s="216"/>
      <c r="D151" s="216"/>
      <c r="E151" s="216"/>
      <c r="F151" s="216"/>
      <c r="G151" s="216"/>
      <c r="H151" s="216"/>
      <c r="I151" s="216"/>
      <c r="J151" s="216"/>
      <c r="K151" s="216"/>
      <c r="L151" s="216"/>
    </row>
    <row r="152" spans="2:12">
      <c r="B152" s="216"/>
      <c r="C152" s="216"/>
      <c r="D152" s="216"/>
      <c r="E152" s="216"/>
      <c r="F152" s="216"/>
      <c r="G152" s="216"/>
      <c r="H152" s="216"/>
      <c r="I152" s="216"/>
      <c r="J152" s="216"/>
      <c r="K152" s="216"/>
      <c r="L152" s="216"/>
    </row>
    <row r="153" spans="2:12">
      <c r="B153" s="216"/>
      <c r="C153" s="216"/>
      <c r="D153" s="216"/>
      <c r="E153" s="216"/>
      <c r="F153" s="216"/>
      <c r="G153" s="216"/>
      <c r="H153" s="216"/>
      <c r="I153" s="216"/>
      <c r="J153" s="216"/>
      <c r="K153" s="216"/>
      <c r="L153" s="216"/>
    </row>
    <row r="154" spans="2:12">
      <c r="B154" s="216"/>
      <c r="C154" s="216"/>
      <c r="D154" s="216"/>
      <c r="E154" s="216"/>
      <c r="F154" s="216"/>
      <c r="G154" s="216"/>
      <c r="H154" s="216"/>
      <c r="I154" s="216"/>
      <c r="J154" s="216"/>
      <c r="K154" s="216"/>
      <c r="L154" s="216"/>
    </row>
    <row r="155" spans="2:12">
      <c r="B155" s="216"/>
      <c r="C155" s="216"/>
      <c r="D155" s="216"/>
      <c r="E155" s="216"/>
      <c r="F155" s="216"/>
      <c r="G155" s="216"/>
      <c r="H155" s="216"/>
      <c r="I155" s="216"/>
      <c r="J155" s="216"/>
      <c r="K155" s="216"/>
      <c r="L155" s="216"/>
    </row>
    <row r="156" spans="2:12">
      <c r="B156" s="216"/>
      <c r="C156" s="216"/>
      <c r="D156" s="216"/>
      <c r="E156" s="216"/>
      <c r="F156" s="216"/>
      <c r="G156" s="216"/>
      <c r="H156" s="216"/>
      <c r="I156" s="216"/>
      <c r="J156" s="216"/>
      <c r="K156" s="216"/>
      <c r="L156" s="216"/>
    </row>
    <row r="157" spans="2:12">
      <c r="B157" s="216"/>
      <c r="C157" s="216"/>
      <c r="D157" s="216"/>
      <c r="E157" s="216"/>
      <c r="F157" s="216"/>
      <c r="G157" s="216"/>
      <c r="H157" s="216"/>
      <c r="I157" s="216"/>
      <c r="J157" s="216"/>
      <c r="K157" s="216"/>
      <c r="L157" s="216"/>
    </row>
    <row r="158" spans="2:12">
      <c r="B158" s="216"/>
      <c r="C158" s="216"/>
      <c r="D158" s="216"/>
      <c r="E158" s="216"/>
      <c r="F158" s="216"/>
      <c r="G158" s="216"/>
      <c r="H158" s="216"/>
      <c r="I158" s="216"/>
      <c r="J158" s="216"/>
      <c r="K158" s="216"/>
      <c r="L158" s="216"/>
    </row>
    <row r="159" spans="2:12">
      <c r="B159" s="216"/>
      <c r="C159" s="216"/>
      <c r="D159" s="216"/>
      <c r="E159" s="216"/>
      <c r="F159" s="216"/>
      <c r="G159" s="216"/>
      <c r="H159" s="216"/>
      <c r="I159" s="216"/>
      <c r="J159" s="216"/>
      <c r="K159" s="216"/>
      <c r="L159" s="216"/>
    </row>
    <row r="160" spans="2:12">
      <c r="B160" s="216"/>
      <c r="C160" s="216"/>
      <c r="D160" s="216"/>
      <c r="E160" s="216"/>
      <c r="F160" s="216"/>
      <c r="G160" s="216"/>
      <c r="H160" s="216"/>
      <c r="I160" s="216"/>
      <c r="J160" s="216"/>
      <c r="K160" s="216"/>
      <c r="L160" s="216"/>
    </row>
    <row r="161" spans="2:12">
      <c r="B161" s="216"/>
      <c r="C161" s="216"/>
      <c r="D161" s="216"/>
      <c r="E161" s="216"/>
      <c r="F161" s="216"/>
      <c r="G161" s="216"/>
      <c r="H161" s="216"/>
      <c r="I161" s="216"/>
      <c r="J161" s="216"/>
      <c r="K161" s="216"/>
      <c r="L161" s="216"/>
    </row>
    <row r="162" spans="2:12">
      <c r="B162" s="216"/>
      <c r="C162" s="216"/>
      <c r="D162" s="216"/>
      <c r="E162" s="216"/>
      <c r="F162" s="216"/>
      <c r="G162" s="216"/>
      <c r="H162" s="216"/>
      <c r="I162" s="216"/>
      <c r="J162" s="216"/>
      <c r="K162" s="216"/>
      <c r="L162" s="216"/>
    </row>
    <row r="163" spans="2:12">
      <c r="B163" s="216"/>
      <c r="C163" s="216"/>
      <c r="D163" s="216"/>
      <c r="E163" s="216"/>
      <c r="F163" s="216"/>
      <c r="G163" s="216"/>
      <c r="H163" s="216"/>
      <c r="I163" s="216"/>
      <c r="J163" s="216"/>
      <c r="K163" s="216"/>
      <c r="L163" s="216"/>
    </row>
    <row r="164" spans="2:12">
      <c r="B164" s="216"/>
      <c r="C164" s="216"/>
      <c r="D164" s="216"/>
      <c r="E164" s="216"/>
      <c r="F164" s="216"/>
      <c r="G164" s="216"/>
      <c r="H164" s="216"/>
      <c r="I164" s="216"/>
      <c r="J164" s="216"/>
      <c r="K164" s="216"/>
      <c r="L164" s="216"/>
    </row>
    <row r="165" spans="2:12">
      <c r="B165" s="216"/>
      <c r="C165" s="216"/>
      <c r="D165" s="216"/>
      <c r="E165" s="216"/>
      <c r="F165" s="216"/>
      <c r="G165" s="216"/>
      <c r="H165" s="216"/>
      <c r="I165" s="216"/>
      <c r="J165" s="216"/>
      <c r="K165" s="216"/>
      <c r="L165" s="216"/>
    </row>
    <row r="166" spans="2:12">
      <c r="B166" s="216"/>
      <c r="C166" s="216"/>
      <c r="D166" s="216"/>
      <c r="E166" s="216"/>
      <c r="F166" s="216"/>
      <c r="G166" s="216"/>
      <c r="H166" s="216"/>
      <c r="I166" s="216"/>
      <c r="J166" s="216"/>
      <c r="K166" s="216"/>
      <c r="L166" s="216"/>
    </row>
    <row r="167" spans="2:12">
      <c r="B167" s="216"/>
      <c r="C167" s="216"/>
      <c r="D167" s="216"/>
      <c r="E167" s="216"/>
      <c r="F167" s="216"/>
      <c r="G167" s="216"/>
      <c r="H167" s="216"/>
      <c r="I167" s="216"/>
      <c r="J167" s="216"/>
      <c r="K167" s="216"/>
      <c r="L167" s="216"/>
    </row>
    <row r="168" spans="2:12">
      <c r="B168" s="216"/>
      <c r="C168" s="216"/>
      <c r="D168" s="216"/>
      <c r="E168" s="216"/>
      <c r="F168" s="216"/>
      <c r="G168" s="216"/>
      <c r="H168" s="216"/>
      <c r="I168" s="216"/>
      <c r="J168" s="216"/>
      <c r="K168" s="216"/>
      <c r="L168" s="216"/>
    </row>
    <row r="169" spans="2:12">
      <c r="B169" s="216"/>
      <c r="C169" s="216"/>
      <c r="D169" s="216"/>
      <c r="E169" s="216"/>
      <c r="F169" s="216"/>
      <c r="G169" s="216"/>
      <c r="H169" s="216"/>
      <c r="I169" s="216"/>
      <c r="J169" s="216"/>
      <c r="K169" s="216"/>
      <c r="L169" s="216"/>
    </row>
    <row r="170" spans="2:12">
      <c r="B170" s="216"/>
      <c r="C170" s="216"/>
      <c r="D170" s="216"/>
      <c r="E170" s="216"/>
      <c r="F170" s="216"/>
      <c r="G170" s="216"/>
      <c r="H170" s="216"/>
      <c r="I170" s="216"/>
      <c r="J170" s="216"/>
      <c r="K170" s="216"/>
      <c r="L170" s="216"/>
    </row>
    <row r="171" spans="2:12">
      <c r="B171" s="216"/>
      <c r="C171" s="216"/>
      <c r="D171" s="216"/>
      <c r="E171" s="216"/>
      <c r="F171" s="216"/>
      <c r="G171" s="216"/>
      <c r="H171" s="216"/>
      <c r="I171" s="216"/>
      <c r="J171" s="216"/>
      <c r="K171" s="216"/>
      <c r="L171" s="216"/>
    </row>
    <row r="172" spans="2:12">
      <c r="B172" s="216"/>
      <c r="C172" s="216"/>
      <c r="D172" s="216"/>
      <c r="E172" s="216"/>
      <c r="F172" s="216"/>
      <c r="G172" s="216"/>
      <c r="H172" s="216"/>
      <c r="I172" s="216"/>
      <c r="J172" s="216"/>
      <c r="K172" s="216"/>
      <c r="L172" s="216"/>
    </row>
    <row r="173" spans="2:12">
      <c r="B173" s="216"/>
      <c r="C173" s="216"/>
      <c r="D173" s="216"/>
      <c r="E173" s="216"/>
      <c r="F173" s="216"/>
      <c r="G173" s="216"/>
      <c r="H173" s="216"/>
      <c r="I173" s="216"/>
      <c r="J173" s="216"/>
      <c r="K173" s="216"/>
      <c r="L173" s="216"/>
    </row>
    <row r="174" spans="2:12">
      <c r="B174" s="216"/>
      <c r="C174" s="216"/>
      <c r="D174" s="216"/>
      <c r="E174" s="216"/>
      <c r="F174" s="216"/>
      <c r="G174" s="216"/>
      <c r="H174" s="216"/>
      <c r="I174" s="216"/>
      <c r="J174" s="216"/>
      <c r="K174" s="216"/>
      <c r="L174" s="216"/>
    </row>
    <row r="175" spans="2:12">
      <c r="B175" s="216"/>
      <c r="C175" s="216"/>
      <c r="D175" s="216"/>
      <c r="E175" s="216"/>
      <c r="F175" s="216"/>
      <c r="G175" s="216"/>
      <c r="H175" s="216"/>
      <c r="I175" s="216"/>
      <c r="J175" s="216"/>
      <c r="K175" s="216"/>
      <c r="L175" s="216"/>
    </row>
    <row r="176" spans="2:12">
      <c r="B176" s="216"/>
      <c r="C176" s="216"/>
      <c r="D176" s="216"/>
      <c r="E176" s="216"/>
      <c r="F176" s="216"/>
      <c r="G176" s="216"/>
      <c r="H176" s="216"/>
      <c r="I176" s="216"/>
      <c r="J176" s="216"/>
      <c r="K176" s="216"/>
      <c r="L176" s="216"/>
    </row>
    <row r="177" spans="2:12">
      <c r="B177" s="216"/>
      <c r="C177" s="216"/>
      <c r="D177" s="216"/>
      <c r="E177" s="216"/>
      <c r="F177" s="216"/>
      <c r="G177" s="216"/>
      <c r="H177" s="216"/>
      <c r="I177" s="216"/>
      <c r="J177" s="216"/>
      <c r="K177" s="216"/>
      <c r="L177" s="216"/>
    </row>
    <row r="178" spans="2:12">
      <c r="B178" s="216"/>
      <c r="C178" s="216"/>
      <c r="D178" s="216"/>
      <c r="E178" s="216"/>
      <c r="F178" s="216"/>
      <c r="G178" s="216"/>
      <c r="H178" s="216"/>
      <c r="I178" s="216"/>
      <c r="J178" s="216"/>
      <c r="K178" s="216"/>
      <c r="L178" s="216"/>
    </row>
    <row r="179" spans="2:12">
      <c r="B179" s="216"/>
      <c r="C179" s="216"/>
      <c r="D179" s="216"/>
      <c r="E179" s="216"/>
      <c r="F179" s="216"/>
      <c r="G179" s="216"/>
      <c r="H179" s="216"/>
      <c r="I179" s="216"/>
      <c r="J179" s="216"/>
      <c r="K179" s="216"/>
      <c r="L179" s="216"/>
    </row>
    <row r="180" spans="2:12">
      <c r="B180" s="216"/>
      <c r="C180" s="216"/>
      <c r="D180" s="216"/>
      <c r="E180" s="216"/>
      <c r="F180" s="216"/>
      <c r="G180" s="216"/>
      <c r="H180" s="216"/>
      <c r="I180" s="216"/>
      <c r="J180" s="216"/>
      <c r="K180" s="216"/>
      <c r="L180" s="216"/>
    </row>
    <row r="181" spans="2:12">
      <c r="B181" s="216"/>
      <c r="C181" s="216"/>
      <c r="D181" s="216"/>
      <c r="E181" s="216"/>
      <c r="F181" s="216"/>
      <c r="G181" s="216"/>
      <c r="H181" s="216"/>
      <c r="I181" s="216"/>
      <c r="J181" s="216"/>
      <c r="K181" s="216"/>
      <c r="L181" s="216"/>
    </row>
    <row r="182" spans="2:12">
      <c r="B182" s="216"/>
      <c r="C182" s="216"/>
      <c r="D182" s="216"/>
      <c r="E182" s="216"/>
      <c r="F182" s="216"/>
      <c r="G182" s="216"/>
      <c r="H182" s="216"/>
      <c r="I182" s="216"/>
      <c r="J182" s="216"/>
      <c r="K182" s="216"/>
      <c r="L182" s="216"/>
    </row>
    <row r="183" spans="2:12">
      <c r="B183" s="216"/>
      <c r="C183" s="216"/>
      <c r="D183" s="216"/>
      <c r="E183" s="216"/>
      <c r="F183" s="216"/>
      <c r="G183" s="216"/>
      <c r="H183" s="216"/>
      <c r="I183" s="216"/>
      <c r="J183" s="216"/>
      <c r="K183" s="216"/>
      <c r="L183" s="216"/>
    </row>
    <row r="184" spans="2:12">
      <c r="B184" s="216"/>
      <c r="C184" s="216"/>
      <c r="D184" s="216"/>
      <c r="E184" s="216"/>
      <c r="F184" s="216"/>
      <c r="G184" s="216"/>
      <c r="H184" s="216"/>
      <c r="I184" s="216"/>
      <c r="J184" s="216"/>
      <c r="K184" s="216"/>
      <c r="L184" s="216"/>
    </row>
    <row r="185" spans="2:12">
      <c r="B185" s="216"/>
      <c r="C185" s="216"/>
      <c r="D185" s="216"/>
      <c r="E185" s="216"/>
      <c r="F185" s="216"/>
      <c r="G185" s="216"/>
      <c r="H185" s="216"/>
      <c r="I185" s="216"/>
      <c r="J185" s="216"/>
      <c r="K185" s="216"/>
      <c r="L185" s="216"/>
    </row>
    <row r="186" spans="2:12">
      <c r="B186" s="216"/>
      <c r="C186" s="216"/>
      <c r="D186" s="216"/>
      <c r="E186" s="216"/>
      <c r="F186" s="216"/>
      <c r="G186" s="216"/>
      <c r="H186" s="216"/>
      <c r="I186" s="216"/>
      <c r="J186" s="216"/>
      <c r="K186" s="216"/>
      <c r="L186" s="216"/>
    </row>
    <row r="187" spans="2:12">
      <c r="B187" s="216"/>
      <c r="C187" s="216"/>
      <c r="D187" s="216"/>
      <c r="E187" s="216"/>
      <c r="F187" s="216"/>
      <c r="G187" s="216"/>
      <c r="H187" s="216"/>
      <c r="I187" s="216"/>
      <c r="J187" s="216"/>
      <c r="K187" s="216"/>
      <c r="L187" s="216"/>
    </row>
    <row r="188" spans="2:12">
      <c r="B188" s="216"/>
      <c r="C188" s="216"/>
      <c r="D188" s="216"/>
      <c r="E188" s="216"/>
      <c r="F188" s="216"/>
      <c r="G188" s="216"/>
      <c r="H188" s="216"/>
      <c r="I188" s="216"/>
      <c r="J188" s="216"/>
      <c r="K188" s="216"/>
      <c r="L188" s="216"/>
    </row>
    <row r="189" spans="2:12">
      <c r="B189" s="216"/>
      <c r="C189" s="216"/>
      <c r="D189" s="216"/>
      <c r="E189" s="216"/>
      <c r="F189" s="216"/>
      <c r="G189" s="216"/>
      <c r="H189" s="216"/>
      <c r="I189" s="216"/>
      <c r="J189" s="216"/>
      <c r="K189" s="216"/>
      <c r="L189" s="216"/>
    </row>
    <row r="190" spans="2:12">
      <c r="B190" s="216"/>
      <c r="C190" s="216"/>
      <c r="D190" s="216"/>
      <c r="E190" s="216"/>
      <c r="F190" s="216"/>
      <c r="G190" s="216"/>
      <c r="H190" s="216"/>
      <c r="I190" s="216"/>
      <c r="J190" s="216"/>
      <c r="K190" s="216"/>
      <c r="L190" s="216"/>
    </row>
    <row r="191" spans="2:12">
      <c r="B191" s="216"/>
      <c r="C191" s="216"/>
      <c r="D191" s="216"/>
      <c r="E191" s="216"/>
      <c r="F191" s="216"/>
      <c r="G191" s="216"/>
      <c r="H191" s="216"/>
      <c r="I191" s="216"/>
      <c r="J191" s="216"/>
      <c r="K191" s="216"/>
      <c r="L191" s="216"/>
    </row>
    <row r="192" spans="2:12">
      <c r="B192" s="216"/>
      <c r="C192" s="216"/>
      <c r="D192" s="216"/>
      <c r="E192" s="216"/>
      <c r="F192" s="216"/>
      <c r="G192" s="216"/>
      <c r="H192" s="216"/>
      <c r="I192" s="216"/>
      <c r="J192" s="216"/>
      <c r="K192" s="216"/>
      <c r="L192" s="216"/>
    </row>
    <row r="193" spans="2:12">
      <c r="B193" s="216"/>
      <c r="C193" s="216"/>
      <c r="D193" s="216"/>
      <c r="E193" s="216"/>
      <c r="F193" s="216"/>
      <c r="G193" s="216"/>
      <c r="H193" s="216"/>
      <c r="I193" s="216"/>
      <c r="J193" s="216"/>
      <c r="K193" s="216"/>
      <c r="L193" s="216"/>
    </row>
    <row r="194" spans="2:12">
      <c r="B194" s="216"/>
      <c r="C194" s="216"/>
      <c r="D194" s="216"/>
      <c r="E194" s="216"/>
      <c r="F194" s="216"/>
      <c r="G194" s="216"/>
      <c r="H194" s="216"/>
      <c r="I194" s="216"/>
      <c r="J194" s="216"/>
      <c r="K194" s="216"/>
      <c r="L194" s="216"/>
    </row>
    <row r="195" spans="2:12">
      <c r="B195" s="216"/>
      <c r="C195" s="216"/>
      <c r="D195" s="216"/>
      <c r="E195" s="216"/>
      <c r="F195" s="216"/>
      <c r="G195" s="216"/>
      <c r="H195" s="216"/>
      <c r="I195" s="216"/>
      <c r="J195" s="216"/>
      <c r="K195" s="216"/>
      <c r="L195" s="216"/>
    </row>
    <row r="196" spans="2:12">
      <c r="B196" s="216"/>
      <c r="C196" s="216"/>
      <c r="D196" s="216"/>
      <c r="E196" s="216"/>
      <c r="F196" s="216"/>
      <c r="G196" s="216"/>
      <c r="H196" s="216"/>
      <c r="I196" s="216"/>
      <c r="J196" s="216"/>
      <c r="K196" s="216"/>
      <c r="L196" s="216"/>
    </row>
    <row r="197" spans="2:12">
      <c r="B197" s="216"/>
      <c r="C197" s="216"/>
      <c r="D197" s="216"/>
      <c r="E197" s="216"/>
      <c r="F197" s="216"/>
      <c r="G197" s="216"/>
      <c r="H197" s="216"/>
      <c r="I197" s="216"/>
      <c r="J197" s="216"/>
      <c r="K197" s="216"/>
      <c r="L197" s="216"/>
    </row>
    <row r="198" spans="2:12">
      <c r="B198" s="216"/>
      <c r="C198" s="216"/>
      <c r="D198" s="216"/>
      <c r="E198" s="216"/>
      <c r="F198" s="216"/>
      <c r="G198" s="216"/>
      <c r="H198" s="216"/>
      <c r="I198" s="216"/>
      <c r="J198" s="216"/>
      <c r="K198" s="216"/>
      <c r="L198" s="216"/>
    </row>
    <row r="199" spans="2:12">
      <c r="B199" s="216"/>
      <c r="C199" s="216"/>
      <c r="D199" s="216"/>
      <c r="E199" s="216"/>
      <c r="F199" s="216"/>
      <c r="G199" s="216"/>
      <c r="H199" s="216"/>
      <c r="I199" s="216"/>
      <c r="J199" s="216"/>
      <c r="K199" s="216"/>
      <c r="L199" s="216"/>
    </row>
    <row r="200" spans="2:12">
      <c r="B200" s="216"/>
      <c r="C200" s="216"/>
      <c r="D200" s="216"/>
      <c r="E200" s="216"/>
      <c r="F200" s="216"/>
      <c r="G200" s="216"/>
      <c r="H200" s="216"/>
      <c r="I200" s="216"/>
      <c r="J200" s="216"/>
      <c r="K200" s="216"/>
      <c r="L200" s="216"/>
    </row>
    <row r="201" spans="2:12">
      <c r="B201" s="216"/>
      <c r="C201" s="216"/>
      <c r="D201" s="216"/>
      <c r="E201" s="216"/>
      <c r="F201" s="216"/>
      <c r="G201" s="216"/>
      <c r="H201" s="216"/>
      <c r="I201" s="216"/>
      <c r="J201" s="216"/>
      <c r="K201" s="216"/>
      <c r="L201" s="216"/>
    </row>
    <row r="202" spans="2:12">
      <c r="B202" s="216"/>
      <c r="C202" s="216"/>
      <c r="D202" s="216"/>
      <c r="E202" s="216"/>
      <c r="F202" s="216"/>
      <c r="G202" s="216"/>
      <c r="H202" s="216"/>
      <c r="I202" s="216"/>
      <c r="J202" s="216"/>
      <c r="K202" s="216"/>
      <c r="L202" s="216"/>
    </row>
    <row r="203" spans="2:12">
      <c r="B203" s="216"/>
      <c r="C203" s="216"/>
      <c r="D203" s="216"/>
      <c r="E203" s="216"/>
      <c r="F203" s="216"/>
      <c r="G203" s="216"/>
      <c r="H203" s="216"/>
      <c r="I203" s="216"/>
      <c r="J203" s="216"/>
      <c r="K203" s="216"/>
      <c r="L203" s="216"/>
    </row>
    <row r="204" spans="2:12">
      <c r="B204" s="216"/>
      <c r="C204" s="216"/>
      <c r="D204" s="216"/>
      <c r="E204" s="216"/>
      <c r="F204" s="216"/>
      <c r="G204" s="216"/>
      <c r="H204" s="216"/>
      <c r="I204" s="216"/>
      <c r="J204" s="216"/>
      <c r="K204" s="216"/>
      <c r="L204" s="216"/>
    </row>
    <row r="205" spans="2:12">
      <c r="B205" s="216"/>
      <c r="C205" s="216"/>
      <c r="D205" s="216"/>
      <c r="E205" s="216"/>
      <c r="F205" s="216"/>
      <c r="G205" s="216"/>
      <c r="H205" s="216"/>
      <c r="I205" s="216"/>
      <c r="J205" s="216"/>
      <c r="K205" s="216"/>
      <c r="L205" s="216"/>
    </row>
    <row r="206" spans="2:12">
      <c r="B206" s="216"/>
      <c r="C206" s="216"/>
      <c r="D206" s="216"/>
      <c r="E206" s="216"/>
      <c r="F206" s="216"/>
      <c r="G206" s="216"/>
      <c r="H206" s="216"/>
      <c r="I206" s="216"/>
      <c r="J206" s="216"/>
      <c r="K206" s="216"/>
      <c r="L206" s="216"/>
    </row>
    <row r="207" spans="2:12">
      <c r="B207" s="216"/>
      <c r="C207" s="216"/>
      <c r="D207" s="216"/>
      <c r="E207" s="216"/>
      <c r="F207" s="216"/>
      <c r="G207" s="216"/>
      <c r="H207" s="216"/>
      <c r="I207" s="216"/>
      <c r="J207" s="216"/>
      <c r="K207" s="216"/>
      <c r="L207" s="216"/>
    </row>
    <row r="208" spans="2:12">
      <c r="B208" s="216"/>
      <c r="C208" s="216"/>
      <c r="D208" s="216"/>
      <c r="E208" s="216"/>
      <c r="F208" s="216"/>
      <c r="G208" s="216"/>
      <c r="H208" s="216"/>
      <c r="I208" s="216"/>
      <c r="J208" s="216"/>
      <c r="K208" s="216"/>
      <c r="L208" s="216"/>
    </row>
    <row r="209" spans="2:12">
      <c r="B209" s="216"/>
      <c r="C209" s="216"/>
      <c r="D209" s="216"/>
      <c r="E209" s="216"/>
      <c r="F209" s="216"/>
      <c r="G209" s="216"/>
      <c r="H209" s="216"/>
      <c r="I209" s="216"/>
      <c r="J209" s="216"/>
      <c r="K209" s="216"/>
      <c r="L209" s="216"/>
    </row>
    <row r="210" spans="2:12">
      <c r="B210" s="216"/>
      <c r="C210" s="216"/>
      <c r="D210" s="216"/>
      <c r="E210" s="216"/>
      <c r="F210" s="216"/>
      <c r="G210" s="216"/>
      <c r="H210" s="216"/>
      <c r="I210" s="216"/>
      <c r="J210" s="216"/>
      <c r="K210" s="216"/>
      <c r="L210" s="216"/>
    </row>
    <row r="211" spans="2:12">
      <c r="B211" s="216"/>
      <c r="C211" s="216"/>
      <c r="D211" s="216"/>
      <c r="E211" s="216"/>
      <c r="F211" s="216"/>
      <c r="G211" s="216"/>
      <c r="H211" s="216"/>
      <c r="I211" s="216"/>
      <c r="J211" s="216"/>
      <c r="K211" s="216"/>
      <c r="L211" s="216"/>
    </row>
    <row r="212" spans="2:12">
      <c r="B212" s="216"/>
      <c r="C212" s="216"/>
      <c r="D212" s="216"/>
      <c r="E212" s="216"/>
      <c r="F212" s="216"/>
      <c r="G212" s="216"/>
      <c r="H212" s="216"/>
      <c r="I212" s="216"/>
      <c r="J212" s="216"/>
      <c r="K212" s="216"/>
      <c r="L212" s="216"/>
    </row>
    <row r="213" spans="2:12">
      <c r="B213" s="216"/>
      <c r="C213" s="216"/>
      <c r="D213" s="216"/>
      <c r="E213" s="216"/>
      <c r="F213" s="216"/>
      <c r="G213" s="216"/>
      <c r="H213" s="216"/>
      <c r="I213" s="216"/>
      <c r="J213" s="216"/>
      <c r="K213" s="216"/>
      <c r="L213" s="216"/>
    </row>
    <row r="214" spans="2:12">
      <c r="B214" s="216"/>
      <c r="C214" s="216"/>
      <c r="D214" s="216"/>
      <c r="E214" s="216"/>
      <c r="F214" s="216"/>
      <c r="G214" s="216"/>
      <c r="H214" s="216"/>
      <c r="I214" s="216"/>
      <c r="J214" s="216"/>
      <c r="K214" s="216"/>
      <c r="L214" s="216"/>
    </row>
    <row r="215" spans="2:12">
      <c r="B215" s="216"/>
      <c r="C215" s="216"/>
      <c r="D215" s="216"/>
      <c r="E215" s="216"/>
      <c r="F215" s="216"/>
      <c r="G215" s="216"/>
      <c r="H215" s="216"/>
      <c r="I215" s="216"/>
      <c r="J215" s="216"/>
      <c r="K215" s="216"/>
      <c r="L215" s="216"/>
    </row>
    <row r="216" spans="2:12">
      <c r="B216" s="216"/>
      <c r="C216" s="216"/>
      <c r="D216" s="216"/>
      <c r="E216" s="216"/>
      <c r="F216" s="216"/>
      <c r="G216" s="216"/>
      <c r="H216" s="216"/>
      <c r="I216" s="216"/>
      <c r="J216" s="216"/>
      <c r="K216" s="216"/>
      <c r="L216" s="216"/>
    </row>
    <row r="217" spans="2:12">
      <c r="B217" s="216"/>
      <c r="C217" s="216"/>
      <c r="D217" s="216"/>
      <c r="E217" s="216"/>
      <c r="F217" s="216"/>
      <c r="G217" s="216"/>
      <c r="H217" s="216"/>
      <c r="I217" s="216"/>
      <c r="J217" s="216"/>
      <c r="K217" s="216"/>
      <c r="L217" s="216"/>
    </row>
    <row r="218" spans="2:12">
      <c r="B218" s="216"/>
      <c r="C218" s="216"/>
      <c r="D218" s="216"/>
      <c r="E218" s="216"/>
      <c r="F218" s="216"/>
      <c r="G218" s="216"/>
      <c r="H218" s="216"/>
      <c r="I218" s="216"/>
      <c r="J218" s="216"/>
      <c r="K218" s="216"/>
      <c r="L218" s="216"/>
    </row>
    <row r="219" spans="2:12">
      <c r="B219" s="216"/>
      <c r="C219" s="216"/>
      <c r="D219" s="216"/>
      <c r="E219" s="216"/>
      <c r="F219" s="216"/>
      <c r="G219" s="216"/>
      <c r="H219" s="216"/>
      <c r="I219" s="216"/>
      <c r="J219" s="216"/>
      <c r="K219" s="216"/>
      <c r="L219" s="216"/>
    </row>
    <row r="220" spans="2:12">
      <c r="B220" s="216"/>
      <c r="C220" s="216"/>
      <c r="D220" s="216"/>
      <c r="E220" s="216"/>
      <c r="F220" s="216"/>
      <c r="G220" s="216"/>
      <c r="H220" s="216"/>
      <c r="I220" s="216"/>
      <c r="J220" s="216"/>
      <c r="K220" s="216"/>
      <c r="L220" s="216"/>
    </row>
    <row r="221" spans="2:12">
      <c r="B221" s="216"/>
      <c r="C221" s="216"/>
      <c r="D221" s="216"/>
      <c r="E221" s="216"/>
      <c r="F221" s="216"/>
      <c r="G221" s="216"/>
      <c r="H221" s="216"/>
      <c r="I221" s="216"/>
      <c r="J221" s="216"/>
      <c r="K221" s="216"/>
      <c r="L221" s="216"/>
    </row>
    <row r="222" spans="2:12">
      <c r="B222" s="216"/>
      <c r="C222" s="216"/>
      <c r="D222" s="216"/>
      <c r="E222" s="216"/>
      <c r="F222" s="216"/>
      <c r="G222" s="216"/>
      <c r="H222" s="216"/>
      <c r="I222" s="216"/>
      <c r="J222" s="216"/>
      <c r="K222" s="216"/>
      <c r="L222" s="216"/>
    </row>
    <row r="223" spans="2:12">
      <c r="B223" s="216"/>
      <c r="C223" s="216"/>
      <c r="D223" s="216"/>
      <c r="E223" s="216"/>
      <c r="F223" s="216"/>
      <c r="G223" s="216"/>
      <c r="H223" s="216"/>
      <c r="I223" s="216"/>
      <c r="J223" s="216"/>
      <c r="K223" s="216"/>
      <c r="L223" s="216"/>
    </row>
    <row r="224" spans="2:12">
      <c r="B224" s="216"/>
      <c r="C224" s="216"/>
      <c r="D224" s="216"/>
      <c r="E224" s="216"/>
      <c r="F224" s="216"/>
      <c r="G224" s="216"/>
      <c r="H224" s="216"/>
      <c r="I224" s="216"/>
      <c r="J224" s="216"/>
      <c r="K224" s="216"/>
      <c r="L224" s="216"/>
    </row>
    <row r="225" spans="2:12">
      <c r="B225" s="216"/>
      <c r="C225" s="216"/>
      <c r="D225" s="216"/>
      <c r="E225" s="216"/>
      <c r="F225" s="216"/>
      <c r="G225" s="216"/>
      <c r="H225" s="216"/>
      <c r="I225" s="216"/>
      <c r="J225" s="216"/>
      <c r="K225" s="216"/>
      <c r="L225" s="216"/>
    </row>
    <row r="226" spans="2:12">
      <c r="B226" s="216"/>
      <c r="C226" s="216"/>
      <c r="D226" s="216"/>
      <c r="E226" s="216"/>
      <c r="F226" s="216"/>
      <c r="G226" s="216"/>
      <c r="H226" s="216"/>
      <c r="I226" s="216"/>
      <c r="J226" s="216"/>
      <c r="K226" s="216"/>
      <c r="L226" s="216"/>
    </row>
    <row r="227" spans="2:12">
      <c r="B227" s="216"/>
      <c r="C227" s="216"/>
      <c r="D227" s="216"/>
      <c r="E227" s="216"/>
      <c r="F227" s="216"/>
      <c r="G227" s="216"/>
      <c r="H227" s="216"/>
      <c r="I227" s="216"/>
      <c r="J227" s="216"/>
      <c r="K227" s="216"/>
      <c r="L227" s="216"/>
    </row>
    <row r="228" spans="2:12">
      <c r="B228" s="216"/>
      <c r="C228" s="216"/>
      <c r="D228" s="216"/>
      <c r="E228" s="216"/>
      <c r="F228" s="216"/>
      <c r="G228" s="216"/>
      <c r="H228" s="216"/>
      <c r="I228" s="216"/>
      <c r="J228" s="216"/>
      <c r="K228" s="216"/>
      <c r="L228" s="216"/>
    </row>
    <row r="229" spans="2:12">
      <c r="B229" s="216"/>
      <c r="C229" s="216"/>
      <c r="D229" s="216"/>
      <c r="E229" s="216"/>
      <c r="F229" s="216"/>
      <c r="G229" s="216"/>
      <c r="H229" s="216"/>
      <c r="I229" s="216"/>
      <c r="J229" s="216"/>
      <c r="K229" s="216"/>
      <c r="L229" s="216"/>
    </row>
    <row r="230" spans="2:12">
      <c r="B230" s="216"/>
      <c r="C230" s="216"/>
      <c r="D230" s="216"/>
      <c r="E230" s="216"/>
      <c r="F230" s="216"/>
      <c r="G230" s="216"/>
      <c r="H230" s="216"/>
      <c r="I230" s="216"/>
      <c r="J230" s="216"/>
      <c r="K230" s="216"/>
      <c r="L230" s="216"/>
    </row>
    <row r="231" spans="2:12">
      <c r="B231" s="216"/>
      <c r="C231" s="216"/>
      <c r="D231" s="216"/>
      <c r="E231" s="216"/>
      <c r="F231" s="216"/>
      <c r="G231" s="216"/>
      <c r="H231" s="216"/>
      <c r="I231" s="216"/>
      <c r="J231" s="216"/>
      <c r="K231" s="216"/>
      <c r="L231" s="216"/>
    </row>
    <row r="232" spans="2:12">
      <c r="B232" s="216"/>
      <c r="C232" s="216"/>
      <c r="D232" s="216"/>
      <c r="E232" s="216"/>
      <c r="F232" s="216"/>
      <c r="G232" s="216"/>
      <c r="H232" s="216"/>
      <c r="I232" s="216"/>
      <c r="J232" s="216"/>
      <c r="K232" s="216"/>
      <c r="L232" s="216"/>
    </row>
    <row r="233" spans="2:12">
      <c r="B233" s="216"/>
      <c r="C233" s="216"/>
      <c r="D233" s="216"/>
      <c r="E233" s="216"/>
      <c r="F233" s="216"/>
      <c r="G233" s="216"/>
      <c r="H233" s="216"/>
      <c r="I233" s="216"/>
      <c r="J233" s="216"/>
      <c r="K233" s="216"/>
      <c r="L233" s="216"/>
    </row>
    <row r="234" spans="2:12">
      <c r="B234" s="216"/>
      <c r="C234" s="216"/>
      <c r="D234" s="216"/>
      <c r="E234" s="216"/>
      <c r="F234" s="216"/>
      <c r="G234" s="216"/>
      <c r="H234" s="216"/>
      <c r="I234" s="216"/>
      <c r="J234" s="216"/>
      <c r="K234" s="216"/>
      <c r="L234" s="216"/>
    </row>
    <row r="235" spans="2:12">
      <c r="B235" s="216"/>
      <c r="C235" s="216"/>
      <c r="D235" s="216"/>
      <c r="E235" s="216"/>
      <c r="F235" s="216"/>
      <c r="G235" s="216"/>
      <c r="H235" s="216"/>
      <c r="I235" s="216"/>
      <c r="J235" s="216"/>
      <c r="K235" s="216"/>
      <c r="L235" s="216"/>
    </row>
    <row r="236" spans="2:12">
      <c r="B236" s="216"/>
      <c r="C236" s="216"/>
      <c r="D236" s="216"/>
      <c r="E236" s="216"/>
      <c r="F236" s="216"/>
      <c r="G236" s="216"/>
      <c r="H236" s="216"/>
      <c r="I236" s="216"/>
      <c r="J236" s="216"/>
      <c r="K236" s="216"/>
      <c r="L236" s="216"/>
    </row>
    <row r="237" spans="2:12">
      <c r="B237" s="216"/>
      <c r="C237" s="216"/>
      <c r="D237" s="216"/>
      <c r="E237" s="216"/>
      <c r="F237" s="216"/>
      <c r="G237" s="216"/>
      <c r="H237" s="216"/>
      <c r="I237" s="216"/>
      <c r="J237" s="216"/>
      <c r="K237" s="216"/>
      <c r="L237" s="216"/>
    </row>
    <row r="238" spans="2:12">
      <c r="B238" s="216"/>
      <c r="C238" s="216"/>
      <c r="D238" s="216"/>
      <c r="E238" s="216"/>
      <c r="F238" s="216"/>
      <c r="G238" s="216"/>
      <c r="H238" s="216"/>
      <c r="I238" s="216"/>
      <c r="J238" s="216"/>
      <c r="K238" s="216"/>
      <c r="L238" s="216"/>
    </row>
    <row r="239" spans="2:12">
      <c r="B239" s="216"/>
      <c r="C239" s="216"/>
      <c r="D239" s="216"/>
      <c r="E239" s="216"/>
      <c r="F239" s="216"/>
      <c r="G239" s="216"/>
      <c r="H239" s="216"/>
      <c r="I239" s="216"/>
      <c r="J239" s="216"/>
      <c r="K239" s="216"/>
      <c r="L239" s="216"/>
    </row>
    <row r="240" spans="2:12">
      <c r="B240" s="216"/>
      <c r="C240" s="216"/>
      <c r="D240" s="216"/>
      <c r="E240" s="216"/>
      <c r="F240" s="216"/>
      <c r="G240" s="216"/>
      <c r="H240" s="216"/>
      <c r="I240" s="216"/>
      <c r="J240" s="216"/>
      <c r="K240" s="216"/>
      <c r="L240" s="216"/>
    </row>
    <row r="241" spans="2:12">
      <c r="B241" s="216"/>
      <c r="C241" s="216"/>
      <c r="D241" s="216"/>
      <c r="E241" s="216"/>
      <c r="F241" s="216"/>
      <c r="G241" s="216"/>
      <c r="H241" s="216"/>
      <c r="I241" s="216"/>
      <c r="J241" s="216"/>
      <c r="K241" s="216"/>
      <c r="L241" s="216"/>
    </row>
    <row r="242" spans="2:12">
      <c r="B242" s="216"/>
      <c r="C242" s="216"/>
      <c r="D242" s="216"/>
      <c r="E242" s="216"/>
      <c r="F242" s="216"/>
      <c r="G242" s="216"/>
      <c r="H242" s="216"/>
      <c r="I242" s="216"/>
      <c r="J242" s="216"/>
      <c r="K242" s="216"/>
      <c r="L242" s="216"/>
    </row>
    <row r="243" spans="2:12">
      <c r="B243" s="216"/>
      <c r="C243" s="216"/>
      <c r="D243" s="216"/>
      <c r="E243" s="216"/>
      <c r="F243" s="216"/>
      <c r="G243" s="216"/>
      <c r="H243" s="216"/>
      <c r="I243" s="216"/>
      <c r="J243" s="216"/>
      <c r="K243" s="216"/>
      <c r="L243" s="216"/>
    </row>
    <row r="244" spans="2:12">
      <c r="B244" s="216"/>
      <c r="C244" s="216"/>
      <c r="D244" s="216"/>
      <c r="E244" s="216"/>
      <c r="F244" s="216"/>
      <c r="G244" s="216"/>
      <c r="H244" s="216"/>
      <c r="I244" s="216"/>
      <c r="J244" s="216"/>
      <c r="K244" s="216"/>
      <c r="L244" s="216"/>
    </row>
    <row r="245" spans="2:12">
      <c r="B245" s="216"/>
      <c r="C245" s="216"/>
      <c r="D245" s="216"/>
      <c r="E245" s="216"/>
      <c r="F245" s="216"/>
      <c r="G245" s="216"/>
      <c r="H245" s="216"/>
      <c r="I245" s="216"/>
      <c r="J245" s="216"/>
      <c r="K245" s="216"/>
      <c r="L245" s="216"/>
    </row>
    <row r="246" spans="2:12">
      <c r="B246" s="216"/>
      <c r="C246" s="216"/>
      <c r="D246" s="216"/>
      <c r="E246" s="216"/>
      <c r="F246" s="216"/>
      <c r="G246" s="216"/>
      <c r="H246" s="216"/>
      <c r="I246" s="216"/>
      <c r="J246" s="216"/>
      <c r="K246" s="216"/>
      <c r="L246" s="216"/>
    </row>
    <row r="247" spans="2:12">
      <c r="B247" s="216"/>
      <c r="C247" s="216"/>
      <c r="D247" s="216"/>
      <c r="E247" s="216"/>
      <c r="F247" s="216"/>
      <c r="G247" s="216"/>
      <c r="H247" s="216"/>
      <c r="I247" s="216"/>
      <c r="J247" s="216"/>
      <c r="K247" s="216"/>
      <c r="L247" s="216"/>
    </row>
    <row r="248" spans="2:12">
      <c r="B248" s="216"/>
      <c r="C248" s="216"/>
      <c r="D248" s="216"/>
      <c r="E248" s="216"/>
      <c r="F248" s="216"/>
      <c r="G248" s="216"/>
      <c r="H248" s="216"/>
      <c r="I248" s="216"/>
      <c r="J248" s="216"/>
      <c r="K248" s="216"/>
      <c r="L248" s="216"/>
    </row>
    <row r="249" spans="2:12">
      <c r="B249" s="216"/>
      <c r="C249" s="216"/>
      <c r="D249" s="216"/>
      <c r="E249" s="216"/>
      <c r="F249" s="216"/>
      <c r="G249" s="216"/>
      <c r="H249" s="216"/>
      <c r="I249" s="216"/>
      <c r="J249" s="216"/>
      <c r="K249" s="216"/>
      <c r="L249" s="216"/>
    </row>
    <row r="250" spans="2:12">
      <c r="B250" s="216"/>
      <c r="C250" s="216"/>
      <c r="D250" s="216"/>
      <c r="E250" s="216"/>
      <c r="F250" s="216"/>
      <c r="G250" s="216"/>
      <c r="H250" s="216"/>
      <c r="I250" s="216"/>
      <c r="J250" s="216"/>
      <c r="K250" s="216"/>
      <c r="L250" s="216"/>
    </row>
  </sheetData>
  <mergeCells count="11">
    <mergeCell ref="A5:A6"/>
    <mergeCell ref="A2:J2"/>
    <mergeCell ref="A4:J4"/>
    <mergeCell ref="A13:J13"/>
    <mergeCell ref="A55:J55"/>
    <mergeCell ref="A56:J56"/>
    <mergeCell ref="A34:C34"/>
    <mergeCell ref="A16:D16"/>
    <mergeCell ref="E16:J16"/>
    <mergeCell ref="A37:J37"/>
    <mergeCell ref="E34:J34"/>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Mensual-Octubre 2020
INFSGI-MES-10-2020
12/11/2020
Versión: 01</oddHeader>
    <oddFooter>&amp;L&amp;7COES, 2020&amp;C17&amp;R&amp;7Dirección Ejecutiva
Sub Dirección de Gestión de Información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4"/>
    <pageSetUpPr fitToPage="1"/>
  </sheetPr>
  <dimension ref="A3:L56"/>
  <sheetViews>
    <sheetView showGridLines="0" view="pageBreakPreview" zoomScaleNormal="130" zoomScaleSheetLayoutView="100" zoomScalePageLayoutView="130" workbookViewId="0">
      <selection activeCell="A3" sqref="A3:L4"/>
    </sheetView>
  </sheetViews>
  <sheetFormatPr defaultColWidth="9.33203125" defaultRowHeight="11.25"/>
  <cols>
    <col min="8" max="10" width="11.1640625" customWidth="1"/>
    <col min="11" max="11" width="12.5" customWidth="1"/>
    <col min="12" max="12" width="9.33203125" customWidth="1"/>
  </cols>
  <sheetData>
    <row r="3" spans="1:12">
      <c r="A3" s="879" t="s">
        <v>0</v>
      </c>
      <c r="B3" s="879"/>
      <c r="C3" s="879"/>
      <c r="D3" s="879"/>
      <c r="E3" s="879"/>
      <c r="F3" s="879"/>
      <c r="G3" s="879"/>
      <c r="H3" s="879"/>
      <c r="I3" s="879"/>
      <c r="J3" s="879"/>
      <c r="K3" s="879"/>
      <c r="L3" s="879"/>
    </row>
    <row r="4" spans="1:12">
      <c r="A4" s="879"/>
      <c r="B4" s="879"/>
      <c r="C4" s="879"/>
      <c r="D4" s="879"/>
      <c r="E4" s="879"/>
      <c r="F4" s="879"/>
      <c r="G4" s="879"/>
      <c r="H4" s="879"/>
      <c r="I4" s="879"/>
      <c r="J4" s="879"/>
      <c r="K4" s="879"/>
      <c r="L4" s="879"/>
    </row>
    <row r="5" spans="1:12" ht="12">
      <c r="A5" s="3"/>
      <c r="B5" s="217"/>
      <c r="C5" s="2"/>
      <c r="D5" s="2"/>
      <c r="E5" s="37"/>
      <c r="F5" s="2"/>
      <c r="G5" s="2"/>
      <c r="H5" s="2"/>
      <c r="I5" s="2"/>
      <c r="J5" s="2"/>
      <c r="K5" s="2"/>
      <c r="L5" s="8" t="s">
        <v>1</v>
      </c>
    </row>
    <row r="6" spans="1:12" ht="12">
      <c r="A6" s="3"/>
      <c r="B6" s="217"/>
      <c r="C6" s="2"/>
      <c r="D6" s="2"/>
      <c r="E6" s="37"/>
      <c r="F6" s="2"/>
      <c r="G6" s="2"/>
      <c r="H6" s="2"/>
      <c r="I6" s="2"/>
      <c r="J6" s="2"/>
      <c r="K6" s="2"/>
      <c r="L6" s="5"/>
    </row>
    <row r="7" spans="1:12" ht="19.5" customHeight="1">
      <c r="A7" s="20" t="s">
        <v>401</v>
      </c>
      <c r="B7" s="218"/>
      <c r="C7" s="25"/>
      <c r="D7" s="25"/>
      <c r="E7" s="25"/>
      <c r="F7" s="25"/>
      <c r="G7" s="25"/>
      <c r="H7" s="25"/>
      <c r="I7" s="25"/>
      <c r="J7" s="25"/>
      <c r="K7" s="25"/>
      <c r="L7" s="25"/>
    </row>
    <row r="8" spans="1:12" ht="17.25" customHeight="1">
      <c r="A8" s="25"/>
      <c r="B8" s="25" t="s">
        <v>589</v>
      </c>
      <c r="C8" s="23"/>
      <c r="D8" s="23"/>
      <c r="E8" s="23"/>
      <c r="F8" s="23"/>
      <c r="G8" s="23"/>
      <c r="H8" s="23"/>
      <c r="I8" s="23"/>
      <c r="J8" s="25"/>
      <c r="K8" s="21"/>
      <c r="L8" s="24">
        <v>1</v>
      </c>
    </row>
    <row r="9" spans="1:12" ht="9.75" customHeight="1">
      <c r="A9" s="25"/>
      <c r="B9" s="25"/>
      <c r="C9" s="23"/>
      <c r="D9" s="23"/>
      <c r="E9" s="23"/>
      <c r="F9" s="23"/>
      <c r="G9" s="23"/>
      <c r="H9" s="23"/>
      <c r="I9" s="23"/>
      <c r="J9" s="25"/>
      <c r="K9" s="23"/>
      <c r="L9" s="24"/>
    </row>
    <row r="10" spans="1:12" ht="19.5" customHeight="1">
      <c r="A10" s="20" t="s">
        <v>468</v>
      </c>
      <c r="B10" s="218"/>
      <c r="C10" s="25"/>
      <c r="D10" s="25"/>
      <c r="E10" s="25"/>
      <c r="F10" s="25"/>
      <c r="G10" s="25"/>
      <c r="H10" s="25"/>
      <c r="I10" s="25"/>
      <c r="J10" s="25"/>
      <c r="K10" s="25"/>
      <c r="L10" s="22"/>
    </row>
    <row r="11" spans="1:12" ht="19.5" customHeight="1">
      <c r="A11" s="27"/>
      <c r="B11" s="25" t="s">
        <v>449</v>
      </c>
      <c r="C11" s="25"/>
      <c r="D11" s="25"/>
      <c r="E11" s="25"/>
      <c r="F11" s="21"/>
      <c r="G11" s="21"/>
      <c r="H11" s="21"/>
      <c r="I11" s="21"/>
      <c r="J11" s="21"/>
      <c r="K11" s="21"/>
      <c r="L11" s="22" t="s">
        <v>2</v>
      </c>
    </row>
    <row r="12" spans="1:12" ht="19.5" customHeight="1">
      <c r="A12" s="27"/>
      <c r="B12" s="25" t="s">
        <v>381</v>
      </c>
      <c r="C12" s="25"/>
      <c r="D12" s="25"/>
      <c r="E12" s="21"/>
      <c r="F12" s="21"/>
      <c r="G12" s="21"/>
      <c r="H12" s="21"/>
      <c r="I12" s="21"/>
      <c r="J12" s="21"/>
      <c r="K12" s="21"/>
      <c r="L12" s="22" t="s">
        <v>2</v>
      </c>
    </row>
    <row r="13" spans="1:12" ht="10.5" customHeight="1">
      <c r="A13" s="25"/>
      <c r="B13" s="23"/>
      <c r="C13" s="23"/>
      <c r="D13" s="23"/>
      <c r="E13" s="23"/>
      <c r="F13" s="23"/>
      <c r="G13" s="23"/>
      <c r="H13" s="23"/>
      <c r="I13" s="23"/>
      <c r="J13" s="23"/>
      <c r="K13" s="23"/>
      <c r="L13" s="24"/>
    </row>
    <row r="14" spans="1:12" ht="19.5" customHeight="1">
      <c r="A14" s="20" t="s">
        <v>394</v>
      </c>
      <c r="B14" s="25"/>
      <c r="C14" s="25"/>
      <c r="D14" s="25"/>
      <c r="E14" s="25"/>
      <c r="F14" s="25"/>
      <c r="G14" s="25"/>
      <c r="H14" s="25"/>
      <c r="I14" s="25"/>
      <c r="J14" s="25"/>
      <c r="K14" s="25"/>
      <c r="L14" s="22"/>
    </row>
    <row r="15" spans="1:12" ht="19.5" customHeight="1">
      <c r="A15" s="27"/>
      <c r="B15" s="25" t="s">
        <v>370</v>
      </c>
      <c r="C15" s="25"/>
      <c r="D15" s="25"/>
      <c r="E15" s="25"/>
      <c r="F15" s="21"/>
      <c r="G15" s="21"/>
      <c r="H15" s="21"/>
      <c r="I15" s="21"/>
      <c r="J15" s="21"/>
      <c r="K15" s="21"/>
      <c r="L15" s="22" t="s">
        <v>3</v>
      </c>
    </row>
    <row r="16" spans="1:12" ht="19.5" customHeight="1">
      <c r="A16" s="27"/>
      <c r="B16" s="25" t="s">
        <v>379</v>
      </c>
      <c r="C16" s="25"/>
      <c r="D16" s="25"/>
      <c r="E16" s="25"/>
      <c r="F16" s="25"/>
      <c r="G16" s="21"/>
      <c r="H16" s="21"/>
      <c r="I16" s="21"/>
      <c r="J16" s="21"/>
      <c r="K16" s="21"/>
      <c r="L16" s="22" t="s">
        <v>4</v>
      </c>
    </row>
    <row r="17" spans="1:12" ht="19.5" customHeight="1">
      <c r="A17" s="27"/>
      <c r="B17" s="25" t="s">
        <v>371</v>
      </c>
      <c r="C17" s="25"/>
      <c r="D17" s="25"/>
      <c r="E17" s="25"/>
      <c r="F17" s="25"/>
      <c r="G17" s="21"/>
      <c r="H17" s="21"/>
      <c r="I17" s="21"/>
      <c r="J17" s="21"/>
      <c r="K17" s="21"/>
      <c r="L17" s="22" t="s">
        <v>5</v>
      </c>
    </row>
    <row r="18" spans="1:12" ht="19.5" customHeight="1">
      <c r="A18" s="27"/>
      <c r="B18" s="25" t="s">
        <v>372</v>
      </c>
      <c r="C18" s="25"/>
      <c r="D18" s="25"/>
      <c r="E18" s="25"/>
      <c r="F18" s="21"/>
      <c r="G18" s="21"/>
      <c r="H18" s="21"/>
      <c r="I18" s="21"/>
      <c r="J18" s="21"/>
      <c r="K18" s="21"/>
      <c r="L18" s="22" t="s">
        <v>6</v>
      </c>
    </row>
    <row r="19" spans="1:12" ht="19.5" customHeight="1">
      <c r="A19" s="27"/>
      <c r="B19" s="25" t="s">
        <v>373</v>
      </c>
      <c r="C19" s="25"/>
      <c r="D19" s="25"/>
      <c r="E19" s="25"/>
      <c r="F19" s="25"/>
      <c r="G19" s="25"/>
      <c r="H19" s="21"/>
      <c r="I19" s="21"/>
      <c r="J19" s="21"/>
      <c r="K19" s="21"/>
      <c r="L19" s="22" t="s">
        <v>7</v>
      </c>
    </row>
    <row r="20" spans="1:12" ht="10.5" customHeight="1">
      <c r="A20" s="27"/>
      <c r="B20" s="25"/>
      <c r="C20" s="25"/>
      <c r="D20" s="25"/>
      <c r="E20" s="25"/>
      <c r="F20" s="25"/>
      <c r="G20" s="25"/>
      <c r="H20" s="25"/>
      <c r="I20" s="25"/>
      <c r="J20" s="25"/>
      <c r="K20" s="25"/>
      <c r="L20" s="22"/>
    </row>
    <row r="21" spans="1:12" ht="19.5" customHeight="1">
      <c r="A21" s="20" t="s">
        <v>393</v>
      </c>
      <c r="B21" s="25"/>
      <c r="C21" s="25"/>
      <c r="D21" s="25"/>
      <c r="E21" s="25"/>
      <c r="F21" s="25"/>
      <c r="G21" s="25"/>
      <c r="H21" s="25"/>
      <c r="I21" s="25"/>
      <c r="J21" s="25"/>
      <c r="K21" s="25"/>
      <c r="L21" s="30"/>
    </row>
    <row r="22" spans="1:12" ht="19.5" customHeight="1">
      <c r="A22" s="25"/>
      <c r="B22" s="25" t="s">
        <v>395</v>
      </c>
      <c r="C22" s="25"/>
      <c r="D22" s="25"/>
      <c r="E22" s="25"/>
      <c r="F22" s="25"/>
      <c r="G22" s="21"/>
      <c r="H22" s="21"/>
      <c r="I22" s="21"/>
      <c r="J22" s="21"/>
      <c r="K22" s="21"/>
      <c r="L22" s="22" t="s">
        <v>9</v>
      </c>
    </row>
    <row r="23" spans="1:12" ht="19.5" customHeight="1">
      <c r="A23" s="31"/>
      <c r="B23" s="25" t="s">
        <v>439</v>
      </c>
      <c r="C23" s="25"/>
      <c r="D23" s="25"/>
      <c r="E23" s="25"/>
      <c r="F23" s="25"/>
      <c r="G23" s="25"/>
      <c r="H23" s="25"/>
      <c r="I23" s="21"/>
      <c r="J23" s="21"/>
      <c r="K23" s="21"/>
      <c r="L23" s="22" t="s">
        <v>10</v>
      </c>
    </row>
    <row r="24" spans="1:12" ht="10.5" customHeight="1">
      <c r="A24" s="31"/>
      <c r="B24" s="26"/>
      <c r="C24" s="32"/>
      <c r="D24" s="26"/>
      <c r="E24" s="26"/>
      <c r="F24" s="26"/>
      <c r="G24" s="26"/>
      <c r="H24" s="26"/>
      <c r="I24" s="26"/>
      <c r="J24" s="26"/>
      <c r="K24" s="26"/>
      <c r="L24" s="22"/>
    </row>
    <row r="25" spans="1:12" ht="19.5" customHeight="1">
      <c r="A25" s="20" t="s">
        <v>252</v>
      </c>
      <c r="B25" s="25"/>
      <c r="C25" s="25"/>
      <c r="D25" s="25"/>
      <c r="E25" s="25"/>
      <c r="F25" s="25"/>
      <c r="G25" s="25"/>
      <c r="H25" s="25"/>
      <c r="I25" s="25"/>
      <c r="J25" s="25"/>
      <c r="K25" s="25"/>
      <c r="L25" s="30"/>
    </row>
    <row r="26" spans="1:12" ht="19.5" customHeight="1">
      <c r="A26" s="25"/>
      <c r="B26" s="25" t="s">
        <v>397</v>
      </c>
      <c r="C26" s="25"/>
      <c r="D26" s="25"/>
      <c r="E26" s="25"/>
      <c r="F26" s="21"/>
      <c r="G26" s="21"/>
      <c r="H26" s="21"/>
      <c r="I26" s="21"/>
      <c r="J26" s="21"/>
      <c r="K26" s="33"/>
      <c r="L26" s="22" t="s">
        <v>11</v>
      </c>
    </row>
    <row r="27" spans="1:12" ht="19.5" customHeight="1">
      <c r="A27" s="25"/>
      <c r="B27" s="25" t="s">
        <v>374</v>
      </c>
      <c r="C27" s="25"/>
      <c r="D27" s="25"/>
      <c r="E27" s="25"/>
      <c r="F27" s="25"/>
      <c r="G27" s="21"/>
      <c r="H27" s="21"/>
      <c r="I27" s="21"/>
      <c r="J27" s="21"/>
      <c r="K27" s="33"/>
      <c r="L27" s="22" t="s">
        <v>11</v>
      </c>
    </row>
    <row r="28" spans="1:12" ht="19.5" customHeight="1">
      <c r="A28" s="31"/>
      <c r="B28" s="25" t="s">
        <v>396</v>
      </c>
      <c r="C28" s="25"/>
      <c r="D28" s="25"/>
      <c r="E28" s="25"/>
      <c r="F28" s="21"/>
      <c r="G28" s="21"/>
      <c r="H28" s="33"/>
      <c r="I28" s="33"/>
      <c r="J28" s="33"/>
      <c r="K28" s="33"/>
      <c r="L28" s="22" t="s">
        <v>12</v>
      </c>
    </row>
    <row r="29" spans="1:12" ht="19.5" customHeight="1">
      <c r="A29" s="31"/>
      <c r="B29" s="25" t="s">
        <v>380</v>
      </c>
      <c r="C29" s="25"/>
      <c r="D29" s="25"/>
      <c r="E29" s="21"/>
      <c r="F29" s="33"/>
      <c r="G29" s="33"/>
      <c r="H29" s="33"/>
      <c r="I29" s="33"/>
      <c r="J29" s="33"/>
      <c r="K29" s="33"/>
      <c r="L29" s="22" t="s">
        <v>12</v>
      </c>
    </row>
    <row r="30" spans="1:12" ht="10.5" customHeight="1">
      <c r="A30" s="31"/>
      <c r="B30" s="25"/>
      <c r="C30" s="25"/>
      <c r="D30" s="25"/>
      <c r="E30" s="25"/>
      <c r="F30" s="25"/>
      <c r="G30" s="25"/>
      <c r="H30" s="25"/>
      <c r="I30" s="25"/>
      <c r="J30" s="25"/>
      <c r="K30" s="25"/>
      <c r="L30" s="22"/>
    </row>
    <row r="31" spans="1:12" ht="19.5" customHeight="1">
      <c r="A31" s="20" t="s">
        <v>386</v>
      </c>
      <c r="B31" s="25"/>
      <c r="C31" s="25"/>
      <c r="D31" s="25"/>
      <c r="E31" s="25"/>
      <c r="F31" s="25"/>
      <c r="G31" s="25"/>
      <c r="H31" s="25"/>
      <c r="I31" s="25"/>
      <c r="J31" s="25"/>
      <c r="K31" s="25"/>
      <c r="L31" s="22"/>
    </row>
    <row r="32" spans="1:12" ht="19.5" customHeight="1">
      <c r="A32" s="31"/>
      <c r="B32" s="25" t="s">
        <v>398</v>
      </c>
      <c r="C32" s="25"/>
      <c r="D32" s="25"/>
      <c r="E32" s="25"/>
      <c r="F32" s="25"/>
      <c r="G32" s="21"/>
      <c r="H32" s="21"/>
      <c r="I32" s="21"/>
      <c r="J32" s="21"/>
      <c r="K32" s="21"/>
      <c r="L32" s="22" t="s">
        <v>13</v>
      </c>
    </row>
    <row r="33" spans="1:12" ht="19.5" customHeight="1">
      <c r="A33" s="31"/>
      <c r="B33" s="25" t="s">
        <v>375</v>
      </c>
      <c r="C33" s="25"/>
      <c r="D33" s="25"/>
      <c r="E33" s="25"/>
      <c r="F33" s="25"/>
      <c r="G33" s="25"/>
      <c r="H33" s="21"/>
      <c r="I33" s="21"/>
      <c r="J33" s="21"/>
      <c r="K33" s="21"/>
      <c r="L33" s="22" t="s">
        <v>14</v>
      </c>
    </row>
    <row r="34" spans="1:12" ht="10.5" customHeight="1">
      <c r="A34" s="31"/>
      <c r="B34" s="25"/>
      <c r="C34" s="25"/>
      <c r="D34" s="25"/>
      <c r="E34" s="25"/>
      <c r="F34" s="25"/>
      <c r="G34" s="25"/>
      <c r="H34" s="25"/>
      <c r="I34" s="25"/>
      <c r="J34" s="25"/>
      <c r="K34" s="25"/>
      <c r="L34" s="22"/>
    </row>
    <row r="35" spans="1:12" ht="19.5" customHeight="1">
      <c r="A35" s="20" t="s">
        <v>376</v>
      </c>
      <c r="B35" s="26"/>
      <c r="C35" s="32"/>
      <c r="D35" s="26"/>
      <c r="E35" s="26"/>
      <c r="F35" s="26"/>
      <c r="G35" s="26"/>
      <c r="H35" s="26"/>
      <c r="I35" s="26"/>
      <c r="J35" s="26"/>
      <c r="K35" s="26"/>
      <c r="L35" s="22"/>
    </row>
    <row r="36" spans="1:12" ht="19.5" customHeight="1">
      <c r="A36" s="27"/>
      <c r="B36" s="25" t="s">
        <v>399</v>
      </c>
      <c r="C36" s="25"/>
      <c r="D36" s="25"/>
      <c r="E36" s="25"/>
      <c r="F36" s="21"/>
      <c r="G36" s="21"/>
      <c r="H36" s="21"/>
      <c r="I36" s="21"/>
      <c r="J36" s="21"/>
      <c r="K36" s="21"/>
      <c r="L36" s="22" t="s">
        <v>15</v>
      </c>
    </row>
    <row r="37" spans="1:12" ht="10.5" customHeight="1">
      <c r="A37" s="27"/>
      <c r="B37" s="25"/>
      <c r="C37" s="25"/>
      <c r="D37" s="25"/>
      <c r="E37" s="25"/>
      <c r="F37" s="25"/>
      <c r="G37" s="25"/>
      <c r="H37" s="25"/>
      <c r="I37" s="25"/>
      <c r="J37" s="25"/>
      <c r="K37" s="25"/>
      <c r="L37" s="22"/>
    </row>
    <row r="38" spans="1:12" ht="19.5" customHeight="1">
      <c r="A38" s="20" t="s">
        <v>377</v>
      </c>
      <c r="B38" s="35"/>
      <c r="C38" s="25"/>
      <c r="D38" s="25"/>
      <c r="E38" s="25"/>
      <c r="F38" s="25"/>
      <c r="G38" s="25"/>
      <c r="H38" s="25"/>
      <c r="I38" s="25"/>
      <c r="J38" s="25"/>
      <c r="K38" s="25"/>
      <c r="L38" s="38"/>
    </row>
    <row r="39" spans="1:12" ht="19.5" customHeight="1">
      <c r="A39" s="27"/>
      <c r="B39" s="25" t="s">
        <v>378</v>
      </c>
      <c r="C39" s="25"/>
      <c r="D39" s="25"/>
      <c r="E39" s="25"/>
      <c r="F39" s="25"/>
      <c r="G39" s="25"/>
      <c r="H39" s="21"/>
      <c r="I39" s="21"/>
      <c r="J39" s="21"/>
      <c r="K39" s="21"/>
      <c r="L39" s="22" t="s">
        <v>16</v>
      </c>
    </row>
    <row r="40" spans="1:12" ht="10.5" customHeight="1">
      <c r="A40" s="25"/>
      <c r="B40" s="25"/>
      <c r="C40" s="25"/>
      <c r="D40" s="25"/>
      <c r="E40" s="25"/>
      <c r="F40" s="25"/>
      <c r="G40" s="25"/>
      <c r="H40" s="25"/>
      <c r="I40" s="25"/>
      <c r="J40" s="25"/>
      <c r="K40" s="25"/>
      <c r="L40" s="22"/>
    </row>
    <row r="41" spans="1:12" ht="19.5" customHeight="1">
      <c r="A41" s="20" t="s">
        <v>211</v>
      </c>
      <c r="B41" s="25"/>
      <c r="C41" s="25"/>
      <c r="D41" s="25"/>
      <c r="E41" s="25"/>
      <c r="F41" s="25"/>
      <c r="G41" s="25"/>
      <c r="H41" s="25"/>
      <c r="I41" s="25"/>
      <c r="J41" s="25"/>
      <c r="K41" s="25"/>
      <c r="L41" s="22"/>
    </row>
    <row r="42" spans="1:12" ht="19.5" customHeight="1">
      <c r="A42" s="20" t="s">
        <v>17</v>
      </c>
      <c r="B42" s="25"/>
      <c r="C42" s="25"/>
      <c r="D42" s="25"/>
      <c r="E42" s="25"/>
      <c r="F42" s="25"/>
      <c r="G42" s="25"/>
      <c r="H42" s="25"/>
      <c r="I42" s="28"/>
      <c r="J42" s="28"/>
      <c r="K42" s="28"/>
      <c r="L42" s="22" t="s">
        <v>18</v>
      </c>
    </row>
    <row r="43" spans="1:12" ht="19.5" customHeight="1">
      <c r="A43" s="20" t="s">
        <v>400</v>
      </c>
      <c r="B43" s="25"/>
      <c r="C43" s="25"/>
      <c r="D43" s="25"/>
      <c r="E43" s="25"/>
      <c r="F43" s="21"/>
      <c r="G43" s="21"/>
      <c r="H43" s="21"/>
      <c r="I43" s="21"/>
      <c r="J43" s="21"/>
      <c r="K43" s="21"/>
      <c r="L43" s="22" t="s">
        <v>19</v>
      </c>
    </row>
    <row r="44" spans="1:12" ht="19.5" customHeight="1">
      <c r="A44" s="20" t="s">
        <v>20</v>
      </c>
      <c r="B44" s="25"/>
      <c r="C44" s="25"/>
      <c r="D44" s="25"/>
      <c r="E44" s="21"/>
      <c r="F44" s="21"/>
      <c r="G44" s="21"/>
      <c r="H44" s="21"/>
      <c r="I44" s="21"/>
      <c r="J44" s="21"/>
      <c r="K44" s="21"/>
      <c r="L44" s="22" t="s">
        <v>21</v>
      </c>
    </row>
    <row r="47" spans="1:12" ht="12">
      <c r="A47" s="11"/>
      <c r="B47" s="11"/>
      <c r="C47" s="11"/>
      <c r="D47" s="11"/>
      <c r="E47" s="11"/>
      <c r="F47" s="11"/>
      <c r="G47" s="11"/>
      <c r="H47" s="11"/>
      <c r="I47" s="11"/>
      <c r="J47" s="11"/>
      <c r="K47" s="11"/>
      <c r="L47" s="11"/>
    </row>
    <row r="48" spans="1:12" ht="12">
      <c r="A48" s="11"/>
      <c r="B48" s="11"/>
      <c r="C48" s="11"/>
      <c r="D48" s="11"/>
      <c r="E48" s="11"/>
      <c r="F48" s="11"/>
      <c r="G48" s="11"/>
      <c r="H48" s="11"/>
      <c r="I48" s="11"/>
      <c r="J48" s="11"/>
      <c r="K48" s="11"/>
      <c r="L48" s="11"/>
    </row>
    <row r="49" spans="1:12" ht="12">
      <c r="A49" s="11"/>
      <c r="B49" s="11"/>
      <c r="C49" s="11"/>
      <c r="D49" s="11"/>
      <c r="E49" s="11"/>
      <c r="F49" s="11"/>
      <c r="G49" s="11"/>
      <c r="H49" s="11"/>
      <c r="I49" s="11"/>
      <c r="J49" s="11"/>
      <c r="K49" s="11"/>
      <c r="L49" s="11"/>
    </row>
    <row r="50" spans="1:12" ht="12">
      <c r="A50" s="11"/>
      <c r="B50" s="11"/>
      <c r="C50" s="11"/>
      <c r="D50" s="11"/>
      <c r="E50" s="11"/>
      <c r="F50" s="11"/>
      <c r="G50" s="11"/>
      <c r="H50" s="11"/>
      <c r="I50" s="11"/>
      <c r="J50" s="11"/>
      <c r="K50" s="11"/>
      <c r="L50" s="11"/>
    </row>
    <row r="51" spans="1:12" ht="12">
      <c r="A51" s="11"/>
      <c r="B51" s="11"/>
      <c r="C51" s="11"/>
      <c r="D51" s="11"/>
      <c r="E51" s="11"/>
      <c r="F51" s="11"/>
      <c r="G51" s="11"/>
      <c r="H51" s="11"/>
      <c r="I51" s="11"/>
      <c r="J51" s="11"/>
      <c r="K51" s="11"/>
      <c r="L51" s="11"/>
    </row>
    <row r="52" spans="1:12" ht="12">
      <c r="A52" s="11"/>
      <c r="B52" s="11"/>
      <c r="C52" s="11"/>
      <c r="D52" s="11"/>
      <c r="E52" s="11"/>
      <c r="F52" s="11"/>
      <c r="G52" s="11"/>
      <c r="H52" s="11"/>
      <c r="I52" s="11"/>
      <c r="J52" s="11"/>
      <c r="K52" s="11"/>
      <c r="L52" s="11"/>
    </row>
    <row r="53" spans="1:12" ht="12">
      <c r="A53" s="11"/>
      <c r="B53" s="11"/>
      <c r="C53" s="11"/>
      <c r="D53" s="11"/>
      <c r="E53" s="11"/>
      <c r="F53" s="11"/>
      <c r="G53" s="11"/>
      <c r="H53" s="11"/>
      <c r="I53" s="11"/>
      <c r="J53" s="11"/>
      <c r="K53" s="11"/>
      <c r="L53" s="11"/>
    </row>
    <row r="54" spans="1:12" ht="12">
      <c r="A54" s="11"/>
      <c r="B54" s="11"/>
      <c r="C54" s="11"/>
      <c r="D54" s="11"/>
      <c r="E54" s="11"/>
      <c r="F54" s="11"/>
      <c r="G54" s="11"/>
      <c r="H54" s="11"/>
      <c r="I54" s="11"/>
      <c r="J54" s="11"/>
      <c r="K54" s="11"/>
      <c r="L54" s="11"/>
    </row>
    <row r="55" spans="1:12" ht="12">
      <c r="A55" s="11"/>
      <c r="B55" s="11"/>
      <c r="C55" s="11"/>
      <c r="D55" s="11"/>
      <c r="E55" s="11"/>
      <c r="F55" s="11"/>
      <c r="G55" s="11"/>
      <c r="H55" s="11"/>
      <c r="I55" s="11"/>
      <c r="J55" s="11"/>
      <c r="K55" s="11"/>
      <c r="L55" s="11"/>
    </row>
    <row r="56" spans="1:12" ht="12">
      <c r="A56" s="11"/>
      <c r="B56" s="11"/>
      <c r="C56" s="11"/>
      <c r="D56" s="11"/>
      <c r="E56" s="11"/>
      <c r="F56" s="11"/>
      <c r="G56" s="11"/>
      <c r="H56" s="11"/>
      <c r="I56" s="11"/>
      <c r="J56" s="11"/>
      <c r="K56" s="11"/>
      <c r="L56" s="11"/>
    </row>
  </sheetData>
  <mergeCells count="1">
    <mergeCell ref="A3:L4"/>
  </mergeCells>
  <hyperlinks>
    <hyperlink ref="L15" location="Table1!A1" display="Table1!A1" xr:uid="{00000000-0004-0000-0100-000000000000}"/>
    <hyperlink ref="L16" location="Table2!A1" display="Table2!A1" xr:uid="{00000000-0004-0000-0100-000001000000}"/>
    <hyperlink ref="L17" location="Table3!A1" display="Table3!A1" xr:uid="{00000000-0004-0000-0100-000002000000}"/>
    <hyperlink ref="L19" location="Table4!A1" display="Table4!A1" xr:uid="{00000000-0004-0000-0100-000003000000}"/>
    <hyperlink ref="L22" location="Table5!A1" display="Table5!A1" xr:uid="{00000000-0004-0000-0100-000004000000}"/>
    <hyperlink ref="L36" location="Table6!A1" display="Table6!A1" xr:uid="{00000000-0004-0000-0100-000005000000}"/>
    <hyperlink ref="L23" location="Table5!A1" display="Table5!A1" xr:uid="{00000000-0004-0000-0100-000006000000}"/>
    <hyperlink ref="L26" location="Table5!A1" display="Table5!A1" xr:uid="{00000000-0004-0000-0100-000007000000}"/>
    <hyperlink ref="L28" location="Table5!A1" display="Table5!A1" xr:uid="{00000000-0004-0000-0100-000008000000}"/>
    <hyperlink ref="L32" location="Table5!A1" display="Table5!A1" xr:uid="{00000000-0004-0000-0100-000009000000}"/>
    <hyperlink ref="L11" location="Table1!A1" display="Table1!A1" xr:uid="{00000000-0004-0000-0100-00000A000000}"/>
    <hyperlink ref="L42" location="'Principles and Definitions'!A1" display="ii" xr:uid="{00000000-0004-0000-0100-00000B000000}"/>
    <hyperlink ref="L43" location="'Principles and Definitions'!A1" display="ii" xr:uid="{00000000-0004-0000-0100-00000C000000}"/>
    <hyperlink ref="L44" location="'Principles and Definitions'!A1" display="ii" xr:uid="{00000000-0004-0000-0100-00000D000000}"/>
    <hyperlink ref="L29" location="Table5!A1" display="Table5!A1" xr:uid="{00000000-0004-0000-0100-00000E000000}"/>
    <hyperlink ref="L33" location="Table5!A1" display="Table5!A1" xr:uid="{00000000-0004-0000-0100-00000F000000}"/>
  </hyperlinks>
  <pageMargins left="0.59055118110236227" right="0.39370078740157483" top="1.0236220472440944" bottom="0.62992125984251968" header="0.31496062992125984" footer="0.31496062992125984"/>
  <pageSetup paperSize="9" scale="97" orientation="portrait" r:id="rId1"/>
  <headerFooter>
    <oddHeader>&amp;R&amp;7Informe de la Operación Mensual-Octubre 2020
INFSGI-MES-10-2020
12/11/2020
Versión: 01</oddHeader>
    <oddFooter>&amp;LCOES, 2020&amp;RDirección Ejecutiva
Sub Dirección de Gestión de Información</oddFooter>
  </headerFooter>
  <ignoredErrors>
    <ignoredError sqref="L10:L11 L12:L44"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theme="4"/>
  </sheetPr>
  <dimension ref="A1:H180"/>
  <sheetViews>
    <sheetView showGridLines="0" view="pageBreakPreview" zoomScaleNormal="100" zoomScaleSheetLayoutView="100" zoomScalePageLayoutView="140" workbookViewId="0">
      <selection activeCell="O14" sqref="O14"/>
    </sheetView>
  </sheetViews>
  <sheetFormatPr defaultColWidth="9.33203125" defaultRowHeight="11.25"/>
  <cols>
    <col min="1" max="1" width="22.5" customWidth="1"/>
    <col min="2" max="2" width="20.83203125" customWidth="1"/>
    <col min="3" max="3" width="15.83203125" customWidth="1"/>
    <col min="4" max="4" width="17" customWidth="1"/>
    <col min="5" max="5" width="13.5" customWidth="1"/>
    <col min="6" max="6" width="13.83203125" customWidth="1"/>
    <col min="7" max="7" width="14.5" customWidth="1"/>
  </cols>
  <sheetData>
    <row r="1" spans="1:8" ht="11.25" customHeight="1">
      <c r="A1" s="273" t="s">
        <v>275</v>
      </c>
      <c r="B1" s="272"/>
      <c r="C1" s="272"/>
      <c r="D1" s="272"/>
      <c r="E1" s="272"/>
      <c r="F1" s="272"/>
      <c r="G1" s="272"/>
    </row>
    <row r="2" spans="1:8" ht="14.25" customHeight="1">
      <c r="A2" s="979" t="s">
        <v>250</v>
      </c>
      <c r="B2" s="982" t="s">
        <v>54</v>
      </c>
      <c r="C2" s="985" t="str">
        <f>"ENERGÍA PRODUCIDA "&amp;UPPER('1. Resumen'!Q4)&amp;" "&amp;'1. Resumen'!Q5</f>
        <v>ENERGÍA PRODUCIDA OCTUBRE 2020</v>
      </c>
      <c r="D2" s="985"/>
      <c r="E2" s="985"/>
      <c r="F2" s="985"/>
      <c r="G2" s="631" t="s">
        <v>276</v>
      </c>
      <c r="H2" s="203"/>
    </row>
    <row r="3" spans="1:8" ht="11.25" customHeight="1">
      <c r="A3" s="980"/>
      <c r="B3" s="983"/>
      <c r="C3" s="986" t="s">
        <v>277</v>
      </c>
      <c r="D3" s="986"/>
      <c r="E3" s="986"/>
      <c r="F3" s="987" t="str">
        <f>"TOTAL 
"&amp;UPPER('1. Resumen'!Q4)</f>
        <v>TOTAL 
OCTUBRE</v>
      </c>
      <c r="G3" s="632" t="s">
        <v>278</v>
      </c>
      <c r="H3" s="194"/>
    </row>
    <row r="4" spans="1:8" ht="12.75" customHeight="1">
      <c r="A4" s="980"/>
      <c r="B4" s="983"/>
      <c r="C4" s="623" t="s">
        <v>215</v>
      </c>
      <c r="D4" s="623" t="s">
        <v>216</v>
      </c>
      <c r="E4" s="623" t="s">
        <v>279</v>
      </c>
      <c r="F4" s="988"/>
      <c r="G4" s="632">
        <v>2020</v>
      </c>
      <c r="H4" s="196"/>
    </row>
    <row r="5" spans="1:8" ht="11.25" customHeight="1">
      <c r="A5" s="981"/>
      <c r="B5" s="984"/>
      <c r="C5" s="624" t="s">
        <v>280</v>
      </c>
      <c r="D5" s="624" t="s">
        <v>280</v>
      </c>
      <c r="E5" s="624" t="s">
        <v>280</v>
      </c>
      <c r="F5" s="624" t="s">
        <v>280</v>
      </c>
      <c r="G5" s="633" t="s">
        <v>208</v>
      </c>
      <c r="H5" s="196"/>
    </row>
    <row r="6" spans="1:8" ht="9.75" customHeight="1">
      <c r="A6" s="694" t="s">
        <v>121</v>
      </c>
      <c r="B6" s="436" t="s">
        <v>86</v>
      </c>
      <c r="C6" s="437"/>
      <c r="D6" s="437"/>
      <c r="E6" s="437">
        <v>7737.8870724999997</v>
      </c>
      <c r="F6" s="437">
        <v>7737.8870724999997</v>
      </c>
      <c r="G6" s="690">
        <v>14725.833582499999</v>
      </c>
      <c r="H6" s="196"/>
    </row>
    <row r="7" spans="1:8" ht="9.75" customHeight="1">
      <c r="A7" s="676" t="s">
        <v>487</v>
      </c>
      <c r="B7" s="512"/>
      <c r="C7" s="513"/>
      <c r="D7" s="513"/>
      <c r="E7" s="513">
        <v>7737.8870724999997</v>
      </c>
      <c r="F7" s="513">
        <v>7737.8870724999997</v>
      </c>
      <c r="G7" s="680">
        <v>14725.833582499999</v>
      </c>
      <c r="H7" s="196"/>
    </row>
    <row r="8" spans="1:8" ht="9.75" customHeight="1">
      <c r="A8" s="694" t="s">
        <v>120</v>
      </c>
      <c r="B8" s="436" t="s">
        <v>63</v>
      </c>
      <c r="C8" s="437"/>
      <c r="D8" s="437"/>
      <c r="E8" s="437">
        <v>1472.8728599999999</v>
      </c>
      <c r="F8" s="437">
        <v>1472.8728599999999</v>
      </c>
      <c r="G8" s="690">
        <v>72400.521102500017</v>
      </c>
      <c r="H8" s="196"/>
    </row>
    <row r="9" spans="1:8" ht="9.75" customHeight="1">
      <c r="A9" s="676" t="s">
        <v>488</v>
      </c>
      <c r="B9" s="512"/>
      <c r="C9" s="513"/>
      <c r="D9" s="513"/>
      <c r="E9" s="513">
        <v>1472.8728599999999</v>
      </c>
      <c r="F9" s="513">
        <v>1472.8728599999999</v>
      </c>
      <c r="G9" s="680">
        <v>72400.521102500017</v>
      </c>
      <c r="H9" s="196"/>
    </row>
    <row r="10" spans="1:8" ht="9.75" customHeight="1">
      <c r="A10" s="674" t="s">
        <v>106</v>
      </c>
      <c r="B10" s="626" t="s">
        <v>83</v>
      </c>
      <c r="C10" s="627"/>
      <c r="D10" s="627"/>
      <c r="E10" s="627">
        <v>10799.415547500001</v>
      </c>
      <c r="F10" s="627">
        <v>10799.415547500001</v>
      </c>
      <c r="G10" s="679">
        <v>73929.675077499996</v>
      </c>
      <c r="H10" s="196"/>
    </row>
    <row r="11" spans="1:8" ht="9.75" customHeight="1">
      <c r="A11" s="676" t="s">
        <v>489</v>
      </c>
      <c r="B11" s="512"/>
      <c r="C11" s="513"/>
      <c r="D11" s="513"/>
      <c r="E11" s="513">
        <v>10799.415547500001</v>
      </c>
      <c r="F11" s="513">
        <v>10799.415547500001</v>
      </c>
      <c r="G11" s="680">
        <v>73929.675077499996</v>
      </c>
      <c r="H11" s="196"/>
    </row>
    <row r="12" spans="1:8" ht="9.75" customHeight="1">
      <c r="A12" s="674" t="s">
        <v>418</v>
      </c>
      <c r="B12" s="626" t="s">
        <v>420</v>
      </c>
      <c r="C12" s="627"/>
      <c r="D12" s="627"/>
      <c r="E12" s="627">
        <v>10023.2578125</v>
      </c>
      <c r="F12" s="627">
        <v>10023.2578125</v>
      </c>
      <c r="G12" s="679">
        <v>96552.7306675</v>
      </c>
      <c r="H12" s="196"/>
    </row>
    <row r="13" spans="1:8" ht="9.75" customHeight="1">
      <c r="A13" s="676" t="s">
        <v>490</v>
      </c>
      <c r="B13" s="512"/>
      <c r="C13" s="513"/>
      <c r="D13" s="513"/>
      <c r="E13" s="513">
        <v>10023.2578125</v>
      </c>
      <c r="F13" s="513">
        <v>10023.2578125</v>
      </c>
      <c r="G13" s="680">
        <v>96552.7306675</v>
      </c>
      <c r="H13" s="196"/>
    </row>
    <row r="14" spans="1:8" s="730" customFormat="1" ht="9.75" customHeight="1">
      <c r="A14" s="674" t="s">
        <v>457</v>
      </c>
      <c r="B14" s="626" t="s">
        <v>464</v>
      </c>
      <c r="C14" s="627"/>
      <c r="D14" s="627"/>
      <c r="E14" s="627">
        <v>6795.5937974999997</v>
      </c>
      <c r="F14" s="627">
        <v>6795.5937974999997</v>
      </c>
      <c r="G14" s="679">
        <v>55828.694359999994</v>
      </c>
      <c r="H14" s="196"/>
    </row>
    <row r="15" spans="1:8" s="730" customFormat="1" ht="13.5" customHeight="1">
      <c r="A15" s="744" t="s">
        <v>491</v>
      </c>
      <c r="B15" s="512"/>
      <c r="C15" s="513"/>
      <c r="D15" s="513"/>
      <c r="E15" s="513">
        <v>6795.5937974999997</v>
      </c>
      <c r="F15" s="513">
        <v>6795.5937974999997</v>
      </c>
      <c r="G15" s="680">
        <v>55828.694359999994</v>
      </c>
      <c r="H15" s="196"/>
    </row>
    <row r="16" spans="1:8" ht="9.75" customHeight="1">
      <c r="A16" s="674" t="s">
        <v>94</v>
      </c>
      <c r="B16" s="626" t="s">
        <v>281</v>
      </c>
      <c r="C16" s="627">
        <v>62238.154625000003</v>
      </c>
      <c r="D16" s="627"/>
      <c r="E16" s="627"/>
      <c r="F16" s="627">
        <v>62238.154625000003</v>
      </c>
      <c r="G16" s="679">
        <v>931698.93412250001</v>
      </c>
      <c r="H16" s="196"/>
    </row>
    <row r="17" spans="1:8" ht="9.75" customHeight="1">
      <c r="A17" s="676" t="s">
        <v>492</v>
      </c>
      <c r="B17" s="512"/>
      <c r="C17" s="513">
        <v>62238.154625000003</v>
      </c>
      <c r="D17" s="513"/>
      <c r="E17" s="513"/>
      <c r="F17" s="513">
        <v>62238.154625000003</v>
      </c>
      <c r="G17" s="680">
        <v>931698.93412250001</v>
      </c>
      <c r="H17" s="196"/>
    </row>
    <row r="18" spans="1:8" ht="10.5" customHeight="1">
      <c r="A18" s="674" t="s">
        <v>236</v>
      </c>
      <c r="B18" s="626" t="s">
        <v>282</v>
      </c>
      <c r="C18" s="627"/>
      <c r="D18" s="627">
        <v>0</v>
      </c>
      <c r="E18" s="627"/>
      <c r="F18" s="627">
        <v>0</v>
      </c>
      <c r="G18" s="679">
        <v>772.30673750000005</v>
      </c>
      <c r="H18" s="196"/>
    </row>
    <row r="19" spans="1:8" ht="10.5" customHeight="1">
      <c r="A19" s="676" t="s">
        <v>493</v>
      </c>
      <c r="B19" s="512"/>
      <c r="C19" s="513"/>
      <c r="D19" s="513">
        <v>0</v>
      </c>
      <c r="E19" s="513"/>
      <c r="F19" s="513">
        <v>0</v>
      </c>
      <c r="G19" s="680">
        <v>772.30673750000005</v>
      </c>
      <c r="H19" s="196"/>
    </row>
    <row r="20" spans="1:8" ht="9.75" customHeight="1">
      <c r="A20" s="674" t="s">
        <v>93</v>
      </c>
      <c r="B20" s="626" t="s">
        <v>283</v>
      </c>
      <c r="C20" s="627">
        <v>43436.480357499997</v>
      </c>
      <c r="D20" s="627"/>
      <c r="E20" s="627"/>
      <c r="F20" s="627">
        <v>43436.480357499997</v>
      </c>
      <c r="G20" s="679">
        <v>634360.46517249988</v>
      </c>
      <c r="H20" s="196"/>
    </row>
    <row r="21" spans="1:8" ht="9.75" customHeight="1">
      <c r="A21" s="674"/>
      <c r="B21" s="626" t="s">
        <v>284</v>
      </c>
      <c r="C21" s="627">
        <v>10145.915800000001</v>
      </c>
      <c r="D21" s="627"/>
      <c r="E21" s="627"/>
      <c r="F21" s="627">
        <v>10145.915800000001</v>
      </c>
      <c r="G21" s="679">
        <v>197921.19873499998</v>
      </c>
      <c r="H21" s="196"/>
    </row>
    <row r="22" spans="1:8" ht="9.75" customHeight="1">
      <c r="A22" s="676" t="s">
        <v>494</v>
      </c>
      <c r="B22" s="512"/>
      <c r="C22" s="513">
        <v>53582.396157499999</v>
      </c>
      <c r="D22" s="513"/>
      <c r="E22" s="513"/>
      <c r="F22" s="513">
        <v>53582.396157499999</v>
      </c>
      <c r="G22" s="680">
        <v>832281.66390749987</v>
      </c>
      <c r="H22" s="196"/>
    </row>
    <row r="23" spans="1:8" ht="9.75" customHeight="1">
      <c r="A23" s="674" t="s">
        <v>91</v>
      </c>
      <c r="B23" s="626" t="s">
        <v>285</v>
      </c>
      <c r="C23" s="627">
        <v>1169.0797674999999</v>
      </c>
      <c r="D23" s="627"/>
      <c r="E23" s="627"/>
      <c r="F23" s="627">
        <v>1169.0797674999999</v>
      </c>
      <c r="G23" s="679">
        <v>10967.635612499998</v>
      </c>
      <c r="H23" s="196"/>
    </row>
    <row r="24" spans="1:8" ht="9.75" customHeight="1">
      <c r="A24" s="674"/>
      <c r="B24" s="626" t="s">
        <v>286</v>
      </c>
      <c r="C24" s="627">
        <v>392.21369000000004</v>
      </c>
      <c r="D24" s="627"/>
      <c r="E24" s="627"/>
      <c r="F24" s="627">
        <v>392.21369000000004</v>
      </c>
      <c r="G24" s="679">
        <v>3741.7452400000002</v>
      </c>
      <c r="H24" s="196"/>
    </row>
    <row r="25" spans="1:8" ht="9.75" customHeight="1">
      <c r="A25" s="674"/>
      <c r="B25" s="626" t="s">
        <v>287</v>
      </c>
      <c r="C25" s="627">
        <v>3428.5034725</v>
      </c>
      <c r="D25" s="627"/>
      <c r="E25" s="627"/>
      <c r="F25" s="627">
        <v>3428.5034725</v>
      </c>
      <c r="G25" s="679">
        <v>33702.851985000001</v>
      </c>
      <c r="H25" s="196"/>
    </row>
    <row r="26" spans="1:8" ht="9.75" customHeight="1">
      <c r="A26" s="674"/>
      <c r="B26" s="626" t="s">
        <v>288</v>
      </c>
      <c r="C26" s="627">
        <v>9451.2798225000006</v>
      </c>
      <c r="D26" s="627"/>
      <c r="E26" s="627"/>
      <c r="F26" s="627">
        <v>9451.2798225000006</v>
      </c>
      <c r="G26" s="679">
        <v>93593.458834999998</v>
      </c>
      <c r="H26" s="196"/>
    </row>
    <row r="27" spans="1:8" ht="9.75" customHeight="1">
      <c r="A27" s="674"/>
      <c r="B27" s="626" t="s">
        <v>289</v>
      </c>
      <c r="C27" s="627">
        <v>58131.604092499998</v>
      </c>
      <c r="D27" s="627"/>
      <c r="E27" s="627"/>
      <c r="F27" s="627">
        <v>58131.604092499998</v>
      </c>
      <c r="G27" s="679">
        <v>670237.84690500004</v>
      </c>
      <c r="H27" s="196"/>
    </row>
    <row r="28" spans="1:8" ht="9.75" customHeight="1">
      <c r="A28" s="674"/>
      <c r="B28" s="626" t="s">
        <v>290</v>
      </c>
      <c r="C28" s="627">
        <v>5656.703595</v>
      </c>
      <c r="D28" s="627"/>
      <c r="E28" s="627"/>
      <c r="F28" s="627">
        <v>5656.703595</v>
      </c>
      <c r="G28" s="679">
        <v>54196.418800000007</v>
      </c>
      <c r="H28" s="196"/>
    </row>
    <row r="29" spans="1:8" ht="9.75" customHeight="1">
      <c r="A29" s="674"/>
      <c r="B29" s="626" t="s">
        <v>291</v>
      </c>
      <c r="C29" s="627"/>
      <c r="D29" s="627">
        <v>30.390707500000001</v>
      </c>
      <c r="E29" s="627"/>
      <c r="F29" s="627">
        <v>30.390707500000001</v>
      </c>
      <c r="G29" s="679">
        <v>70.966535000000007</v>
      </c>
      <c r="H29" s="196"/>
    </row>
    <row r="30" spans="1:8" ht="9.75" customHeight="1">
      <c r="A30" s="674"/>
      <c r="B30" s="626" t="s">
        <v>292</v>
      </c>
      <c r="C30" s="627"/>
      <c r="D30" s="627">
        <v>20.597474999999999</v>
      </c>
      <c r="E30" s="627"/>
      <c r="F30" s="627">
        <v>20.597474999999999</v>
      </c>
      <c r="G30" s="679">
        <v>79.967995000000002</v>
      </c>
      <c r="H30" s="196"/>
    </row>
    <row r="31" spans="1:8" ht="9.75" customHeight="1">
      <c r="A31" s="674"/>
      <c r="B31" s="626" t="s">
        <v>293</v>
      </c>
      <c r="C31" s="627"/>
      <c r="D31" s="627">
        <v>0</v>
      </c>
      <c r="E31" s="627"/>
      <c r="F31" s="627">
        <v>0</v>
      </c>
      <c r="G31" s="679">
        <v>0</v>
      </c>
      <c r="H31" s="196"/>
    </row>
    <row r="32" spans="1:8" ht="9.75" customHeight="1">
      <c r="A32" s="676" t="s">
        <v>495</v>
      </c>
      <c r="B32" s="512"/>
      <c r="C32" s="513">
        <v>78229.384439999994</v>
      </c>
      <c r="D32" s="513">
        <v>50.988182500000001</v>
      </c>
      <c r="E32" s="513"/>
      <c r="F32" s="513">
        <v>78280.372622499999</v>
      </c>
      <c r="G32" s="680">
        <v>866590.89190749999</v>
      </c>
      <c r="H32" s="196"/>
    </row>
    <row r="33" spans="1:8" ht="9.75" customHeight="1">
      <c r="A33" s="674" t="s">
        <v>114</v>
      </c>
      <c r="B33" s="626" t="s">
        <v>70</v>
      </c>
      <c r="C33" s="627"/>
      <c r="D33" s="627"/>
      <c r="E33" s="627">
        <v>3614.3528150000002</v>
      </c>
      <c r="F33" s="627">
        <v>3614.3528150000002</v>
      </c>
      <c r="G33" s="679">
        <v>29951.862112500006</v>
      </c>
      <c r="H33" s="196"/>
    </row>
    <row r="34" spans="1:8" ht="9.75" customHeight="1">
      <c r="A34" s="676" t="s">
        <v>496</v>
      </c>
      <c r="B34" s="512"/>
      <c r="C34" s="513"/>
      <c r="D34" s="513"/>
      <c r="E34" s="513">
        <v>3614.3528150000002</v>
      </c>
      <c r="F34" s="513">
        <v>3614.3528150000002</v>
      </c>
      <c r="G34" s="680">
        <v>29951.862112500006</v>
      </c>
      <c r="H34" s="196"/>
    </row>
    <row r="35" spans="1:8" ht="9.75" customHeight="1">
      <c r="A35" s="674" t="s">
        <v>92</v>
      </c>
      <c r="B35" s="626" t="s">
        <v>294</v>
      </c>
      <c r="C35" s="627">
        <v>101102.23247250001</v>
      </c>
      <c r="D35" s="627"/>
      <c r="E35" s="627"/>
      <c r="F35" s="627">
        <v>101102.23247250001</v>
      </c>
      <c r="G35" s="679">
        <v>955403.59401000012</v>
      </c>
      <c r="H35" s="196"/>
    </row>
    <row r="36" spans="1:8" ht="9.75" customHeight="1">
      <c r="A36" s="676" t="s">
        <v>497</v>
      </c>
      <c r="B36" s="512"/>
      <c r="C36" s="513">
        <v>101102.23247250001</v>
      </c>
      <c r="D36" s="513"/>
      <c r="E36" s="513"/>
      <c r="F36" s="513">
        <v>101102.23247250001</v>
      </c>
      <c r="G36" s="680">
        <v>955403.59401000012</v>
      </c>
      <c r="H36" s="196"/>
    </row>
    <row r="37" spans="1:8" ht="9.75" customHeight="1">
      <c r="A37" s="674" t="s">
        <v>101</v>
      </c>
      <c r="B37" s="626" t="s">
        <v>295</v>
      </c>
      <c r="C37" s="627">
        <v>5351.6085000000003</v>
      </c>
      <c r="D37" s="627"/>
      <c r="E37" s="627"/>
      <c r="F37" s="627">
        <v>5351.6085000000003</v>
      </c>
      <c r="G37" s="679">
        <v>52469.932499999995</v>
      </c>
      <c r="H37" s="196"/>
    </row>
    <row r="38" spans="1:8" ht="9.75" customHeight="1">
      <c r="A38" s="674"/>
      <c r="B38" s="626" t="s">
        <v>296</v>
      </c>
      <c r="C38" s="627">
        <v>3993.7620000000002</v>
      </c>
      <c r="D38" s="627"/>
      <c r="E38" s="627"/>
      <c r="F38" s="627">
        <v>3993.7620000000002</v>
      </c>
      <c r="G38" s="679">
        <v>38627.194499999998</v>
      </c>
      <c r="H38" s="196"/>
    </row>
    <row r="39" spans="1:8" ht="9.75" customHeight="1">
      <c r="A39" s="674"/>
      <c r="B39" s="626" t="s">
        <v>297</v>
      </c>
      <c r="C39" s="627"/>
      <c r="D39" s="627">
        <v>2471.0514975000001</v>
      </c>
      <c r="E39" s="627"/>
      <c r="F39" s="627">
        <v>2471.0514975000001</v>
      </c>
      <c r="G39" s="679">
        <v>12214.346325</v>
      </c>
      <c r="H39" s="196"/>
    </row>
    <row r="40" spans="1:8" ht="9.75" customHeight="1">
      <c r="A40" s="676" t="s">
        <v>498</v>
      </c>
      <c r="B40" s="512"/>
      <c r="C40" s="513">
        <v>9345.3705000000009</v>
      </c>
      <c r="D40" s="513">
        <v>2471.0514975000001</v>
      </c>
      <c r="E40" s="513"/>
      <c r="F40" s="513">
        <v>11816.421997500001</v>
      </c>
      <c r="G40" s="680">
        <v>103311.473325</v>
      </c>
      <c r="H40" s="196"/>
    </row>
    <row r="41" spans="1:8" ht="19.5" customHeight="1">
      <c r="A41" s="688" t="s">
        <v>453</v>
      </c>
      <c r="B41" s="626" t="s">
        <v>75</v>
      </c>
      <c r="C41" s="627"/>
      <c r="D41" s="627"/>
      <c r="E41" s="627">
        <v>328.42944749999998</v>
      </c>
      <c r="F41" s="627">
        <v>328.42944749999998</v>
      </c>
      <c r="G41" s="679">
        <v>3910.2145025000004</v>
      </c>
      <c r="H41" s="196"/>
    </row>
    <row r="42" spans="1:8" ht="20.25" customHeight="1">
      <c r="A42" s="744" t="s">
        <v>499</v>
      </c>
      <c r="B42" s="512"/>
      <c r="C42" s="513"/>
      <c r="D42" s="513"/>
      <c r="E42" s="513">
        <v>328.42944749999998</v>
      </c>
      <c r="F42" s="513">
        <v>328.42944749999998</v>
      </c>
      <c r="G42" s="680">
        <v>3910.2145025000004</v>
      </c>
      <c r="H42" s="196"/>
    </row>
    <row r="43" spans="1:8" ht="9.75" customHeight="1">
      <c r="A43" s="674" t="s">
        <v>115</v>
      </c>
      <c r="B43" s="626" t="s">
        <v>73</v>
      </c>
      <c r="C43" s="627"/>
      <c r="D43" s="627"/>
      <c r="E43" s="627">
        <v>1974.1901425000001</v>
      </c>
      <c r="F43" s="627">
        <v>1974.1901425000001</v>
      </c>
      <c r="G43" s="679">
        <v>21018.101194999999</v>
      </c>
      <c r="H43" s="196"/>
    </row>
    <row r="44" spans="1:8" ht="9.75" customHeight="1">
      <c r="A44" s="676" t="s">
        <v>500</v>
      </c>
      <c r="B44" s="512"/>
      <c r="C44" s="513"/>
      <c r="D44" s="513"/>
      <c r="E44" s="513">
        <v>1974.1901425000001</v>
      </c>
      <c r="F44" s="513">
        <v>1974.1901425000001</v>
      </c>
      <c r="G44" s="680">
        <v>21018.101194999999</v>
      </c>
      <c r="H44" s="196"/>
    </row>
    <row r="45" spans="1:8" ht="9.75" customHeight="1">
      <c r="A45" s="674" t="s">
        <v>421</v>
      </c>
      <c r="B45" s="626" t="s">
        <v>424</v>
      </c>
      <c r="C45" s="627"/>
      <c r="D45" s="627"/>
      <c r="E45" s="627">
        <v>3368.7812450000001</v>
      </c>
      <c r="F45" s="627">
        <v>3368.7812450000001</v>
      </c>
      <c r="G45" s="679">
        <v>62390.409865000001</v>
      </c>
      <c r="H45" s="196"/>
    </row>
    <row r="46" spans="1:8" ht="9.75" customHeight="1">
      <c r="A46" s="676" t="s">
        <v>501</v>
      </c>
      <c r="B46" s="512"/>
      <c r="C46" s="513"/>
      <c r="D46" s="513"/>
      <c r="E46" s="513">
        <v>3368.7812450000001</v>
      </c>
      <c r="F46" s="513">
        <v>3368.7812450000001</v>
      </c>
      <c r="G46" s="680">
        <v>62390.409865000001</v>
      </c>
      <c r="H46" s="196"/>
    </row>
    <row r="47" spans="1:8" ht="9.75" customHeight="1">
      <c r="A47" s="674" t="s">
        <v>89</v>
      </c>
      <c r="B47" s="626" t="s">
        <v>298</v>
      </c>
      <c r="C47" s="627">
        <v>455621.4486</v>
      </c>
      <c r="D47" s="627"/>
      <c r="E47" s="627"/>
      <c r="F47" s="627">
        <v>455621.4486</v>
      </c>
      <c r="G47" s="679">
        <v>4462309.1982000005</v>
      </c>
      <c r="H47" s="196"/>
    </row>
    <row r="48" spans="1:8" ht="9.75" customHeight="1">
      <c r="A48" s="674"/>
      <c r="B48" s="626" t="s">
        <v>299</v>
      </c>
      <c r="C48" s="627">
        <v>150169.77840000001</v>
      </c>
      <c r="D48" s="627"/>
      <c r="E48" s="627"/>
      <c r="F48" s="627">
        <v>150169.77840000001</v>
      </c>
      <c r="G48" s="679">
        <v>1452764.8939199999</v>
      </c>
      <c r="H48" s="196"/>
    </row>
    <row r="49" spans="1:8" ht="9.75" customHeight="1">
      <c r="A49" s="674"/>
      <c r="B49" s="626" t="s">
        <v>300</v>
      </c>
      <c r="C49" s="627"/>
      <c r="D49" s="627">
        <v>0</v>
      </c>
      <c r="E49" s="627"/>
      <c r="F49" s="627">
        <v>0</v>
      </c>
      <c r="G49" s="679">
        <v>0</v>
      </c>
      <c r="H49" s="196"/>
    </row>
    <row r="50" spans="1:8" ht="9.75" customHeight="1">
      <c r="A50" s="676" t="s">
        <v>502</v>
      </c>
      <c r="B50" s="512"/>
      <c r="C50" s="513">
        <v>605791.22699999996</v>
      </c>
      <c r="D50" s="513">
        <v>0</v>
      </c>
      <c r="E50" s="513"/>
      <c r="F50" s="513">
        <v>605791.22699999996</v>
      </c>
      <c r="G50" s="680">
        <v>5915074.0921200002</v>
      </c>
      <c r="H50" s="196"/>
    </row>
    <row r="51" spans="1:8" ht="9.75" customHeight="1">
      <c r="A51" s="674" t="s">
        <v>237</v>
      </c>
      <c r="B51" s="626" t="s">
        <v>301</v>
      </c>
      <c r="C51" s="627">
        <v>69276.019092500006</v>
      </c>
      <c r="D51" s="627"/>
      <c r="E51" s="627"/>
      <c r="F51" s="627">
        <v>69276.019092500006</v>
      </c>
      <c r="G51" s="679">
        <v>1590066.9442575001</v>
      </c>
      <c r="H51" s="196"/>
    </row>
    <row r="52" spans="1:8" ht="9.75" customHeight="1">
      <c r="A52" s="674"/>
      <c r="B52" s="626" t="s">
        <v>302</v>
      </c>
      <c r="C52" s="627">
        <v>4495.5528700000004</v>
      </c>
      <c r="D52" s="627"/>
      <c r="E52" s="627"/>
      <c r="F52" s="627">
        <v>4495.5528700000004</v>
      </c>
      <c r="G52" s="679">
        <v>44160.118374999998</v>
      </c>
      <c r="H52" s="196"/>
    </row>
    <row r="53" spans="1:8" ht="9.75" customHeight="1">
      <c r="A53" s="676" t="s">
        <v>503</v>
      </c>
      <c r="B53" s="512"/>
      <c r="C53" s="513">
        <v>73771.571962500006</v>
      </c>
      <c r="D53" s="513"/>
      <c r="E53" s="513"/>
      <c r="F53" s="513">
        <v>73771.571962500006</v>
      </c>
      <c r="G53" s="680">
        <v>1634227.0626325002</v>
      </c>
      <c r="H53" s="196"/>
    </row>
    <row r="54" spans="1:8" ht="9.75" customHeight="1">
      <c r="A54" s="674" t="s">
        <v>238</v>
      </c>
      <c r="B54" s="626" t="s">
        <v>303</v>
      </c>
      <c r="C54" s="627">
        <v>42749.75533</v>
      </c>
      <c r="D54" s="627"/>
      <c r="E54" s="627"/>
      <c r="F54" s="627">
        <v>42749.75533</v>
      </c>
      <c r="G54" s="679">
        <v>351009.26270250004</v>
      </c>
      <c r="H54" s="196"/>
    </row>
    <row r="55" spans="1:8" ht="9.75" customHeight="1">
      <c r="A55" s="676" t="s">
        <v>504</v>
      </c>
      <c r="B55" s="512"/>
      <c r="C55" s="513">
        <v>42749.75533</v>
      </c>
      <c r="D55" s="513"/>
      <c r="E55" s="513"/>
      <c r="F55" s="513">
        <v>42749.75533</v>
      </c>
      <c r="G55" s="680">
        <v>351009.26270250004</v>
      </c>
      <c r="H55" s="111"/>
    </row>
    <row r="56" spans="1:8" ht="16.5">
      <c r="A56" s="678" t="s">
        <v>455</v>
      </c>
      <c r="B56" s="626" t="s">
        <v>65</v>
      </c>
      <c r="C56" s="627"/>
      <c r="D56" s="627"/>
      <c r="E56" s="627">
        <v>1871.09447</v>
      </c>
      <c r="F56" s="627">
        <v>1871.09447</v>
      </c>
      <c r="G56" s="679">
        <v>40344.540850000005</v>
      </c>
      <c r="H56" s="111"/>
    </row>
    <row r="57" spans="1:8" ht="9.75" customHeight="1">
      <c r="A57" s="674"/>
      <c r="B57" s="626" t="s">
        <v>64</v>
      </c>
      <c r="C57" s="627"/>
      <c r="D57" s="627"/>
      <c r="E57" s="627">
        <v>2084.2034100000001</v>
      </c>
      <c r="F57" s="627">
        <v>2084.2034100000001</v>
      </c>
      <c r="G57" s="679">
        <v>41578.856039999999</v>
      </c>
      <c r="H57" s="111"/>
    </row>
    <row r="58" spans="1:8" s="730" customFormat="1" ht="9.75" customHeight="1">
      <c r="A58" s="674"/>
      <c r="B58" s="626" t="s">
        <v>60</v>
      </c>
      <c r="C58" s="627"/>
      <c r="D58" s="627"/>
      <c r="E58" s="627">
        <v>3265.6924224999998</v>
      </c>
      <c r="F58" s="627">
        <v>3265.6924224999998</v>
      </c>
      <c r="G58" s="679">
        <v>70524.425657499989</v>
      </c>
      <c r="H58" s="111"/>
    </row>
    <row r="59" spans="1:8" s="730" customFormat="1" ht="9.75" customHeight="1">
      <c r="A59" s="674"/>
      <c r="B59" s="626" t="s">
        <v>57</v>
      </c>
      <c r="C59" s="627"/>
      <c r="D59" s="627"/>
      <c r="E59" s="627">
        <v>4687.4477399999996</v>
      </c>
      <c r="F59" s="627">
        <v>4687.4477399999996</v>
      </c>
      <c r="G59" s="679">
        <v>86748.351197500015</v>
      </c>
      <c r="H59" s="111"/>
    </row>
    <row r="60" spans="1:8" s="730" customFormat="1" ht="9.75" customHeight="1">
      <c r="A60" s="674"/>
      <c r="B60" s="626" t="s">
        <v>68</v>
      </c>
      <c r="C60" s="627"/>
      <c r="D60" s="627"/>
      <c r="E60" s="627">
        <v>978.89130250000005</v>
      </c>
      <c r="F60" s="627">
        <v>978.89130250000005</v>
      </c>
      <c r="G60" s="679">
        <v>23021.154970000003</v>
      </c>
      <c r="H60" s="111"/>
    </row>
    <row r="61" spans="1:8" s="730" customFormat="1" ht="9.75" customHeight="1">
      <c r="A61" s="674"/>
      <c r="B61" s="626" t="s">
        <v>67</v>
      </c>
      <c r="C61" s="627"/>
      <c r="D61" s="627"/>
      <c r="E61" s="627">
        <v>1206.4332449999999</v>
      </c>
      <c r="F61" s="627">
        <v>1206.4332449999999</v>
      </c>
      <c r="G61" s="679">
        <v>26089.887912500002</v>
      </c>
      <c r="H61" s="111"/>
    </row>
    <row r="62" spans="1:8">
      <c r="A62" s="785" t="s">
        <v>505</v>
      </c>
      <c r="B62" s="512"/>
      <c r="C62" s="513"/>
      <c r="D62" s="513"/>
      <c r="E62" s="513">
        <v>14093.76259</v>
      </c>
      <c r="F62" s="513">
        <v>14093.76259</v>
      </c>
      <c r="G62" s="513">
        <v>288307.21662750002</v>
      </c>
      <c r="H62" s="111"/>
    </row>
    <row r="63" spans="1:8" ht="9.75" customHeight="1">
      <c r="A63" s="674" t="s">
        <v>88</v>
      </c>
      <c r="B63" s="626" t="s">
        <v>465</v>
      </c>
      <c r="C63" s="627">
        <v>49726.584990000003</v>
      </c>
      <c r="D63" s="627"/>
      <c r="E63" s="627"/>
      <c r="F63" s="627">
        <v>49726.584990000003</v>
      </c>
      <c r="G63" s="679">
        <v>527393.69856499997</v>
      </c>
      <c r="H63" s="111"/>
    </row>
    <row r="64" spans="1:8" ht="9.75" customHeight="1">
      <c r="A64" s="674"/>
      <c r="B64" s="626" t="s">
        <v>304</v>
      </c>
      <c r="C64" s="627">
        <v>19681.353512499998</v>
      </c>
      <c r="D64" s="627"/>
      <c r="E64" s="627"/>
      <c r="F64" s="627">
        <v>19681.353512499998</v>
      </c>
      <c r="G64" s="679">
        <v>176061.5770325</v>
      </c>
      <c r="H64" s="197"/>
    </row>
    <row r="65" spans="1:8" ht="9.75" customHeight="1">
      <c r="A65" s="674"/>
      <c r="B65" s="626" t="s">
        <v>305</v>
      </c>
      <c r="C65" s="627">
        <v>95977.012770000001</v>
      </c>
      <c r="D65" s="627"/>
      <c r="E65" s="627"/>
      <c r="F65" s="627">
        <v>95977.012770000001</v>
      </c>
      <c r="G65" s="679">
        <v>969662.39253500011</v>
      </c>
      <c r="H65" s="197"/>
    </row>
    <row r="66" spans="1:8" ht="9.75" customHeight="1">
      <c r="A66" s="674"/>
      <c r="B66" s="626" t="s">
        <v>306</v>
      </c>
      <c r="C66" s="627">
        <v>57558.790970000002</v>
      </c>
      <c r="D66" s="627"/>
      <c r="E66" s="627"/>
      <c r="F66" s="627">
        <v>57558.790970000002</v>
      </c>
      <c r="G66" s="679">
        <v>750589.94355000008</v>
      </c>
      <c r="H66" s="197"/>
    </row>
    <row r="67" spans="1:8" ht="9.75" customHeight="1">
      <c r="A67" s="674"/>
      <c r="B67" s="626" t="s">
        <v>307</v>
      </c>
      <c r="C67" s="627">
        <v>45311.1018625</v>
      </c>
      <c r="D67" s="627"/>
      <c r="E67" s="627"/>
      <c r="F67" s="627">
        <v>45311.1018625</v>
      </c>
      <c r="G67" s="679">
        <v>437494.92709000001</v>
      </c>
      <c r="H67" s="197"/>
    </row>
    <row r="68" spans="1:8" ht="9.75" customHeight="1">
      <c r="A68" s="674"/>
      <c r="B68" s="626" t="s">
        <v>308</v>
      </c>
      <c r="C68" s="627"/>
      <c r="D68" s="627">
        <v>8159.4861300000002</v>
      </c>
      <c r="E68" s="627"/>
      <c r="F68" s="627">
        <v>8159.4861300000002</v>
      </c>
      <c r="G68" s="679">
        <v>14604.67683</v>
      </c>
      <c r="H68" s="197"/>
    </row>
    <row r="69" spans="1:8" ht="9.75" customHeight="1">
      <c r="A69" s="674"/>
      <c r="B69" s="626" t="s">
        <v>309</v>
      </c>
      <c r="C69" s="627"/>
      <c r="D69" s="627">
        <v>27787.349184999999</v>
      </c>
      <c r="E69" s="627"/>
      <c r="F69" s="627">
        <v>27787.349184999999</v>
      </c>
      <c r="G69" s="679">
        <v>75437.356667500004</v>
      </c>
      <c r="H69" s="197"/>
    </row>
    <row r="70" spans="1:8" ht="9.75" customHeight="1">
      <c r="A70" s="674"/>
      <c r="B70" s="626" t="s">
        <v>310</v>
      </c>
      <c r="C70" s="627"/>
      <c r="D70" s="627">
        <v>289606.63497999997</v>
      </c>
      <c r="E70" s="627"/>
      <c r="F70" s="627">
        <v>289606.63497999997</v>
      </c>
      <c r="G70" s="679">
        <v>1996166.7905199998</v>
      </c>
    </row>
    <row r="71" spans="1:8" ht="9.75" customHeight="1">
      <c r="A71" s="674"/>
      <c r="B71" s="626" t="s">
        <v>416</v>
      </c>
      <c r="C71" s="627"/>
      <c r="D71" s="627"/>
      <c r="E71" s="627">
        <v>433.33938749999999</v>
      </c>
      <c r="F71" s="627">
        <v>433.33938749999999</v>
      </c>
      <c r="G71" s="679">
        <v>3906.8893125000009</v>
      </c>
    </row>
    <row r="72" spans="1:8" ht="9.75" customHeight="1">
      <c r="A72" s="676" t="s">
        <v>506</v>
      </c>
      <c r="B72" s="512"/>
      <c r="C72" s="513">
        <v>268254.84410500003</v>
      </c>
      <c r="D72" s="513">
        <v>325553.47029499995</v>
      </c>
      <c r="E72" s="513">
        <v>433.33938749999999</v>
      </c>
      <c r="F72" s="513">
        <v>594241.65378749999</v>
      </c>
      <c r="G72" s="680">
        <v>4951318.2521024998</v>
      </c>
    </row>
    <row r="73" spans="1:8" ht="9.75" customHeight="1">
      <c r="A73" s="674" t="s">
        <v>96</v>
      </c>
      <c r="B73" s="626" t="s">
        <v>311</v>
      </c>
      <c r="C73" s="627"/>
      <c r="D73" s="627">
        <v>1426.04943</v>
      </c>
      <c r="E73" s="627"/>
      <c r="F73" s="627">
        <v>1426.04943</v>
      </c>
      <c r="G73" s="679">
        <v>17371.712739999999</v>
      </c>
    </row>
    <row r="74" spans="1:8" ht="9.75" customHeight="1">
      <c r="A74" s="674"/>
      <c r="B74" s="626" t="s">
        <v>312</v>
      </c>
      <c r="C74" s="627"/>
      <c r="D74" s="627">
        <v>61348.971047500003</v>
      </c>
      <c r="E74" s="627"/>
      <c r="F74" s="627">
        <v>61348.971047500003</v>
      </c>
      <c r="G74" s="679">
        <v>449121.09354749997</v>
      </c>
    </row>
    <row r="75" spans="1:8" ht="9.75" customHeight="1">
      <c r="A75" s="674"/>
      <c r="B75" s="626" t="s">
        <v>313</v>
      </c>
      <c r="C75" s="627"/>
      <c r="D75" s="627">
        <v>7146.4840224999998</v>
      </c>
      <c r="E75" s="627"/>
      <c r="F75" s="627">
        <v>7146.4840224999998</v>
      </c>
      <c r="G75" s="679">
        <v>26334.459202500002</v>
      </c>
    </row>
    <row r="76" spans="1:8">
      <c r="A76" s="785" t="s">
        <v>507</v>
      </c>
      <c r="B76" s="512"/>
      <c r="C76" s="513"/>
      <c r="D76" s="513">
        <v>69921.504499999995</v>
      </c>
      <c r="E76" s="513"/>
      <c r="F76" s="513">
        <v>69921.504499999995</v>
      </c>
      <c r="G76" s="680">
        <v>492827.26548999996</v>
      </c>
    </row>
    <row r="77" spans="1:8" ht="9.75" customHeight="1">
      <c r="A77" s="674" t="s">
        <v>98</v>
      </c>
      <c r="B77" s="626" t="s">
        <v>427</v>
      </c>
      <c r="C77" s="627"/>
      <c r="D77" s="627"/>
      <c r="E77" s="627">
        <v>43315.15238</v>
      </c>
      <c r="F77" s="627">
        <v>43315.15238</v>
      </c>
      <c r="G77" s="679">
        <v>347994.44337250001</v>
      </c>
    </row>
    <row r="78" spans="1:8" ht="9.75" customHeight="1">
      <c r="A78" s="674"/>
      <c r="B78" s="626" t="s">
        <v>426</v>
      </c>
      <c r="C78" s="627"/>
      <c r="D78" s="627"/>
      <c r="E78" s="627">
        <v>60965.152247500002</v>
      </c>
      <c r="F78" s="627">
        <v>60965.152247500002</v>
      </c>
      <c r="G78" s="679">
        <v>518959.15632750007</v>
      </c>
    </row>
    <row r="79" spans="1:8">
      <c r="A79" s="785" t="s">
        <v>508</v>
      </c>
      <c r="B79" s="512"/>
      <c r="C79" s="513"/>
      <c r="D79" s="513"/>
      <c r="E79" s="513">
        <v>104280.30462750001</v>
      </c>
      <c r="F79" s="513">
        <v>104280.30462750001</v>
      </c>
      <c r="G79" s="680">
        <v>866953.59970000014</v>
      </c>
    </row>
    <row r="80" spans="1:8" ht="9.75" customHeight="1">
      <c r="A80" s="674" t="s">
        <v>97</v>
      </c>
      <c r="B80" s="626" t="s">
        <v>77</v>
      </c>
      <c r="C80" s="627"/>
      <c r="D80" s="627"/>
      <c r="E80" s="627">
        <v>31141.574832499999</v>
      </c>
      <c r="F80" s="627">
        <v>31141.574832499999</v>
      </c>
      <c r="G80" s="679">
        <v>299481.00767250004</v>
      </c>
    </row>
    <row r="81" spans="1:7" ht="9.75" customHeight="1">
      <c r="A81" s="674"/>
      <c r="B81" s="626" t="s">
        <v>79</v>
      </c>
      <c r="C81" s="627"/>
      <c r="D81" s="627"/>
      <c r="E81" s="627">
        <v>12198.4962225</v>
      </c>
      <c r="F81" s="627">
        <v>12198.4962225</v>
      </c>
      <c r="G81" s="679">
        <v>111078.94518000001</v>
      </c>
    </row>
    <row r="82" spans="1:7" ht="9.75" customHeight="1">
      <c r="A82" s="692" t="s">
        <v>509</v>
      </c>
      <c r="B82" s="634"/>
      <c r="C82" s="635"/>
      <c r="D82" s="635"/>
      <c r="E82" s="635">
        <v>43340.071055</v>
      </c>
      <c r="F82" s="635">
        <v>43340.071055</v>
      </c>
      <c r="G82" s="693">
        <v>410559.95285250002</v>
      </c>
    </row>
    <row r="83" spans="1:7" ht="9.75" customHeight="1">
      <c r="A83" s="331"/>
      <c r="B83" s="331"/>
      <c r="C83" s="438"/>
      <c r="D83" s="438"/>
      <c r="E83" s="438"/>
      <c r="F83" s="331"/>
      <c r="G83" s="331"/>
    </row>
    <row r="84" spans="1:7" ht="9.75" customHeight="1">
      <c r="A84" s="331"/>
      <c r="B84" s="331"/>
      <c r="C84" s="438"/>
      <c r="D84" s="438"/>
      <c r="E84" s="438"/>
      <c r="F84" s="331"/>
      <c r="G84" s="331"/>
    </row>
    <row r="85" spans="1:7" ht="9.75" customHeight="1">
      <c r="A85" s="331"/>
      <c r="B85" s="331"/>
      <c r="C85" s="438"/>
      <c r="D85" s="438"/>
      <c r="E85" s="438"/>
      <c r="F85" s="331"/>
      <c r="G85" s="331"/>
    </row>
    <row r="86" spans="1:7" ht="9.75" customHeight="1">
      <c r="A86" s="331"/>
      <c r="B86" s="331"/>
      <c r="C86" s="438"/>
      <c r="D86" s="438"/>
      <c r="E86" s="438"/>
      <c r="F86" s="331"/>
      <c r="G86" s="331"/>
    </row>
    <row r="87" spans="1:7" ht="9.75" customHeight="1">
      <c r="A87" s="331"/>
      <c r="B87" s="331"/>
      <c r="C87" s="438"/>
      <c r="D87" s="438"/>
      <c r="E87" s="438"/>
      <c r="F87" s="331"/>
      <c r="G87" s="331"/>
    </row>
    <row r="88" spans="1:7" ht="9.75" customHeight="1">
      <c r="A88" s="331"/>
      <c r="B88" s="331"/>
      <c r="C88" s="438"/>
      <c r="D88" s="438"/>
      <c r="E88" s="438"/>
      <c r="F88" s="331"/>
      <c r="G88" s="331"/>
    </row>
    <row r="89" spans="1:7" ht="9.75" customHeight="1">
      <c r="A89" s="331"/>
      <c r="B89" s="331"/>
      <c r="C89" s="438"/>
      <c r="D89" s="438"/>
      <c r="E89" s="438"/>
      <c r="F89" s="331"/>
      <c r="G89" s="331"/>
    </row>
    <row r="90" spans="1:7" ht="9.75" customHeight="1">
      <c r="A90" s="331"/>
      <c r="B90" s="331"/>
      <c r="C90" s="438"/>
      <c r="D90" s="438"/>
      <c r="E90" s="438"/>
      <c r="F90" s="331"/>
      <c r="G90" s="331"/>
    </row>
    <row r="91" spans="1:7" ht="9.75" customHeight="1">
      <c r="A91" s="331"/>
      <c r="B91" s="331"/>
      <c r="C91" s="438"/>
      <c r="D91" s="438"/>
      <c r="E91" s="438"/>
      <c r="F91" s="331"/>
      <c r="G91" s="331"/>
    </row>
    <row r="92" spans="1:7" ht="9.75" customHeight="1">
      <c r="A92" s="331"/>
      <c r="B92" s="331"/>
      <c r="C92" s="438"/>
      <c r="D92" s="438"/>
      <c r="E92" s="438"/>
      <c r="F92" s="331"/>
      <c r="G92" s="331"/>
    </row>
    <row r="93" spans="1:7" ht="9.75" customHeight="1">
      <c r="A93" s="331"/>
      <c r="B93" s="331"/>
      <c r="C93" s="438"/>
      <c r="D93" s="438"/>
      <c r="E93" s="438"/>
      <c r="F93" s="331"/>
      <c r="G93" s="331"/>
    </row>
    <row r="94" spans="1:7" ht="9.75" customHeight="1">
      <c r="A94" s="331"/>
      <c r="B94" s="331"/>
      <c r="C94" s="438"/>
      <c r="D94" s="438"/>
      <c r="E94" s="438"/>
      <c r="F94" s="331"/>
      <c r="G94" s="331"/>
    </row>
    <row r="95" spans="1:7" ht="9.75" customHeight="1">
      <c r="A95" s="331"/>
      <c r="B95" s="331"/>
      <c r="C95" s="438"/>
      <c r="D95" s="438"/>
      <c r="E95" s="438"/>
      <c r="F95" s="331"/>
      <c r="G95" s="331"/>
    </row>
    <row r="96" spans="1:7" ht="9.75" customHeight="1">
      <c r="A96" s="331"/>
      <c r="B96" s="331"/>
      <c r="C96" s="438"/>
      <c r="D96" s="438"/>
      <c r="E96" s="438"/>
      <c r="F96" s="331"/>
      <c r="G96" s="331"/>
    </row>
    <row r="97" spans="1:7" ht="9.75" customHeight="1">
      <c r="A97" s="331"/>
      <c r="B97" s="331"/>
      <c r="C97" s="438"/>
      <c r="D97" s="438"/>
      <c r="E97" s="438"/>
      <c r="F97" s="331"/>
      <c r="G97" s="331"/>
    </row>
    <row r="98" spans="1:7" ht="9.75" customHeight="1">
      <c r="A98" s="331"/>
      <c r="B98" s="331"/>
      <c r="C98" s="438"/>
      <c r="D98" s="438"/>
      <c r="E98" s="438"/>
      <c r="F98" s="331"/>
      <c r="G98" s="331"/>
    </row>
    <row r="99" spans="1:7" ht="9.75" customHeight="1">
      <c r="A99" s="331"/>
      <c r="B99" s="331"/>
      <c r="C99" s="438"/>
      <c r="D99" s="438"/>
      <c r="E99" s="438"/>
      <c r="F99" s="331"/>
      <c r="G99" s="331"/>
    </row>
    <row r="100" spans="1:7" ht="9.75" customHeight="1">
      <c r="A100" s="331"/>
      <c r="B100" s="331"/>
      <c r="C100" s="438"/>
      <c r="D100" s="438"/>
      <c r="E100" s="438"/>
      <c r="F100" s="331"/>
      <c r="G100" s="331"/>
    </row>
    <row r="101" spans="1:7" ht="9.75" customHeight="1">
      <c r="A101" s="331"/>
      <c r="B101" s="331"/>
      <c r="C101" s="438"/>
      <c r="D101" s="438"/>
      <c r="E101" s="438"/>
      <c r="F101" s="331"/>
      <c r="G101" s="331"/>
    </row>
    <row r="102" spans="1:7" ht="9.75" customHeight="1">
      <c r="A102" s="331"/>
      <c r="B102" s="331"/>
      <c r="C102" s="438"/>
      <c r="D102" s="438"/>
      <c r="E102" s="438"/>
      <c r="F102" s="331"/>
      <c r="G102" s="331"/>
    </row>
    <row r="103" spans="1:7" ht="9.75" customHeight="1">
      <c r="A103" s="331"/>
      <c r="B103" s="331"/>
      <c r="C103" s="438"/>
      <c r="D103" s="438"/>
      <c r="E103" s="438"/>
      <c r="F103" s="331"/>
      <c r="G103" s="331"/>
    </row>
    <row r="104" spans="1:7" ht="9.75" customHeight="1">
      <c r="A104" s="331"/>
      <c r="B104" s="331"/>
      <c r="C104" s="438"/>
      <c r="D104" s="438"/>
      <c r="E104" s="438"/>
      <c r="F104" s="331"/>
      <c r="G104" s="331"/>
    </row>
    <row r="105" spans="1:7" ht="9.75" customHeight="1">
      <c r="A105" s="331"/>
      <c r="B105" s="331"/>
      <c r="C105" s="438"/>
      <c r="D105" s="438"/>
      <c r="E105" s="438"/>
      <c r="F105" s="331"/>
      <c r="G105" s="331"/>
    </row>
    <row r="106" spans="1:7" ht="9.75" customHeight="1">
      <c r="A106" s="331"/>
      <c r="B106" s="331"/>
      <c r="C106" s="438"/>
      <c r="D106" s="438"/>
      <c r="E106" s="438"/>
      <c r="F106" s="331"/>
      <c r="G106" s="331"/>
    </row>
    <row r="107" spans="1:7" ht="9.75" customHeight="1">
      <c r="A107" s="331"/>
      <c r="B107" s="331"/>
      <c r="C107" s="438"/>
      <c r="D107" s="438"/>
      <c r="E107" s="438"/>
      <c r="F107" s="331"/>
      <c r="G107" s="331"/>
    </row>
    <row r="108" spans="1:7" ht="9.75" customHeight="1">
      <c r="A108" s="331"/>
      <c r="B108" s="331"/>
      <c r="C108" s="438"/>
      <c r="D108" s="438"/>
      <c r="E108" s="438"/>
      <c r="F108" s="331"/>
      <c r="G108" s="331"/>
    </row>
    <row r="109" spans="1:7" ht="9.75" customHeight="1">
      <c r="A109" s="331"/>
      <c r="B109" s="331"/>
      <c r="C109" s="438"/>
      <c r="D109" s="438"/>
      <c r="E109" s="438"/>
      <c r="F109" s="331"/>
      <c r="G109" s="331"/>
    </row>
    <row r="110" spans="1:7" ht="9.75" customHeight="1">
      <c r="A110" s="331"/>
      <c r="B110" s="331"/>
      <c r="C110" s="438"/>
      <c r="D110" s="438"/>
      <c r="E110" s="438"/>
      <c r="F110" s="331"/>
      <c r="G110" s="331"/>
    </row>
    <row r="111" spans="1:7" ht="9.75" customHeight="1">
      <c r="A111" s="331"/>
      <c r="B111" s="331"/>
      <c r="C111" s="438"/>
      <c r="D111" s="438"/>
      <c r="E111" s="438"/>
      <c r="F111" s="331"/>
      <c r="G111" s="331"/>
    </row>
    <row r="112" spans="1:7" ht="9.75" customHeight="1">
      <c r="A112" s="331"/>
      <c r="B112" s="331"/>
      <c r="C112" s="438"/>
      <c r="D112" s="438"/>
      <c r="E112" s="438"/>
      <c r="F112" s="331"/>
      <c r="G112" s="331"/>
    </row>
    <row r="113" spans="1:7" ht="9.75" customHeight="1">
      <c r="A113" s="331"/>
      <c r="B113" s="331"/>
      <c r="C113" s="438"/>
      <c r="D113" s="438"/>
      <c r="E113" s="438"/>
      <c r="F113" s="331"/>
      <c r="G113" s="331"/>
    </row>
    <row r="114" spans="1:7" ht="9.75" customHeight="1">
      <c r="A114" s="331"/>
      <c r="B114" s="331"/>
      <c r="C114" s="438"/>
      <c r="D114" s="438"/>
      <c r="E114" s="438"/>
      <c r="F114" s="331"/>
      <c r="G114" s="331"/>
    </row>
    <row r="115" spans="1:7" ht="9.75" customHeight="1">
      <c r="A115" s="331"/>
      <c r="B115" s="331"/>
      <c r="C115" s="438"/>
      <c r="D115" s="438"/>
      <c r="E115" s="438"/>
      <c r="F115" s="331"/>
      <c r="G115" s="331"/>
    </row>
    <row r="116" spans="1:7" ht="9.75" customHeight="1">
      <c r="A116" s="331"/>
      <c r="B116" s="331"/>
      <c r="C116" s="438"/>
      <c r="D116" s="438"/>
      <c r="E116" s="438"/>
      <c r="F116" s="331"/>
      <c r="G116" s="331"/>
    </row>
    <row r="117" spans="1:7" ht="9.75" customHeight="1">
      <c r="A117" s="331"/>
      <c r="B117" s="331"/>
      <c r="C117" s="438"/>
      <c r="D117" s="438"/>
      <c r="E117" s="438"/>
      <c r="F117" s="331"/>
      <c r="G117" s="331"/>
    </row>
    <row r="118" spans="1:7" ht="9.75" customHeight="1">
      <c r="A118" s="331"/>
      <c r="B118" s="331"/>
      <c r="C118" s="438"/>
      <c r="D118" s="438"/>
      <c r="E118" s="438"/>
      <c r="F118" s="331"/>
      <c r="G118" s="331"/>
    </row>
    <row r="119" spans="1:7" ht="9.75" customHeight="1">
      <c r="A119" s="331"/>
      <c r="B119" s="331"/>
      <c r="C119" s="438"/>
      <c r="D119" s="438"/>
      <c r="E119" s="438"/>
      <c r="F119" s="331"/>
      <c r="G119" s="331"/>
    </row>
    <row r="120" spans="1:7" ht="9.75" customHeight="1">
      <c r="A120" s="331"/>
      <c r="B120" s="331"/>
      <c r="C120" s="438"/>
      <c r="D120" s="438"/>
      <c r="E120" s="438"/>
      <c r="F120" s="331"/>
      <c r="G120" s="331"/>
    </row>
    <row r="121" spans="1:7" ht="9.75" customHeight="1">
      <c r="A121" s="331"/>
      <c r="B121" s="331"/>
      <c r="C121" s="438"/>
      <c r="D121" s="438"/>
      <c r="E121" s="438"/>
      <c r="F121" s="331"/>
      <c r="G121" s="331"/>
    </row>
    <row r="122" spans="1:7" ht="9.75" customHeight="1">
      <c r="A122" s="331"/>
      <c r="B122" s="331"/>
      <c r="C122" s="438"/>
      <c r="D122" s="438"/>
      <c r="E122" s="438"/>
      <c r="F122" s="331"/>
      <c r="G122" s="331"/>
    </row>
    <row r="123" spans="1:7" ht="9.75" customHeight="1">
      <c r="A123" s="331"/>
      <c r="B123" s="331"/>
      <c r="C123" s="438"/>
      <c r="D123" s="438"/>
      <c r="E123" s="438"/>
      <c r="F123" s="331"/>
      <c r="G123" s="331"/>
    </row>
    <row r="124" spans="1:7" ht="9.75" customHeight="1">
      <c r="A124" s="331"/>
      <c r="B124" s="331"/>
      <c r="C124" s="438"/>
      <c r="D124" s="438"/>
      <c r="E124" s="438"/>
      <c r="F124" s="331"/>
      <c r="G124" s="331"/>
    </row>
    <row r="125" spans="1:7" ht="9.75" customHeight="1">
      <c r="A125" s="331"/>
      <c r="B125" s="331"/>
      <c r="C125" s="438"/>
      <c r="D125" s="438"/>
      <c r="E125" s="438"/>
      <c r="F125" s="331"/>
      <c r="G125" s="331"/>
    </row>
    <row r="126" spans="1:7" ht="9.75" customHeight="1">
      <c r="A126" s="331"/>
      <c r="B126" s="331"/>
      <c r="C126" s="438"/>
      <c r="D126" s="438"/>
      <c r="E126" s="438"/>
      <c r="F126" s="331"/>
      <c r="G126" s="331"/>
    </row>
    <row r="127" spans="1:7" ht="9.75" customHeight="1">
      <c r="A127" s="331"/>
      <c r="B127" s="331"/>
      <c r="C127" s="438"/>
      <c r="D127" s="438"/>
      <c r="E127" s="438"/>
      <c r="F127" s="331"/>
      <c r="G127" s="331"/>
    </row>
    <row r="128" spans="1:7" ht="9.75" customHeight="1">
      <c r="A128" s="331"/>
      <c r="B128" s="331"/>
      <c r="C128" s="438"/>
      <c r="D128" s="438"/>
      <c r="E128" s="438"/>
      <c r="F128" s="331"/>
      <c r="G128" s="331"/>
    </row>
    <row r="129" spans="1:7" ht="9.75" customHeight="1">
      <c r="A129" s="331"/>
      <c r="B129" s="331"/>
      <c r="C129" s="438"/>
      <c r="D129" s="438"/>
      <c r="E129" s="438"/>
      <c r="F129" s="331"/>
      <c r="G129" s="331"/>
    </row>
    <row r="130" spans="1:7" ht="9.75" customHeight="1">
      <c r="A130" s="331"/>
      <c r="B130" s="331"/>
      <c r="C130" s="438"/>
      <c r="D130" s="438"/>
      <c r="E130" s="438"/>
      <c r="F130" s="331"/>
      <c r="G130" s="331"/>
    </row>
    <row r="131" spans="1:7" ht="9.75" customHeight="1">
      <c r="A131" s="331"/>
      <c r="B131" s="331"/>
      <c r="C131" s="438"/>
      <c r="D131" s="438"/>
      <c r="E131" s="438"/>
      <c r="F131" s="331"/>
      <c r="G131" s="331"/>
    </row>
    <row r="132" spans="1:7" ht="9.75" customHeight="1">
      <c r="A132" s="331"/>
      <c r="B132" s="331"/>
      <c r="C132" s="438"/>
      <c r="D132" s="438"/>
      <c r="E132" s="438"/>
      <c r="F132" s="331"/>
      <c r="G132" s="331"/>
    </row>
    <row r="133" spans="1:7" ht="9.75" customHeight="1">
      <c r="A133" s="331"/>
      <c r="B133" s="331"/>
      <c r="C133" s="438"/>
      <c r="D133" s="438"/>
      <c r="E133" s="438"/>
      <c r="F133" s="331"/>
      <c r="G133" s="331"/>
    </row>
    <row r="134" spans="1:7" ht="9.75" customHeight="1">
      <c r="A134" s="331"/>
      <c r="B134" s="331"/>
      <c r="C134" s="438"/>
      <c r="D134" s="438"/>
      <c r="E134" s="438"/>
      <c r="F134" s="331"/>
      <c r="G134" s="331"/>
    </row>
    <row r="135" spans="1:7" ht="9.75" customHeight="1">
      <c r="A135" s="331"/>
      <c r="B135" s="331"/>
      <c r="C135" s="438"/>
      <c r="D135" s="438"/>
      <c r="E135" s="438"/>
      <c r="F135" s="331"/>
      <c r="G135" s="331"/>
    </row>
    <row r="136" spans="1:7" ht="9.75" customHeight="1">
      <c r="A136" s="331"/>
      <c r="B136" s="331"/>
      <c r="C136" s="438"/>
      <c r="D136" s="438"/>
      <c r="E136" s="438"/>
      <c r="F136" s="331"/>
      <c r="G136" s="331"/>
    </row>
    <row r="137" spans="1:7" ht="9.75" customHeight="1">
      <c r="A137" s="331"/>
      <c r="B137" s="331"/>
      <c r="C137" s="438"/>
      <c r="D137" s="438"/>
      <c r="E137" s="438"/>
      <c r="F137" s="331"/>
      <c r="G137" s="331"/>
    </row>
    <row r="138" spans="1:7" ht="9.75" customHeight="1">
      <c r="A138" s="331"/>
      <c r="B138" s="331"/>
      <c r="C138" s="438"/>
      <c r="D138" s="438"/>
      <c r="E138" s="438"/>
      <c r="F138" s="331"/>
      <c r="G138" s="331"/>
    </row>
    <row r="139" spans="1:7" ht="9.75" customHeight="1">
      <c r="A139" s="331"/>
      <c r="B139" s="331"/>
      <c r="C139" s="438"/>
      <c r="D139" s="438"/>
      <c r="E139" s="438"/>
      <c r="F139" s="331"/>
      <c r="G139" s="331"/>
    </row>
    <row r="140" spans="1:7" ht="9.75" customHeight="1">
      <c r="A140" s="331"/>
      <c r="B140" s="331"/>
      <c r="C140" s="438"/>
      <c r="D140" s="438"/>
      <c r="E140" s="438"/>
      <c r="F140" s="331"/>
      <c r="G140" s="331"/>
    </row>
    <row r="141" spans="1:7" ht="9.75" customHeight="1">
      <c r="A141" s="331"/>
      <c r="B141" s="331"/>
      <c r="C141" s="438"/>
      <c r="D141" s="438"/>
      <c r="E141" s="438"/>
      <c r="F141" s="331"/>
      <c r="G141" s="331"/>
    </row>
    <row r="142" spans="1:7" ht="9.75" customHeight="1">
      <c r="A142" s="331"/>
      <c r="B142" s="331"/>
      <c r="C142" s="438"/>
      <c r="D142" s="438"/>
      <c r="E142" s="438"/>
      <c r="F142" s="331"/>
      <c r="G142" s="331"/>
    </row>
    <row r="143" spans="1:7" ht="9.75" customHeight="1">
      <c r="A143" s="331"/>
      <c r="B143" s="331"/>
      <c r="C143" s="438"/>
      <c r="D143" s="438"/>
      <c r="E143" s="438"/>
      <c r="F143" s="331"/>
      <c r="G143" s="331"/>
    </row>
    <row r="144" spans="1:7" ht="9.75" customHeight="1">
      <c r="A144" s="331"/>
      <c r="B144" s="331"/>
      <c r="C144" s="438"/>
      <c r="D144" s="438"/>
      <c r="E144" s="438"/>
      <c r="F144" s="331"/>
      <c r="G144" s="331"/>
    </row>
    <row r="145" spans="1:7" ht="9.75" customHeight="1">
      <c r="A145" s="331"/>
      <c r="B145" s="331"/>
      <c r="C145" s="438"/>
      <c r="D145" s="438"/>
      <c r="E145" s="438"/>
      <c r="F145" s="331"/>
      <c r="G145" s="331"/>
    </row>
    <row r="146" spans="1:7" ht="9.75" customHeight="1">
      <c r="A146" s="331"/>
      <c r="B146" s="331"/>
      <c r="C146" s="438"/>
      <c r="D146" s="438"/>
      <c r="E146" s="438"/>
      <c r="F146" s="331"/>
      <c r="G146" s="331"/>
    </row>
    <row r="147" spans="1:7" ht="9.75" customHeight="1">
      <c r="A147" s="331"/>
      <c r="B147" s="331"/>
      <c r="C147" s="438"/>
      <c r="D147" s="438"/>
      <c r="E147" s="438"/>
      <c r="F147" s="331"/>
      <c r="G147" s="331"/>
    </row>
    <row r="148" spans="1:7" ht="9.75" customHeight="1">
      <c r="A148" s="331"/>
      <c r="B148" s="331"/>
      <c r="C148" s="438"/>
      <c r="D148" s="438"/>
      <c r="E148" s="438"/>
      <c r="F148" s="331"/>
      <c r="G148" s="331"/>
    </row>
    <row r="149" spans="1:7" ht="9.75" customHeight="1">
      <c r="A149" s="331"/>
      <c r="B149" s="331"/>
      <c r="C149" s="438"/>
      <c r="D149" s="438"/>
      <c r="E149" s="438"/>
      <c r="F149" s="331"/>
      <c r="G149" s="331"/>
    </row>
    <row r="150" spans="1:7" ht="9.75" customHeight="1">
      <c r="A150" s="331"/>
      <c r="B150" s="331"/>
      <c r="C150" s="438"/>
      <c r="D150" s="438"/>
      <c r="E150" s="438"/>
      <c r="F150" s="331"/>
      <c r="G150" s="331"/>
    </row>
    <row r="151" spans="1:7" ht="9.75" customHeight="1">
      <c r="A151" s="331"/>
      <c r="B151" s="331"/>
      <c r="C151" s="438"/>
      <c r="D151" s="438"/>
      <c r="E151" s="438"/>
      <c r="F151" s="331"/>
      <c r="G151" s="331"/>
    </row>
    <row r="152" spans="1:7" ht="9.75" customHeight="1">
      <c r="A152" s="331"/>
      <c r="B152" s="331"/>
      <c r="C152" s="438"/>
      <c r="D152" s="438"/>
      <c r="E152" s="438"/>
      <c r="F152" s="331"/>
      <c r="G152" s="331"/>
    </row>
    <row r="153" spans="1:7" ht="9.75" customHeight="1">
      <c r="A153" s="331"/>
      <c r="B153" s="331"/>
      <c r="C153" s="438"/>
      <c r="D153" s="438"/>
      <c r="E153" s="438"/>
      <c r="F153" s="331"/>
      <c r="G153" s="331"/>
    </row>
    <row r="154" spans="1:7" ht="9.75" customHeight="1">
      <c r="A154" s="331"/>
      <c r="B154" s="331"/>
      <c r="C154" s="438"/>
      <c r="D154" s="438"/>
      <c r="E154" s="438"/>
      <c r="F154" s="331"/>
      <c r="G154" s="331"/>
    </row>
    <row r="155" spans="1:7" ht="9.75" customHeight="1">
      <c r="A155" s="331"/>
      <c r="B155" s="331"/>
      <c r="C155" s="438"/>
      <c r="D155" s="438"/>
      <c r="E155" s="438"/>
      <c r="F155" s="331"/>
      <c r="G155" s="331"/>
    </row>
    <row r="156" spans="1:7" ht="9.75" customHeight="1">
      <c r="A156" s="331"/>
      <c r="B156" s="331"/>
      <c r="C156" s="438"/>
      <c r="D156" s="438"/>
      <c r="E156" s="438"/>
      <c r="F156" s="331"/>
      <c r="G156" s="331"/>
    </row>
    <row r="157" spans="1:7" ht="9.75" customHeight="1">
      <c r="A157" s="331"/>
      <c r="B157" s="331"/>
      <c r="C157" s="438"/>
      <c r="D157" s="438"/>
      <c r="E157" s="438"/>
      <c r="F157" s="331"/>
      <c r="G157" s="331"/>
    </row>
    <row r="158" spans="1:7" ht="9.75" customHeight="1">
      <c r="A158" s="331"/>
      <c r="B158" s="331"/>
      <c r="C158" s="438"/>
      <c r="D158" s="438"/>
      <c r="E158" s="438"/>
      <c r="F158" s="331"/>
      <c r="G158" s="331"/>
    </row>
    <row r="159" spans="1:7" ht="9.75" customHeight="1">
      <c r="A159" s="331"/>
      <c r="B159" s="331"/>
      <c r="C159" s="438"/>
      <c r="D159" s="438"/>
      <c r="E159" s="438"/>
      <c r="F159" s="331"/>
      <c r="G159" s="331"/>
    </row>
    <row r="160" spans="1:7" ht="9.75" customHeight="1">
      <c r="A160" s="331"/>
      <c r="B160" s="331"/>
      <c r="C160" s="438"/>
      <c r="D160" s="438"/>
      <c r="E160" s="438"/>
      <c r="F160" s="331"/>
      <c r="G160" s="331"/>
    </row>
    <row r="161" spans="1:7" ht="9.75" customHeight="1">
      <c r="A161" s="331"/>
      <c r="B161" s="331"/>
      <c r="C161" s="438"/>
      <c r="D161" s="438"/>
      <c r="E161" s="438"/>
      <c r="F161" s="331"/>
      <c r="G161" s="331"/>
    </row>
    <row r="162" spans="1:7" ht="9.75" customHeight="1">
      <c r="A162" s="331"/>
      <c r="B162" s="331"/>
      <c r="C162" s="438"/>
      <c r="D162" s="438"/>
      <c r="E162" s="438"/>
      <c r="F162" s="331"/>
      <c r="G162" s="331"/>
    </row>
    <row r="163" spans="1:7" ht="9.75" customHeight="1">
      <c r="A163" s="331"/>
      <c r="B163" s="331"/>
      <c r="C163" s="438"/>
      <c r="D163" s="438"/>
      <c r="E163" s="438"/>
      <c r="F163" s="331"/>
      <c r="G163" s="331"/>
    </row>
    <row r="164" spans="1:7" ht="9.75" customHeight="1">
      <c r="A164" s="331"/>
      <c r="B164" s="331"/>
      <c r="C164" s="438"/>
      <c r="D164" s="438"/>
      <c r="E164" s="438"/>
      <c r="F164" s="331"/>
      <c r="G164" s="331"/>
    </row>
    <row r="165" spans="1:7" ht="9.75" customHeight="1">
      <c r="A165" s="331"/>
      <c r="B165" s="331"/>
      <c r="C165" s="438"/>
      <c r="D165" s="438"/>
      <c r="E165" s="438"/>
      <c r="F165" s="331"/>
      <c r="G165" s="331"/>
    </row>
    <row r="166" spans="1:7" ht="9.75" customHeight="1">
      <c r="A166" s="331"/>
      <c r="B166" s="331"/>
      <c r="C166" s="438"/>
      <c r="D166" s="438"/>
      <c r="E166" s="438"/>
      <c r="F166" s="331"/>
      <c r="G166" s="331"/>
    </row>
    <row r="167" spans="1:7" ht="9.75" customHeight="1">
      <c r="A167" s="331"/>
      <c r="B167" s="331"/>
      <c r="C167" s="438"/>
      <c r="D167" s="438"/>
      <c r="E167" s="438"/>
      <c r="F167" s="331"/>
      <c r="G167" s="331"/>
    </row>
    <row r="168" spans="1:7" ht="9.75" customHeight="1">
      <c r="A168" s="331"/>
      <c r="B168" s="331"/>
      <c r="C168" s="438"/>
      <c r="D168" s="438"/>
      <c r="E168" s="438"/>
      <c r="F168" s="331"/>
      <c r="G168" s="331"/>
    </row>
    <row r="169" spans="1:7" ht="9.75" customHeight="1">
      <c r="A169" s="331"/>
      <c r="B169" s="331"/>
      <c r="C169" s="438"/>
      <c r="D169" s="438"/>
      <c r="E169" s="438"/>
      <c r="F169" s="331"/>
      <c r="G169" s="331"/>
    </row>
    <row r="170" spans="1:7" ht="9.75" customHeight="1">
      <c r="A170" s="331"/>
      <c r="B170" s="331"/>
      <c r="C170" s="438"/>
      <c r="D170" s="438"/>
      <c r="E170" s="438"/>
      <c r="F170" s="331"/>
      <c r="G170" s="331"/>
    </row>
    <row r="171" spans="1:7" ht="9.75" customHeight="1">
      <c r="A171" s="331"/>
      <c r="B171" s="331"/>
      <c r="C171" s="438"/>
      <c r="D171" s="438"/>
      <c r="E171" s="438"/>
      <c r="F171" s="331"/>
      <c r="G171" s="331"/>
    </row>
    <row r="172" spans="1:7" ht="9.75" customHeight="1">
      <c r="A172" s="331"/>
      <c r="B172" s="331"/>
      <c r="C172" s="331"/>
      <c r="D172" s="331"/>
      <c r="E172" s="331"/>
      <c r="F172" s="331"/>
      <c r="G172" s="331"/>
    </row>
    <row r="173" spans="1:7" ht="9.75" customHeight="1">
      <c r="A173" s="331"/>
      <c r="B173" s="331"/>
      <c r="C173" s="331"/>
      <c r="D173" s="331"/>
      <c r="E173" s="331"/>
      <c r="F173" s="331"/>
      <c r="G173" s="331"/>
    </row>
    <row r="174" spans="1:7" ht="9.75" customHeight="1">
      <c r="A174" s="331"/>
      <c r="B174" s="331"/>
      <c r="C174" s="331"/>
      <c r="D174" s="331"/>
      <c r="E174" s="331"/>
      <c r="F174" s="331"/>
      <c r="G174" s="331"/>
    </row>
    <row r="175" spans="1:7" ht="9.75" customHeight="1">
      <c r="A175" s="331"/>
      <c r="B175" s="331"/>
      <c r="C175" s="331"/>
      <c r="D175" s="331"/>
      <c r="E175" s="331"/>
      <c r="F175" s="331"/>
      <c r="G175" s="331"/>
    </row>
    <row r="176" spans="1:7" ht="9.75" customHeight="1">
      <c r="A176" s="331"/>
      <c r="B176" s="331"/>
      <c r="C176" s="331"/>
      <c r="D176" s="331"/>
      <c r="E176" s="331"/>
      <c r="F176" s="331"/>
      <c r="G176" s="331"/>
    </row>
    <row r="177" spans="1:7" ht="9.75" customHeight="1">
      <c r="A177" s="331"/>
      <c r="B177" s="331"/>
      <c r="C177" s="331"/>
      <c r="D177" s="331"/>
      <c r="E177" s="331"/>
      <c r="F177" s="331"/>
      <c r="G177" s="331"/>
    </row>
    <row r="178" spans="1:7" ht="9.75" customHeight="1">
      <c r="A178" s="331"/>
      <c r="B178" s="331"/>
      <c r="C178" s="331"/>
      <c r="D178" s="331"/>
      <c r="E178" s="331"/>
      <c r="F178" s="331"/>
      <c r="G178" s="331"/>
    </row>
    <row r="179" spans="1:7" ht="9.75" customHeight="1">
      <c r="A179" s="331"/>
      <c r="B179" s="331"/>
      <c r="C179" s="331"/>
      <c r="D179" s="331"/>
      <c r="E179" s="331"/>
      <c r="F179" s="331"/>
      <c r="G179" s="331"/>
    </row>
    <row r="180" spans="1:7" ht="9.75" customHeight="1">
      <c r="A180" s="331"/>
      <c r="B180" s="331"/>
      <c r="C180" s="331"/>
      <c r="D180" s="331"/>
      <c r="E180" s="331"/>
      <c r="F180" s="331"/>
      <c r="G180" s="331"/>
    </row>
  </sheetData>
  <mergeCells count="5">
    <mergeCell ref="A2:A5"/>
    <mergeCell ref="B2:B5"/>
    <mergeCell ref="C2:F2"/>
    <mergeCell ref="C3:E3"/>
    <mergeCell ref="F3:F4"/>
  </mergeCells>
  <pageMargins left="0.70866141732283472" right="0.47244094488188981" top="1.0236220472440944" bottom="0.62992125984251968" header="0.31496062992125984" footer="0.31496062992125984"/>
  <pageSetup paperSize="9" scale="89" orientation="portrait" r:id="rId1"/>
  <headerFooter>
    <oddHeader>&amp;R&amp;7Informe de la Operación Mensual-Octubre 2020
INFSGI-MES-10-2020
12/11/2020
Versión: 01</oddHeader>
    <oddFooter>&amp;L&amp;7COES, 2020&amp;C18&amp;R&amp;7Dirección Ejecutiva
Sub Dirección de Gestión de Información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theme="4"/>
  </sheetPr>
  <dimension ref="A1:H90"/>
  <sheetViews>
    <sheetView showGridLines="0" view="pageBreakPreview" zoomScaleNormal="100" zoomScaleSheetLayoutView="100" zoomScalePageLayoutView="130" workbookViewId="0">
      <selection activeCell="B68" sqref="B68"/>
    </sheetView>
  </sheetViews>
  <sheetFormatPr defaultColWidth="9.33203125" defaultRowHeight="11.25"/>
  <cols>
    <col min="1" max="1" width="22.83203125" customWidth="1"/>
    <col min="2" max="2" width="21.33203125" customWidth="1"/>
    <col min="3" max="3" width="16.5" customWidth="1"/>
    <col min="4" max="4" width="18.5" customWidth="1"/>
    <col min="5" max="5" width="10.33203125" customWidth="1"/>
    <col min="6" max="6" width="12.5" customWidth="1"/>
    <col min="7" max="7" width="16.1640625" bestFit="1" customWidth="1"/>
    <col min="8" max="8" width="13" bestFit="1" customWidth="1"/>
  </cols>
  <sheetData>
    <row r="1" spans="1:8" ht="17.25" customHeight="1">
      <c r="A1" s="979" t="s">
        <v>250</v>
      </c>
      <c r="B1" s="982" t="s">
        <v>54</v>
      </c>
      <c r="C1" s="985" t="str">
        <f>+'18. ANEXOI-1'!C2:F2</f>
        <v>ENERGÍA PRODUCIDA OCTUBRE 2020</v>
      </c>
      <c r="D1" s="985"/>
      <c r="E1" s="985"/>
      <c r="F1" s="985"/>
      <c r="G1" s="631" t="s">
        <v>276</v>
      </c>
      <c r="H1" s="203"/>
    </row>
    <row r="2" spans="1:8" ht="11.25" customHeight="1">
      <c r="A2" s="980"/>
      <c r="B2" s="983"/>
      <c r="C2" s="986" t="s">
        <v>277</v>
      </c>
      <c r="D2" s="986"/>
      <c r="E2" s="986"/>
      <c r="F2" s="987" t="str">
        <f>"TOTAL 
"&amp;UPPER('1. Resumen'!Q4)</f>
        <v>TOTAL 
OCTUBRE</v>
      </c>
      <c r="G2" s="632" t="s">
        <v>278</v>
      </c>
      <c r="H2" s="194"/>
    </row>
    <row r="3" spans="1:8" ht="11.25" customHeight="1">
      <c r="A3" s="980"/>
      <c r="B3" s="983"/>
      <c r="C3" s="623" t="s">
        <v>215</v>
      </c>
      <c r="D3" s="623" t="s">
        <v>216</v>
      </c>
      <c r="E3" s="623" t="s">
        <v>279</v>
      </c>
      <c r="F3" s="988"/>
      <c r="G3" s="632">
        <v>2020</v>
      </c>
      <c r="H3" s="196"/>
    </row>
    <row r="4" spans="1:8" ht="11.25" customHeight="1">
      <c r="A4" s="989"/>
      <c r="B4" s="990"/>
      <c r="C4" s="624" t="s">
        <v>280</v>
      </c>
      <c r="D4" s="624" t="s">
        <v>280</v>
      </c>
      <c r="E4" s="624" t="s">
        <v>280</v>
      </c>
      <c r="F4" s="624" t="s">
        <v>280</v>
      </c>
      <c r="G4" s="633" t="s">
        <v>208</v>
      </c>
      <c r="H4" s="196"/>
    </row>
    <row r="5" spans="1:8" ht="10.5" customHeight="1">
      <c r="A5" s="674" t="s">
        <v>87</v>
      </c>
      <c r="B5" s="626" t="s">
        <v>314</v>
      </c>
      <c r="C5" s="627">
        <v>22191.473572500003</v>
      </c>
      <c r="D5" s="627"/>
      <c r="E5" s="627"/>
      <c r="F5" s="627">
        <v>22191.473572500003</v>
      </c>
      <c r="G5" s="679">
        <v>368283.71495499997</v>
      </c>
    </row>
    <row r="6" spans="1:8" ht="10.5" customHeight="1">
      <c r="A6" s="674"/>
      <c r="B6" s="626" t="s">
        <v>315</v>
      </c>
      <c r="C6" s="627">
        <v>50125.92686</v>
      </c>
      <c r="D6" s="627"/>
      <c r="E6" s="627"/>
      <c r="F6" s="627">
        <v>50125.92686</v>
      </c>
      <c r="G6" s="679">
        <v>698047.98580000002</v>
      </c>
    </row>
    <row r="7" spans="1:8" ht="10.5" customHeight="1">
      <c r="A7" s="674"/>
      <c r="B7" s="626" t="s">
        <v>316</v>
      </c>
      <c r="C7" s="627"/>
      <c r="D7" s="627">
        <v>540114.98808500008</v>
      </c>
      <c r="E7" s="627"/>
      <c r="F7" s="627">
        <v>540114.98808500008</v>
      </c>
      <c r="G7" s="679">
        <v>3722739.5290625002</v>
      </c>
    </row>
    <row r="8" spans="1:8" ht="10.5" customHeight="1">
      <c r="A8" s="674"/>
      <c r="B8" s="626" t="s">
        <v>317</v>
      </c>
      <c r="C8" s="627"/>
      <c r="D8" s="627">
        <v>52179.248065</v>
      </c>
      <c r="E8" s="627"/>
      <c r="F8" s="627">
        <v>52179.248065</v>
      </c>
      <c r="G8" s="679">
        <v>292970.36371499998</v>
      </c>
    </row>
    <row r="9" spans="1:8" ht="10.5" customHeight="1">
      <c r="A9" s="674"/>
      <c r="B9" s="626" t="s">
        <v>318</v>
      </c>
      <c r="C9" s="627"/>
      <c r="D9" s="627">
        <v>8640.2158400000008</v>
      </c>
      <c r="E9" s="627"/>
      <c r="F9" s="627">
        <v>8640.2158400000008</v>
      </c>
      <c r="G9" s="679">
        <v>8640.2158400000008</v>
      </c>
    </row>
    <row r="10" spans="1:8" ht="10.5" customHeight="1">
      <c r="A10" s="674"/>
      <c r="B10" s="626" t="s">
        <v>319</v>
      </c>
      <c r="C10" s="627"/>
      <c r="D10" s="627">
        <v>6436.7641974999997</v>
      </c>
      <c r="E10" s="627"/>
      <c r="F10" s="627">
        <v>6436.7641974999997</v>
      </c>
      <c r="G10" s="679">
        <v>6903.0657499999998</v>
      </c>
    </row>
    <row r="11" spans="1:8" ht="10.5" customHeight="1">
      <c r="A11" s="674"/>
      <c r="B11" s="626" t="s">
        <v>320</v>
      </c>
      <c r="C11" s="627"/>
      <c r="D11" s="627">
        <v>0</v>
      </c>
      <c r="E11" s="627"/>
      <c r="F11" s="627">
        <v>0</v>
      </c>
      <c r="G11" s="679">
        <v>359.81827500000003</v>
      </c>
    </row>
    <row r="12" spans="1:8" ht="10.5" customHeight="1">
      <c r="A12" s="674"/>
      <c r="B12" s="626" t="s">
        <v>428</v>
      </c>
      <c r="C12" s="627"/>
      <c r="D12" s="627"/>
      <c r="E12" s="627">
        <v>10599.506197500001</v>
      </c>
      <c r="F12" s="627">
        <v>10599.506197500001</v>
      </c>
      <c r="G12" s="679">
        <v>83669.931499999992</v>
      </c>
    </row>
    <row r="13" spans="1:8" ht="10.5" customHeight="1">
      <c r="A13" s="676" t="s">
        <v>510</v>
      </c>
      <c r="B13" s="512"/>
      <c r="C13" s="513">
        <v>72317.400432499999</v>
      </c>
      <c r="D13" s="513">
        <v>607371.21618750005</v>
      </c>
      <c r="E13" s="513">
        <v>10599.506197500001</v>
      </c>
      <c r="F13" s="513">
        <v>690288.12281750015</v>
      </c>
      <c r="G13" s="680">
        <v>5181614.6248975005</v>
      </c>
    </row>
    <row r="14" spans="1:8" ht="10.5" customHeight="1">
      <c r="A14" s="674" t="s">
        <v>239</v>
      </c>
      <c r="B14" s="626" t="s">
        <v>321</v>
      </c>
      <c r="C14" s="627"/>
      <c r="D14" s="627">
        <v>370731.70210749999</v>
      </c>
      <c r="E14" s="627"/>
      <c r="F14" s="627">
        <v>370731.70210749999</v>
      </c>
      <c r="G14" s="679">
        <v>2248998.2817225</v>
      </c>
    </row>
    <row r="15" spans="1:8" ht="10.5" customHeight="1">
      <c r="A15" s="676" t="s">
        <v>511</v>
      </c>
      <c r="B15" s="512"/>
      <c r="C15" s="513"/>
      <c r="D15" s="513">
        <v>370731.70210749999</v>
      </c>
      <c r="E15" s="513"/>
      <c r="F15" s="513">
        <v>370731.70210749999</v>
      </c>
      <c r="G15" s="680">
        <v>2248998.2817225</v>
      </c>
    </row>
    <row r="16" spans="1:8" s="730" customFormat="1" ht="10.5" customHeight="1">
      <c r="A16" s="694" t="s">
        <v>458</v>
      </c>
      <c r="B16" s="436" t="s">
        <v>463</v>
      </c>
      <c r="C16" s="437"/>
      <c r="D16" s="437"/>
      <c r="E16" s="437">
        <v>7307.2496975000004</v>
      </c>
      <c r="F16" s="437">
        <v>7307.2496975000004</v>
      </c>
      <c r="G16" s="690">
        <v>75322.669952499986</v>
      </c>
    </row>
    <row r="17" spans="1:7" s="730" customFormat="1" ht="10.5" customHeight="1">
      <c r="A17" s="691"/>
      <c r="B17" s="626" t="s">
        <v>459</v>
      </c>
      <c r="C17" s="627"/>
      <c r="D17" s="627"/>
      <c r="E17" s="627">
        <v>3331.9410625</v>
      </c>
      <c r="F17" s="627">
        <v>3331.9410625</v>
      </c>
      <c r="G17" s="679">
        <v>16271.401492499999</v>
      </c>
    </row>
    <row r="18" spans="1:7" s="730" customFormat="1" ht="10.5" customHeight="1">
      <c r="A18" s="676" t="s">
        <v>512</v>
      </c>
      <c r="B18" s="512"/>
      <c r="C18" s="513"/>
      <c r="D18" s="513"/>
      <c r="E18" s="513">
        <v>10639.190760000001</v>
      </c>
      <c r="F18" s="513">
        <v>10639.190760000001</v>
      </c>
      <c r="G18" s="680">
        <v>91594.07144499998</v>
      </c>
    </row>
    <row r="19" spans="1:7" ht="10.5" customHeight="1">
      <c r="A19" s="674" t="s">
        <v>108</v>
      </c>
      <c r="B19" s="626" t="s">
        <v>66</v>
      </c>
      <c r="C19" s="627"/>
      <c r="D19" s="627"/>
      <c r="E19" s="627">
        <v>5222.9287399999994</v>
      </c>
      <c r="F19" s="627">
        <v>5222.9287399999994</v>
      </c>
      <c r="G19" s="679">
        <v>50861.14959999999</v>
      </c>
    </row>
    <row r="20" spans="1:7" ht="10.5" customHeight="1">
      <c r="A20" s="674"/>
      <c r="B20" s="626" t="s">
        <v>415</v>
      </c>
      <c r="C20" s="627"/>
      <c r="D20" s="627"/>
      <c r="E20" s="627">
        <v>3441.6516975</v>
      </c>
      <c r="F20" s="627">
        <v>3441.6516975</v>
      </c>
      <c r="G20" s="679">
        <v>80646.429174999997</v>
      </c>
    </row>
    <row r="21" spans="1:7" ht="10.5" customHeight="1">
      <c r="A21" s="674"/>
      <c r="B21" s="626" t="s">
        <v>413</v>
      </c>
      <c r="C21" s="627"/>
      <c r="D21" s="627"/>
      <c r="E21" s="627">
        <v>4451.0389924999999</v>
      </c>
      <c r="F21" s="627">
        <v>4451.0389924999999</v>
      </c>
      <c r="G21" s="679">
        <v>88076.938737500008</v>
      </c>
    </row>
    <row r="22" spans="1:7" ht="10.5" customHeight="1">
      <c r="A22" s="674"/>
      <c r="B22" s="626" t="s">
        <v>414</v>
      </c>
      <c r="C22" s="627"/>
      <c r="D22" s="627"/>
      <c r="E22" s="627">
        <v>4557.2123700000002</v>
      </c>
      <c r="F22" s="627">
        <v>4557.2123700000002</v>
      </c>
      <c r="G22" s="679">
        <v>80390.703487499995</v>
      </c>
    </row>
    <row r="23" spans="1:7" ht="10.5" customHeight="1">
      <c r="A23" s="676" t="s">
        <v>513</v>
      </c>
      <c r="B23" s="512"/>
      <c r="C23" s="513"/>
      <c r="D23" s="513"/>
      <c r="E23" s="513">
        <v>17672.8318</v>
      </c>
      <c r="F23" s="513">
        <v>17672.8318</v>
      </c>
      <c r="G23" s="680">
        <v>299975.22100000002</v>
      </c>
    </row>
    <row r="24" spans="1:7" ht="10.5" customHeight="1">
      <c r="A24" s="674" t="s">
        <v>111</v>
      </c>
      <c r="B24" s="626" t="s">
        <v>233</v>
      </c>
      <c r="C24" s="627"/>
      <c r="D24" s="627"/>
      <c r="E24" s="627">
        <v>3793.0264000000002</v>
      </c>
      <c r="F24" s="627">
        <v>3793.0264000000002</v>
      </c>
      <c r="G24" s="679">
        <v>35364.017599999999</v>
      </c>
    </row>
    <row r="25" spans="1:7" ht="10.5" customHeight="1">
      <c r="A25" s="676" t="s">
        <v>514</v>
      </c>
      <c r="B25" s="512"/>
      <c r="C25" s="513"/>
      <c r="D25" s="513"/>
      <c r="E25" s="513">
        <v>3793.0264000000002</v>
      </c>
      <c r="F25" s="513">
        <v>3793.0264000000002</v>
      </c>
      <c r="G25" s="680">
        <v>35364.017599999999</v>
      </c>
    </row>
    <row r="26" spans="1:7" ht="10.5" customHeight="1">
      <c r="A26" s="674" t="s">
        <v>112</v>
      </c>
      <c r="B26" s="626" t="s">
        <v>82</v>
      </c>
      <c r="C26" s="627"/>
      <c r="D26" s="627"/>
      <c r="E26" s="627">
        <v>3598.0077925000001</v>
      </c>
      <c r="F26" s="627">
        <v>3598.0077925000001</v>
      </c>
      <c r="G26" s="679">
        <v>34415.094724999995</v>
      </c>
    </row>
    <row r="27" spans="1:7" ht="10.5" customHeight="1">
      <c r="A27" s="676" t="s">
        <v>515</v>
      </c>
      <c r="B27" s="512"/>
      <c r="C27" s="513"/>
      <c r="D27" s="513"/>
      <c r="E27" s="513">
        <v>3598.0077925000001</v>
      </c>
      <c r="F27" s="513">
        <v>3598.0077925000001</v>
      </c>
      <c r="G27" s="680">
        <v>34415.094724999995</v>
      </c>
    </row>
    <row r="28" spans="1:7" ht="10.5" customHeight="1">
      <c r="A28" s="674" t="s">
        <v>116</v>
      </c>
      <c r="B28" s="626" t="s">
        <v>74</v>
      </c>
      <c r="C28" s="627"/>
      <c r="D28" s="627"/>
      <c r="E28" s="627">
        <v>2434.4</v>
      </c>
      <c r="F28" s="627">
        <v>2434.4</v>
      </c>
      <c r="G28" s="679">
        <v>22913.700000000004</v>
      </c>
    </row>
    <row r="29" spans="1:7" ht="10.5" customHeight="1">
      <c r="A29" s="676" t="s">
        <v>516</v>
      </c>
      <c r="B29" s="512"/>
      <c r="C29" s="513"/>
      <c r="D29" s="513"/>
      <c r="E29" s="513">
        <v>2434.4</v>
      </c>
      <c r="F29" s="513">
        <v>2434.4</v>
      </c>
      <c r="G29" s="680">
        <v>22913.700000000004</v>
      </c>
    </row>
    <row r="30" spans="1:7" ht="20.25" customHeight="1">
      <c r="A30" s="678" t="s">
        <v>103</v>
      </c>
      <c r="B30" s="636" t="s">
        <v>322</v>
      </c>
      <c r="C30" s="637">
        <v>9696.3337275000013</v>
      </c>
      <c r="D30" s="637"/>
      <c r="E30" s="637"/>
      <c r="F30" s="637">
        <v>9696.3337275000013</v>
      </c>
      <c r="G30" s="689">
        <v>121190.45871000001</v>
      </c>
    </row>
    <row r="31" spans="1:7" ht="10.5" customHeight="1">
      <c r="A31" s="676" t="s">
        <v>517</v>
      </c>
      <c r="B31" s="512"/>
      <c r="C31" s="513">
        <v>9696.3337275000013</v>
      </c>
      <c r="D31" s="513"/>
      <c r="E31" s="513"/>
      <c r="F31" s="513">
        <v>9696.3337275000013</v>
      </c>
      <c r="G31" s="680">
        <v>121190.45871000001</v>
      </c>
    </row>
    <row r="32" spans="1:7" ht="17.25">
      <c r="A32" s="688" t="s">
        <v>425</v>
      </c>
      <c r="B32" s="636" t="s">
        <v>323</v>
      </c>
      <c r="C32" s="637">
        <v>10004.3185675</v>
      </c>
      <c r="D32" s="637"/>
      <c r="E32" s="637"/>
      <c r="F32" s="637">
        <v>10004.3185675</v>
      </c>
      <c r="G32" s="689">
        <v>116506.10557750003</v>
      </c>
    </row>
    <row r="33" spans="1:7" ht="10.5" customHeight="1">
      <c r="A33" s="676" t="s">
        <v>518</v>
      </c>
      <c r="B33" s="512"/>
      <c r="C33" s="513">
        <v>10004.3185675</v>
      </c>
      <c r="D33" s="513"/>
      <c r="E33" s="513"/>
      <c r="F33" s="513">
        <v>10004.3185675</v>
      </c>
      <c r="G33" s="680">
        <v>116506.10557750003</v>
      </c>
    </row>
    <row r="34" spans="1:7" ht="10.5" customHeight="1">
      <c r="A34" s="674" t="s">
        <v>240</v>
      </c>
      <c r="B34" s="626" t="s">
        <v>59</v>
      </c>
      <c r="C34" s="627"/>
      <c r="D34" s="627"/>
      <c r="E34" s="627">
        <v>11371.6762975</v>
      </c>
      <c r="F34" s="627">
        <v>11371.6762975</v>
      </c>
      <c r="G34" s="679">
        <v>114000.84403000001</v>
      </c>
    </row>
    <row r="35" spans="1:7" ht="10.5" customHeight="1">
      <c r="A35" s="676" t="s">
        <v>519</v>
      </c>
      <c r="B35" s="512"/>
      <c r="C35" s="513"/>
      <c r="D35" s="513"/>
      <c r="E35" s="513">
        <v>11371.6762975</v>
      </c>
      <c r="F35" s="513">
        <v>11371.6762975</v>
      </c>
      <c r="G35" s="680">
        <v>114000.84403000001</v>
      </c>
    </row>
    <row r="36" spans="1:7" ht="10.5" customHeight="1">
      <c r="A36" s="674" t="s">
        <v>412</v>
      </c>
      <c r="B36" s="626" t="s">
        <v>466</v>
      </c>
      <c r="C36" s="627">
        <v>128.899</v>
      </c>
      <c r="D36" s="627"/>
      <c r="E36" s="627"/>
      <c r="F36" s="627">
        <v>128.899</v>
      </c>
      <c r="G36" s="679">
        <v>1622.0092499999996</v>
      </c>
    </row>
    <row r="37" spans="1:7" ht="10.5" customHeight="1">
      <c r="A37" s="676" t="s">
        <v>520</v>
      </c>
      <c r="B37" s="512"/>
      <c r="C37" s="513">
        <v>128.899</v>
      </c>
      <c r="D37" s="513"/>
      <c r="E37" s="513"/>
      <c r="F37" s="513">
        <v>128.899</v>
      </c>
      <c r="G37" s="680">
        <v>1622.0092499999996</v>
      </c>
    </row>
    <row r="38" spans="1:7" ht="10.5" customHeight="1">
      <c r="A38" s="674" t="s">
        <v>430</v>
      </c>
      <c r="B38" s="626" t="s">
        <v>434</v>
      </c>
      <c r="C38" s="627">
        <v>46701.661407499996</v>
      </c>
      <c r="D38" s="627"/>
      <c r="E38" s="627"/>
      <c r="F38" s="627">
        <v>46701.661407499996</v>
      </c>
      <c r="G38" s="679">
        <v>506393.69764499995</v>
      </c>
    </row>
    <row r="39" spans="1:7" ht="10.5" customHeight="1">
      <c r="A39" s="676" t="s">
        <v>521</v>
      </c>
      <c r="B39" s="512"/>
      <c r="C39" s="513">
        <v>46701.661407499996</v>
      </c>
      <c r="D39" s="513"/>
      <c r="E39" s="513"/>
      <c r="F39" s="513">
        <v>46701.661407499996</v>
      </c>
      <c r="G39" s="680">
        <v>506393.69764499995</v>
      </c>
    </row>
    <row r="40" spans="1:7" s="46" customFormat="1" ht="20.25" customHeight="1">
      <c r="A40" s="678" t="s">
        <v>486</v>
      </c>
      <c r="B40" s="636" t="s">
        <v>576</v>
      </c>
      <c r="C40" s="637"/>
      <c r="D40" s="637"/>
      <c r="E40" s="637">
        <v>3148.7543974999999</v>
      </c>
      <c r="F40" s="637">
        <v>3148.7543974999999</v>
      </c>
      <c r="G40" s="689">
        <v>20416.790680000002</v>
      </c>
    </row>
    <row r="41" spans="1:7" ht="12" customHeight="1">
      <c r="A41" s="676" t="s">
        <v>522</v>
      </c>
      <c r="B41" s="512"/>
      <c r="C41" s="513"/>
      <c r="D41" s="513"/>
      <c r="E41" s="513">
        <v>3148.7543974999999</v>
      </c>
      <c r="F41" s="513">
        <v>3148.7543974999999</v>
      </c>
      <c r="G41" s="680">
        <v>20416.790680000002</v>
      </c>
    </row>
    <row r="42" spans="1:7" ht="10.5" customHeight="1">
      <c r="A42" s="678" t="s">
        <v>118</v>
      </c>
      <c r="B42" s="636" t="s">
        <v>324</v>
      </c>
      <c r="C42" s="637"/>
      <c r="D42" s="637">
        <v>406.0500275</v>
      </c>
      <c r="E42" s="637"/>
      <c r="F42" s="637">
        <v>406.0500275</v>
      </c>
      <c r="G42" s="689">
        <v>4479.1834399999998</v>
      </c>
    </row>
    <row r="43" spans="1:7" ht="10.5" customHeight="1">
      <c r="A43" s="678"/>
      <c r="B43" s="636" t="s">
        <v>325</v>
      </c>
      <c r="C43" s="637"/>
      <c r="D43" s="637">
        <v>0.64537750000000005</v>
      </c>
      <c r="E43" s="637"/>
      <c r="F43" s="637">
        <v>0.64537750000000005</v>
      </c>
      <c r="G43" s="689">
        <v>439.07630249999994</v>
      </c>
    </row>
    <row r="44" spans="1:7" ht="10.5" customHeight="1">
      <c r="A44" s="676" t="s">
        <v>523</v>
      </c>
      <c r="B44" s="512"/>
      <c r="C44" s="513"/>
      <c r="D44" s="513">
        <v>406.69540499999999</v>
      </c>
      <c r="E44" s="513"/>
      <c r="F44" s="513">
        <v>406.69540499999999</v>
      </c>
      <c r="G44" s="680">
        <v>4918.2597424999994</v>
      </c>
    </row>
    <row r="45" spans="1:7" ht="10.5" customHeight="1">
      <c r="A45" s="678" t="s">
        <v>410</v>
      </c>
      <c r="B45" s="636" t="s">
        <v>326</v>
      </c>
      <c r="C45" s="637"/>
      <c r="D45" s="637">
        <v>577597.58964749996</v>
      </c>
      <c r="E45" s="637"/>
      <c r="F45" s="637">
        <v>577597.58964749996</v>
      </c>
      <c r="G45" s="689">
        <v>2825098.2903949996</v>
      </c>
    </row>
    <row r="46" spans="1:7" ht="10.5" customHeight="1">
      <c r="A46" s="678"/>
      <c r="B46" s="636" t="s">
        <v>327</v>
      </c>
      <c r="C46" s="637"/>
      <c r="D46" s="637">
        <v>64837.956035000003</v>
      </c>
      <c r="E46" s="637"/>
      <c r="F46" s="637">
        <v>64837.956035000003</v>
      </c>
      <c r="G46" s="689">
        <v>390846.48225</v>
      </c>
    </row>
    <row r="47" spans="1:7" ht="10.5" customHeight="1">
      <c r="A47" s="678"/>
      <c r="B47" s="636" t="s">
        <v>432</v>
      </c>
      <c r="C47" s="637">
        <v>190664.51780500001</v>
      </c>
      <c r="D47" s="637"/>
      <c r="E47" s="637"/>
      <c r="F47" s="637">
        <v>190664.51780500001</v>
      </c>
      <c r="G47" s="689">
        <v>2650175.6681949999</v>
      </c>
    </row>
    <row r="48" spans="1:7" ht="10.5" customHeight="1">
      <c r="A48" s="678"/>
      <c r="B48" s="636" t="s">
        <v>328</v>
      </c>
      <c r="C48" s="637">
        <v>2269.5269675</v>
      </c>
      <c r="D48" s="637"/>
      <c r="E48" s="637"/>
      <c r="F48" s="637">
        <v>2269.5269675</v>
      </c>
      <c r="G48" s="689">
        <v>46565.093235000008</v>
      </c>
    </row>
    <row r="49" spans="1:8" ht="10.5" customHeight="1">
      <c r="A49" s="676" t="s">
        <v>524</v>
      </c>
      <c r="B49" s="512"/>
      <c r="C49" s="513">
        <v>192934.0447725</v>
      </c>
      <c r="D49" s="513">
        <v>642435.5456825</v>
      </c>
      <c r="E49" s="513"/>
      <c r="F49" s="513">
        <v>835369.59045499994</v>
      </c>
      <c r="G49" s="680">
        <v>5912685.5340749994</v>
      </c>
    </row>
    <row r="50" spans="1:8" ht="10.5" customHeight="1">
      <c r="A50" s="678" t="s">
        <v>117</v>
      </c>
      <c r="B50" s="636" t="s">
        <v>72</v>
      </c>
      <c r="C50" s="637"/>
      <c r="D50" s="637"/>
      <c r="E50" s="637">
        <v>887.74774249999996</v>
      </c>
      <c r="F50" s="637">
        <v>887.74774249999996</v>
      </c>
      <c r="G50" s="689">
        <v>13129.584894999998</v>
      </c>
    </row>
    <row r="51" spans="1:8" ht="10.5" customHeight="1">
      <c r="A51" s="676" t="s">
        <v>525</v>
      </c>
      <c r="B51" s="512"/>
      <c r="C51" s="513"/>
      <c r="D51" s="513"/>
      <c r="E51" s="513">
        <v>887.74774249999996</v>
      </c>
      <c r="F51" s="513">
        <v>887.74774249999996</v>
      </c>
      <c r="G51" s="680">
        <v>13129.584894999998</v>
      </c>
      <c r="H51" s="361"/>
    </row>
    <row r="52" spans="1:8" ht="10.5" customHeight="1">
      <c r="A52" s="678" t="s">
        <v>110</v>
      </c>
      <c r="B52" s="636" t="s">
        <v>81</v>
      </c>
      <c r="C52" s="637"/>
      <c r="D52" s="637"/>
      <c r="E52" s="637">
        <v>4787.7358624999997</v>
      </c>
      <c r="F52" s="637">
        <v>4787.7358624999997</v>
      </c>
      <c r="G52" s="689">
        <v>38231.332690000003</v>
      </c>
    </row>
    <row r="53" spans="1:8" ht="10.5" customHeight="1">
      <c r="A53" s="676" t="s">
        <v>526</v>
      </c>
      <c r="B53" s="512"/>
      <c r="C53" s="513"/>
      <c r="D53" s="513"/>
      <c r="E53" s="513">
        <v>4787.7358624999997</v>
      </c>
      <c r="F53" s="513">
        <v>4787.7358624999997</v>
      </c>
      <c r="G53" s="680">
        <v>38231.332690000003</v>
      </c>
    </row>
    <row r="54" spans="1:8" ht="10.5" customHeight="1">
      <c r="A54" s="678" t="s">
        <v>241</v>
      </c>
      <c r="B54" s="636" t="s">
        <v>71</v>
      </c>
      <c r="C54" s="637"/>
      <c r="D54" s="637"/>
      <c r="E54" s="637">
        <v>1377.4029625000001</v>
      </c>
      <c r="F54" s="637">
        <v>1377.4029625000001</v>
      </c>
      <c r="G54" s="689">
        <v>27523.012384999995</v>
      </c>
    </row>
    <row r="55" spans="1:8" ht="10.5" customHeight="1">
      <c r="A55" s="678"/>
      <c r="B55" s="636" t="s">
        <v>329</v>
      </c>
      <c r="C55" s="637">
        <v>71003.455852500003</v>
      </c>
      <c r="D55" s="637"/>
      <c r="E55" s="637"/>
      <c r="F55" s="637">
        <v>71003.455852500003</v>
      </c>
      <c r="G55" s="689">
        <v>1149758.70545</v>
      </c>
    </row>
    <row r="56" spans="1:8" ht="10.5" customHeight="1">
      <c r="A56" s="678"/>
      <c r="B56" s="636" t="s">
        <v>330</v>
      </c>
      <c r="C56" s="637">
        <v>17447.788992500002</v>
      </c>
      <c r="D56" s="637"/>
      <c r="E56" s="637"/>
      <c r="F56" s="637">
        <v>17447.788992500002</v>
      </c>
      <c r="G56" s="689">
        <v>417334.18800500006</v>
      </c>
    </row>
    <row r="57" spans="1:8" ht="10.5" customHeight="1">
      <c r="A57" s="678"/>
      <c r="B57" s="636" t="s">
        <v>62</v>
      </c>
      <c r="C57" s="637"/>
      <c r="D57" s="637"/>
      <c r="E57" s="637">
        <v>5385.4130475000002</v>
      </c>
      <c r="F57" s="637">
        <v>5385.4130475000002</v>
      </c>
      <c r="G57" s="689">
        <v>66515.601157500001</v>
      </c>
    </row>
    <row r="58" spans="1:8" ht="10.5" customHeight="1">
      <c r="A58" s="676" t="s">
        <v>527</v>
      </c>
      <c r="B58" s="512"/>
      <c r="C58" s="513">
        <v>88451.244845000008</v>
      </c>
      <c r="D58" s="513"/>
      <c r="E58" s="513">
        <v>6762.8160100000005</v>
      </c>
      <c r="F58" s="513">
        <v>95214.060855000003</v>
      </c>
      <c r="G58" s="680">
        <v>1661131.5069975001</v>
      </c>
    </row>
    <row r="59" spans="1:8" ht="10.5" customHeight="1">
      <c r="A59" s="678" t="s">
        <v>242</v>
      </c>
      <c r="B59" s="636" t="s">
        <v>78</v>
      </c>
      <c r="C59" s="637"/>
      <c r="D59" s="637"/>
      <c r="E59" s="637">
        <v>16163.6633</v>
      </c>
      <c r="F59" s="637">
        <v>16163.6633</v>
      </c>
      <c r="G59" s="689">
        <v>141948.224545</v>
      </c>
    </row>
    <row r="60" spans="1:8" ht="10.5" customHeight="1">
      <c r="A60" s="676" t="s">
        <v>528</v>
      </c>
      <c r="B60" s="512"/>
      <c r="C60" s="513"/>
      <c r="D60" s="513"/>
      <c r="E60" s="513">
        <v>16163.6633</v>
      </c>
      <c r="F60" s="513">
        <v>16163.6633</v>
      </c>
      <c r="G60" s="680">
        <v>141948.224545</v>
      </c>
    </row>
    <row r="61" spans="1:8" ht="10.5" customHeight="1">
      <c r="A61" s="678" t="s">
        <v>99</v>
      </c>
      <c r="B61" s="636" t="s">
        <v>76</v>
      </c>
      <c r="C61" s="637"/>
      <c r="D61" s="637"/>
      <c r="E61" s="637">
        <v>51601.557627499998</v>
      </c>
      <c r="F61" s="637">
        <v>51601.557627499998</v>
      </c>
      <c r="G61" s="689">
        <v>427834.785095</v>
      </c>
    </row>
    <row r="62" spans="1:8" ht="10.5" customHeight="1">
      <c r="A62" s="676" t="s">
        <v>529</v>
      </c>
      <c r="B62" s="512"/>
      <c r="C62" s="513"/>
      <c r="D62" s="513"/>
      <c r="E62" s="513">
        <v>51601.557627499998</v>
      </c>
      <c r="F62" s="513">
        <v>51601.557627499998</v>
      </c>
      <c r="G62" s="680">
        <v>427834.785095</v>
      </c>
    </row>
    <row r="63" spans="1:8" ht="10.5" customHeight="1">
      <c r="A63" s="678" t="s">
        <v>107</v>
      </c>
      <c r="B63" s="636" t="s">
        <v>232</v>
      </c>
      <c r="C63" s="637"/>
      <c r="D63" s="637"/>
      <c r="E63" s="637">
        <v>5669.40661</v>
      </c>
      <c r="F63" s="637">
        <v>5669.40661</v>
      </c>
      <c r="G63" s="689">
        <v>44339.670794999991</v>
      </c>
    </row>
    <row r="64" spans="1:8" ht="10.5" customHeight="1">
      <c r="A64" s="676" t="s">
        <v>530</v>
      </c>
      <c r="B64" s="512"/>
      <c r="C64" s="513"/>
      <c r="D64" s="513"/>
      <c r="E64" s="513">
        <v>5669.40661</v>
      </c>
      <c r="F64" s="513">
        <v>5669.40661</v>
      </c>
      <c r="G64" s="680">
        <v>44339.670794999991</v>
      </c>
    </row>
    <row r="65" spans="1:7" ht="10.5" customHeight="1">
      <c r="A65" s="678" t="s">
        <v>411</v>
      </c>
      <c r="B65" s="636" t="s">
        <v>85</v>
      </c>
      <c r="C65" s="637"/>
      <c r="D65" s="637"/>
      <c r="E65" s="637">
        <v>890.26911749999999</v>
      </c>
      <c r="F65" s="637">
        <v>890.26911749999999</v>
      </c>
      <c r="G65" s="689">
        <v>9912.1803625000011</v>
      </c>
    </row>
    <row r="66" spans="1:7" ht="10.5" customHeight="1">
      <c r="A66" s="678"/>
      <c r="B66" s="636" t="s">
        <v>84</v>
      </c>
      <c r="C66" s="637"/>
      <c r="D66" s="637"/>
      <c r="E66" s="637">
        <v>3010.9298475000001</v>
      </c>
      <c r="F66" s="637">
        <v>3010.9298475000001</v>
      </c>
      <c r="G66" s="689">
        <v>19894.123594999997</v>
      </c>
    </row>
    <row r="67" spans="1:7" ht="10.5" customHeight="1">
      <c r="A67" s="678"/>
      <c r="B67" s="636" t="s">
        <v>429</v>
      </c>
      <c r="C67" s="637"/>
      <c r="D67" s="637"/>
      <c r="E67" s="637">
        <v>1524.1010225</v>
      </c>
      <c r="F67" s="637">
        <v>1524.1010225</v>
      </c>
      <c r="G67" s="689">
        <v>10118.003852499998</v>
      </c>
    </row>
    <row r="68" spans="1:7" ht="10.5" customHeight="1">
      <c r="A68" s="678"/>
      <c r="B68" s="636" t="s">
        <v>575</v>
      </c>
      <c r="C68" s="637"/>
      <c r="D68" s="637"/>
      <c r="E68" s="637">
        <v>1163.1644225</v>
      </c>
      <c r="F68" s="637">
        <v>1163.1644225</v>
      </c>
      <c r="G68" s="689">
        <v>5508.3673824999996</v>
      </c>
    </row>
    <row r="69" spans="1:7" ht="10.5" customHeight="1">
      <c r="A69" s="676" t="s">
        <v>531</v>
      </c>
      <c r="B69" s="512"/>
      <c r="C69" s="513"/>
      <c r="D69" s="513"/>
      <c r="E69" s="513">
        <v>6588.4644100000005</v>
      </c>
      <c r="F69" s="513">
        <v>6588.4644100000005</v>
      </c>
      <c r="G69" s="680">
        <v>45432.675192499999</v>
      </c>
    </row>
    <row r="70" spans="1:7" ht="10.5" customHeight="1">
      <c r="A70" s="678" t="s">
        <v>243</v>
      </c>
      <c r="B70" s="636" t="s">
        <v>331</v>
      </c>
      <c r="C70" s="637"/>
      <c r="D70" s="637">
        <v>583.41185000000007</v>
      </c>
      <c r="E70" s="637"/>
      <c r="F70" s="637">
        <v>583.41185000000007</v>
      </c>
      <c r="G70" s="689">
        <v>1247.0334400000002</v>
      </c>
    </row>
    <row r="71" spans="1:7" ht="10.5" customHeight="1">
      <c r="A71" s="676" t="s">
        <v>532</v>
      </c>
      <c r="B71" s="512"/>
      <c r="C71" s="513"/>
      <c r="D71" s="513">
        <v>583.41185000000007</v>
      </c>
      <c r="E71" s="513"/>
      <c r="F71" s="513">
        <v>583.41185000000007</v>
      </c>
      <c r="G71" s="680">
        <v>1247.0334400000002</v>
      </c>
    </row>
    <row r="72" spans="1:7" ht="10.5" customHeight="1">
      <c r="A72" s="678" t="s">
        <v>446</v>
      </c>
      <c r="B72" s="636" t="s">
        <v>460</v>
      </c>
      <c r="C72" s="637"/>
      <c r="D72" s="637"/>
      <c r="E72" s="637">
        <v>8239.6298974999991</v>
      </c>
      <c r="F72" s="637">
        <v>8239.6298974999991</v>
      </c>
      <c r="G72" s="689">
        <v>110354.55330499999</v>
      </c>
    </row>
    <row r="73" spans="1:7" ht="10.5" customHeight="1">
      <c r="A73" s="676" t="s">
        <v>533</v>
      </c>
      <c r="B73" s="512"/>
      <c r="C73" s="513"/>
      <c r="D73" s="513"/>
      <c r="E73" s="513">
        <v>8239.6298974999991</v>
      </c>
      <c r="F73" s="513">
        <v>8239.6298974999991</v>
      </c>
      <c r="G73" s="680">
        <v>110354.55330499999</v>
      </c>
    </row>
    <row r="74" spans="1:7" ht="10.5" customHeight="1">
      <c r="A74" s="331"/>
      <c r="B74" s="331"/>
      <c r="C74" s="331"/>
      <c r="D74" s="331"/>
      <c r="E74" s="331"/>
      <c r="F74" s="331"/>
      <c r="G74" s="331"/>
    </row>
    <row r="75" spans="1:7" ht="10.5" customHeight="1">
      <c r="A75" s="331"/>
      <c r="B75" s="331"/>
      <c r="C75" s="331"/>
      <c r="D75" s="331"/>
      <c r="E75" s="331"/>
      <c r="F75" s="331"/>
      <c r="G75" s="331"/>
    </row>
    <row r="76" spans="1:7" ht="10.5" customHeight="1">
      <c r="A76" s="331"/>
      <c r="B76" s="331"/>
      <c r="C76" s="331"/>
      <c r="D76" s="331"/>
      <c r="E76" s="331"/>
      <c r="F76" s="331"/>
      <c r="G76" s="331"/>
    </row>
    <row r="77" spans="1:7" ht="10.5" customHeight="1">
      <c r="A77" s="331"/>
      <c r="B77" s="331"/>
      <c r="C77" s="331"/>
      <c r="D77" s="331"/>
      <c r="E77" s="331"/>
      <c r="F77" s="331"/>
      <c r="G77" s="331"/>
    </row>
    <row r="78" spans="1:7" ht="10.5" customHeight="1">
      <c r="A78" s="331"/>
      <c r="B78" s="331"/>
      <c r="C78" s="331"/>
      <c r="D78" s="331"/>
      <c r="E78" s="331"/>
      <c r="F78" s="331"/>
      <c r="G78" s="331"/>
    </row>
    <row r="79" spans="1:7" ht="10.5" customHeight="1">
      <c r="A79" s="331"/>
      <c r="B79" s="331"/>
      <c r="C79" s="331"/>
      <c r="D79" s="331"/>
      <c r="E79" s="331"/>
      <c r="F79" s="331"/>
      <c r="G79" s="331"/>
    </row>
    <row r="80" spans="1:7" ht="10.5" customHeight="1">
      <c r="A80" s="331"/>
      <c r="B80" s="331"/>
      <c r="C80" s="331"/>
      <c r="D80" s="331"/>
      <c r="E80" s="331"/>
      <c r="F80" s="331"/>
      <c r="G80" s="331"/>
    </row>
    <row r="81" spans="1:7" ht="10.5" customHeight="1">
      <c r="A81" s="331"/>
      <c r="B81" s="331"/>
      <c r="C81" s="331"/>
      <c r="D81" s="331"/>
      <c r="E81" s="331"/>
      <c r="F81" s="331"/>
      <c r="G81" s="331"/>
    </row>
    <row r="82" spans="1:7" ht="10.5" customHeight="1">
      <c r="A82" s="331"/>
      <c r="B82" s="331"/>
      <c r="C82" s="331"/>
      <c r="D82" s="331"/>
      <c r="E82" s="331"/>
      <c r="F82" s="331"/>
      <c r="G82" s="331"/>
    </row>
    <row r="83" spans="1:7" ht="10.5" customHeight="1">
      <c r="A83" s="331"/>
      <c r="B83" s="331"/>
      <c r="C83" s="331"/>
      <c r="D83" s="331"/>
      <c r="E83" s="331"/>
      <c r="F83" s="331"/>
      <c r="G83" s="331"/>
    </row>
    <row r="84" spans="1:7" ht="10.5" customHeight="1">
      <c r="A84" s="331"/>
      <c r="B84" s="331"/>
      <c r="C84" s="331"/>
      <c r="D84" s="331"/>
      <c r="E84" s="331"/>
      <c r="F84" s="331"/>
      <c r="G84" s="331"/>
    </row>
    <row r="85" spans="1:7" ht="10.5" customHeight="1">
      <c r="A85" s="331"/>
      <c r="B85" s="331"/>
      <c r="C85" s="331"/>
      <c r="D85" s="331"/>
      <c r="E85" s="331"/>
      <c r="F85" s="331"/>
      <c r="G85" s="331"/>
    </row>
    <row r="86" spans="1:7" ht="10.5" customHeight="1">
      <c r="A86" s="331"/>
      <c r="B86" s="331"/>
      <c r="C86" s="331"/>
      <c r="D86" s="331"/>
      <c r="E86" s="331"/>
      <c r="F86" s="331"/>
      <c r="G86" s="331"/>
    </row>
    <row r="87" spans="1:7" ht="10.5" customHeight="1">
      <c r="A87" s="331"/>
      <c r="B87" s="331"/>
      <c r="C87" s="331"/>
      <c r="D87" s="331"/>
      <c r="E87" s="331"/>
      <c r="F87" s="331"/>
      <c r="G87" s="331"/>
    </row>
    <row r="88" spans="1:7" ht="10.5" customHeight="1">
      <c r="A88" s="331"/>
      <c r="B88" s="331"/>
      <c r="C88" s="331"/>
      <c r="D88" s="331"/>
      <c r="E88" s="331"/>
      <c r="F88" s="331"/>
      <c r="G88" s="331"/>
    </row>
    <row r="89" spans="1:7" ht="10.5" customHeight="1">
      <c r="A89" s="331"/>
      <c r="B89" s="331"/>
      <c r="C89" s="331"/>
      <c r="D89" s="331"/>
      <c r="E89" s="331"/>
      <c r="F89" s="331"/>
      <c r="G89" s="331"/>
    </row>
    <row r="90" spans="1:7" ht="10.5" customHeight="1">
      <c r="A90" s="331"/>
      <c r="B90" s="331"/>
      <c r="C90" s="331"/>
      <c r="D90" s="331"/>
      <c r="E90" s="331"/>
      <c r="F90" s="331"/>
      <c r="G90" s="331"/>
    </row>
  </sheetData>
  <mergeCells count="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Mensual-Octubre 2020
INFSGI-MES-10-2020
12/11/2020
Versión: 01</oddHeader>
    <oddFooter>&amp;L&amp;7COES, 2020&amp;C19&amp;R&amp;7Dirección Ejecutiva
Sub Dirección de Gestión de Información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tabColor theme="4"/>
  </sheetPr>
  <dimension ref="A1:H63"/>
  <sheetViews>
    <sheetView showGridLines="0" view="pageBreakPreview" zoomScaleNormal="100" zoomScaleSheetLayoutView="100" zoomScalePageLayoutView="160" workbookViewId="0">
      <selection activeCell="L52" sqref="L52"/>
    </sheetView>
  </sheetViews>
  <sheetFormatPr defaultColWidth="9.33203125" defaultRowHeight="11.25"/>
  <cols>
    <col min="1" max="1" width="22.6640625" customWidth="1"/>
    <col min="2" max="2" width="20.83203125" customWidth="1"/>
    <col min="3" max="3" width="16.5" customWidth="1"/>
    <col min="4" max="4" width="18.5" customWidth="1"/>
    <col min="5" max="5" width="10.33203125" customWidth="1"/>
    <col min="6" max="6" width="12.5" customWidth="1"/>
    <col min="7" max="7" width="16.1640625" bestFit="1" customWidth="1"/>
  </cols>
  <sheetData>
    <row r="1" spans="1:8" ht="15.75" customHeight="1">
      <c r="A1" s="979" t="s">
        <v>250</v>
      </c>
      <c r="B1" s="982" t="s">
        <v>54</v>
      </c>
      <c r="C1" s="985" t="str">
        <f>+'19. ANEXOI-2'!C1:F1</f>
        <v>ENERGÍA PRODUCIDA OCTUBRE 2020</v>
      </c>
      <c r="D1" s="985"/>
      <c r="E1" s="985"/>
      <c r="F1" s="985"/>
      <c r="G1" s="631" t="s">
        <v>276</v>
      </c>
      <c r="H1" s="203"/>
    </row>
    <row r="2" spans="1:8" ht="11.25" customHeight="1">
      <c r="A2" s="980"/>
      <c r="B2" s="983"/>
      <c r="C2" s="986" t="s">
        <v>277</v>
      </c>
      <c r="D2" s="986"/>
      <c r="E2" s="986"/>
      <c r="F2" s="987" t="str">
        <f>"TOTAL 
"&amp;UPPER('1. Resumen'!Q4)</f>
        <v>TOTAL 
OCTUBRE</v>
      </c>
      <c r="G2" s="632" t="s">
        <v>278</v>
      </c>
      <c r="H2" s="194"/>
    </row>
    <row r="3" spans="1:8" ht="11.25" customHeight="1">
      <c r="A3" s="980"/>
      <c r="B3" s="983"/>
      <c r="C3" s="623" t="s">
        <v>215</v>
      </c>
      <c r="D3" s="623" t="s">
        <v>216</v>
      </c>
      <c r="E3" s="623" t="s">
        <v>279</v>
      </c>
      <c r="F3" s="988"/>
      <c r="G3" s="632">
        <v>2020</v>
      </c>
      <c r="H3" s="196"/>
    </row>
    <row r="4" spans="1:8" ht="11.25" customHeight="1">
      <c r="A4" s="989"/>
      <c r="B4" s="990"/>
      <c r="C4" s="624" t="s">
        <v>280</v>
      </c>
      <c r="D4" s="624" t="s">
        <v>280</v>
      </c>
      <c r="E4" s="624" t="s">
        <v>280</v>
      </c>
      <c r="F4" s="624" t="s">
        <v>280</v>
      </c>
      <c r="G4" s="633" t="s">
        <v>208</v>
      </c>
      <c r="H4" s="196"/>
    </row>
    <row r="5" spans="1:8" s="331" customFormat="1" ht="9" customHeight="1">
      <c r="A5" s="674" t="s">
        <v>104</v>
      </c>
      <c r="B5" s="626" t="s">
        <v>61</v>
      </c>
      <c r="C5" s="627"/>
      <c r="D5" s="627"/>
      <c r="E5" s="627">
        <v>2906.2781100000002</v>
      </c>
      <c r="F5" s="627">
        <v>2906.2781100000002</v>
      </c>
      <c r="G5" s="679">
        <v>77456.192670000004</v>
      </c>
    </row>
    <row r="6" spans="1:8" s="331" customFormat="1" ht="9" customHeight="1">
      <c r="A6" s="676" t="s">
        <v>534</v>
      </c>
      <c r="B6" s="512"/>
      <c r="C6" s="513"/>
      <c r="D6" s="513"/>
      <c r="E6" s="513">
        <v>2906.2781100000002</v>
      </c>
      <c r="F6" s="513">
        <v>2906.2781100000002</v>
      </c>
      <c r="G6" s="680">
        <v>77456.192670000004</v>
      </c>
    </row>
    <row r="7" spans="1:8" s="331" customFormat="1" ht="9" customHeight="1">
      <c r="A7" s="674" t="s">
        <v>244</v>
      </c>
      <c r="B7" s="626" t="s">
        <v>332</v>
      </c>
      <c r="C7" s="627"/>
      <c r="D7" s="627">
        <v>6010.2098750000005</v>
      </c>
      <c r="E7" s="627"/>
      <c r="F7" s="627">
        <v>6010.2098750000005</v>
      </c>
      <c r="G7" s="679">
        <v>7002.9718350000003</v>
      </c>
    </row>
    <row r="8" spans="1:8" s="331" customFormat="1" ht="9" customHeight="1">
      <c r="A8" s="676" t="s">
        <v>535</v>
      </c>
      <c r="B8" s="512"/>
      <c r="C8" s="513"/>
      <c r="D8" s="513">
        <v>6010.2098750000005</v>
      </c>
      <c r="E8" s="513"/>
      <c r="F8" s="513">
        <v>6010.2098750000005</v>
      </c>
      <c r="G8" s="680">
        <v>7002.9718350000003</v>
      </c>
    </row>
    <row r="9" spans="1:8" s="331" customFormat="1" ht="9" customHeight="1">
      <c r="A9" s="674" t="s">
        <v>95</v>
      </c>
      <c r="B9" s="626" t="s">
        <v>333</v>
      </c>
      <c r="C9" s="627">
        <v>53564.943224999995</v>
      </c>
      <c r="D9" s="627"/>
      <c r="E9" s="627"/>
      <c r="F9" s="627">
        <v>53564.943224999995</v>
      </c>
      <c r="G9" s="679">
        <v>612545.34577000001</v>
      </c>
    </row>
    <row r="10" spans="1:8" s="331" customFormat="1" ht="9" customHeight="1">
      <c r="A10" s="676" t="s">
        <v>536</v>
      </c>
      <c r="B10" s="512"/>
      <c r="C10" s="513">
        <v>53564.943224999995</v>
      </c>
      <c r="D10" s="513"/>
      <c r="E10" s="513"/>
      <c r="F10" s="513">
        <v>53564.943224999995</v>
      </c>
      <c r="G10" s="680">
        <v>612545.34577000001</v>
      </c>
    </row>
    <row r="11" spans="1:8" s="331" customFormat="1" ht="9" customHeight="1">
      <c r="A11" s="674" t="s">
        <v>431</v>
      </c>
      <c r="B11" s="626" t="s">
        <v>467</v>
      </c>
      <c r="C11" s="627"/>
      <c r="D11" s="627"/>
      <c r="E11" s="627">
        <v>5120.5254999999997</v>
      </c>
      <c r="F11" s="627">
        <v>5120.5254999999997</v>
      </c>
      <c r="G11" s="679">
        <v>43534.402507499995</v>
      </c>
    </row>
    <row r="12" spans="1:8" s="331" customFormat="1" ht="9" customHeight="1">
      <c r="A12" s="676" t="s">
        <v>537</v>
      </c>
      <c r="B12" s="512"/>
      <c r="C12" s="513"/>
      <c r="D12" s="513"/>
      <c r="E12" s="513">
        <v>5120.5254999999997</v>
      </c>
      <c r="F12" s="513">
        <v>5120.5254999999997</v>
      </c>
      <c r="G12" s="680">
        <v>43534.402507499995</v>
      </c>
    </row>
    <row r="13" spans="1:8" s="331" customFormat="1" ht="9" customHeight="1">
      <c r="A13" s="674" t="s">
        <v>402</v>
      </c>
      <c r="B13" s="626" t="s">
        <v>406</v>
      </c>
      <c r="C13" s="627"/>
      <c r="D13" s="627"/>
      <c r="E13" s="627">
        <v>11088.193905</v>
      </c>
      <c r="F13" s="627">
        <v>11088.193905</v>
      </c>
      <c r="G13" s="679">
        <v>137186.87673749999</v>
      </c>
    </row>
    <row r="14" spans="1:8" s="331" customFormat="1" ht="9" customHeight="1">
      <c r="A14" s="676" t="s">
        <v>538</v>
      </c>
      <c r="B14" s="512"/>
      <c r="C14" s="513"/>
      <c r="D14" s="513"/>
      <c r="E14" s="513">
        <v>11088.193905</v>
      </c>
      <c r="F14" s="513">
        <v>11088.193905</v>
      </c>
      <c r="G14" s="680">
        <v>137186.87673749999</v>
      </c>
    </row>
    <row r="15" spans="1:8" s="331" customFormat="1" ht="9" customHeight="1">
      <c r="A15" s="674" t="s">
        <v>102</v>
      </c>
      <c r="B15" s="626" t="s">
        <v>334</v>
      </c>
      <c r="C15" s="627"/>
      <c r="D15" s="627">
        <v>3652.7770324999997</v>
      </c>
      <c r="E15" s="627"/>
      <c r="F15" s="627">
        <v>3652.7770324999997</v>
      </c>
      <c r="G15" s="679">
        <v>49565.638052500006</v>
      </c>
    </row>
    <row r="16" spans="1:8" s="331" customFormat="1" ht="9" customHeight="1">
      <c r="A16" s="676" t="s">
        <v>539</v>
      </c>
      <c r="B16" s="512"/>
      <c r="C16" s="513"/>
      <c r="D16" s="513">
        <v>3652.7770324999997</v>
      </c>
      <c r="E16" s="513"/>
      <c r="F16" s="513">
        <v>3652.7770324999997</v>
      </c>
      <c r="G16" s="680">
        <v>49565.638052500006</v>
      </c>
    </row>
    <row r="17" spans="1:7" s="331" customFormat="1" ht="9" customHeight="1">
      <c r="A17" s="674" t="s">
        <v>119</v>
      </c>
      <c r="B17" s="626" t="s">
        <v>335</v>
      </c>
      <c r="C17" s="627"/>
      <c r="D17" s="627">
        <v>1699.4767075</v>
      </c>
      <c r="E17" s="627"/>
      <c r="F17" s="627">
        <v>1699.4767075</v>
      </c>
      <c r="G17" s="679">
        <v>6229.4230225000001</v>
      </c>
    </row>
    <row r="18" spans="1:7" s="331" customFormat="1" ht="9" customHeight="1">
      <c r="A18" s="676" t="s">
        <v>540</v>
      </c>
      <c r="B18" s="512"/>
      <c r="C18" s="513"/>
      <c r="D18" s="513">
        <v>1699.4767075</v>
      </c>
      <c r="E18" s="513"/>
      <c r="F18" s="513">
        <v>1699.4767075</v>
      </c>
      <c r="G18" s="680">
        <v>6229.4230225000001</v>
      </c>
    </row>
    <row r="19" spans="1:7" s="331" customFormat="1" ht="9" customHeight="1">
      <c r="A19" s="674" t="s">
        <v>113</v>
      </c>
      <c r="B19" s="626" t="s">
        <v>461</v>
      </c>
      <c r="C19" s="627"/>
      <c r="D19" s="627"/>
      <c r="E19" s="627">
        <v>12519.758717500001</v>
      </c>
      <c r="F19" s="627">
        <v>12519.758717500001</v>
      </c>
      <c r="G19" s="679">
        <v>132330.34277749999</v>
      </c>
    </row>
    <row r="20" spans="1:7" s="331" customFormat="1" ht="9" customHeight="1">
      <c r="A20" s="674"/>
      <c r="B20" s="626" t="s">
        <v>69</v>
      </c>
      <c r="C20" s="627"/>
      <c r="D20" s="627"/>
      <c r="E20" s="627">
        <v>3639.630545</v>
      </c>
      <c r="F20" s="627">
        <v>3639.630545</v>
      </c>
      <c r="G20" s="679">
        <v>47203.801387499996</v>
      </c>
    </row>
    <row r="21" spans="1:7" s="331" customFormat="1" ht="9" customHeight="1">
      <c r="A21" s="676" t="s">
        <v>541</v>
      </c>
      <c r="B21" s="512"/>
      <c r="C21" s="513"/>
      <c r="D21" s="513"/>
      <c r="E21" s="513">
        <v>16159.389262500001</v>
      </c>
      <c r="F21" s="513">
        <v>16159.389262500001</v>
      </c>
      <c r="G21" s="680">
        <v>179534.14416499998</v>
      </c>
    </row>
    <row r="22" spans="1:7" s="331" customFormat="1" ht="9" customHeight="1">
      <c r="A22" s="674" t="s">
        <v>90</v>
      </c>
      <c r="B22" s="626" t="s">
        <v>336</v>
      </c>
      <c r="C22" s="627">
        <v>20700.0278225</v>
      </c>
      <c r="D22" s="627"/>
      <c r="E22" s="627"/>
      <c r="F22" s="627">
        <v>20700.0278225</v>
      </c>
      <c r="G22" s="679">
        <v>247067.8989725</v>
      </c>
    </row>
    <row r="23" spans="1:7" s="331" customFormat="1" ht="9" customHeight="1">
      <c r="A23" s="674"/>
      <c r="B23" s="626" t="s">
        <v>337</v>
      </c>
      <c r="C23" s="627">
        <v>43942.387482499995</v>
      </c>
      <c r="D23" s="627"/>
      <c r="E23" s="627"/>
      <c r="F23" s="627">
        <v>43942.387482499995</v>
      </c>
      <c r="G23" s="679">
        <v>646467.32089999993</v>
      </c>
    </row>
    <row r="24" spans="1:7" s="331" customFormat="1" ht="9" customHeight="1">
      <c r="A24" s="674"/>
      <c r="B24" s="626" t="s">
        <v>338</v>
      </c>
      <c r="C24" s="627">
        <v>3726.96549</v>
      </c>
      <c r="D24" s="627"/>
      <c r="E24" s="627"/>
      <c r="F24" s="627">
        <v>3726.96549</v>
      </c>
      <c r="G24" s="679">
        <v>83106.597495000009</v>
      </c>
    </row>
    <row r="25" spans="1:7" s="331" customFormat="1" ht="9" customHeight="1">
      <c r="A25" s="674"/>
      <c r="B25" s="626" t="s">
        <v>339</v>
      </c>
      <c r="C25" s="627">
        <v>118.6386225</v>
      </c>
      <c r="D25" s="627"/>
      <c r="E25" s="627"/>
      <c r="F25" s="627">
        <v>118.6386225</v>
      </c>
      <c r="G25" s="679">
        <v>431.90974749999998</v>
      </c>
    </row>
    <row r="26" spans="1:7" s="331" customFormat="1" ht="9" customHeight="1">
      <c r="A26" s="674"/>
      <c r="B26" s="626" t="s">
        <v>340</v>
      </c>
      <c r="C26" s="627">
        <v>17927.4201975</v>
      </c>
      <c r="D26" s="627"/>
      <c r="E26" s="627"/>
      <c r="F26" s="627">
        <v>17927.4201975</v>
      </c>
      <c r="G26" s="679">
        <v>210230.96996749996</v>
      </c>
    </row>
    <row r="27" spans="1:7" s="331" customFormat="1" ht="9" customHeight="1">
      <c r="A27" s="674"/>
      <c r="B27" s="626" t="s">
        <v>341</v>
      </c>
      <c r="C27" s="627">
        <v>1940.1512150000001</v>
      </c>
      <c r="D27" s="627"/>
      <c r="E27" s="627"/>
      <c r="F27" s="627">
        <v>1940.1512150000001</v>
      </c>
      <c r="G27" s="679">
        <v>20380.699017500003</v>
      </c>
    </row>
    <row r="28" spans="1:7" s="331" customFormat="1" ht="9" customHeight="1">
      <c r="A28" s="674"/>
      <c r="B28" s="626" t="s">
        <v>342</v>
      </c>
      <c r="C28" s="627">
        <v>4772.1324599999998</v>
      </c>
      <c r="D28" s="627"/>
      <c r="E28" s="627"/>
      <c r="F28" s="627">
        <v>4772.1324599999998</v>
      </c>
      <c r="G28" s="679">
        <v>50095.850130000006</v>
      </c>
    </row>
    <row r="29" spans="1:7" s="331" customFormat="1" ht="8.25" customHeight="1">
      <c r="A29" s="674"/>
      <c r="B29" s="626" t="s">
        <v>343</v>
      </c>
      <c r="C29" s="627">
        <v>4637.8915775000005</v>
      </c>
      <c r="D29" s="627"/>
      <c r="E29" s="627"/>
      <c r="F29" s="627">
        <v>4637.8915775000005</v>
      </c>
      <c r="G29" s="679">
        <v>30631.608930000002</v>
      </c>
    </row>
    <row r="30" spans="1:7" s="331" customFormat="1" ht="9" customHeight="1">
      <c r="A30" s="674"/>
      <c r="B30" s="626" t="s">
        <v>344</v>
      </c>
      <c r="C30" s="627">
        <v>833.86328499999991</v>
      </c>
      <c r="D30" s="627"/>
      <c r="E30" s="627"/>
      <c r="F30" s="627">
        <v>833.86328499999991</v>
      </c>
      <c r="G30" s="679">
        <v>10249.1080425</v>
      </c>
    </row>
    <row r="31" spans="1:7" s="331" customFormat="1" ht="9" customHeight="1">
      <c r="A31" s="674"/>
      <c r="B31" s="626" t="s">
        <v>345</v>
      </c>
      <c r="C31" s="627">
        <v>283.97325999999998</v>
      </c>
      <c r="D31" s="627"/>
      <c r="E31" s="627"/>
      <c r="F31" s="627">
        <v>283.97325999999998</v>
      </c>
      <c r="G31" s="679">
        <v>1620.0996625</v>
      </c>
    </row>
    <row r="32" spans="1:7" s="331" customFormat="1" ht="9" customHeight="1">
      <c r="A32" s="674"/>
      <c r="B32" s="626" t="s">
        <v>346</v>
      </c>
      <c r="C32" s="627">
        <v>215.40640250000001</v>
      </c>
      <c r="D32" s="627"/>
      <c r="E32" s="627"/>
      <c r="F32" s="627">
        <v>215.40640250000001</v>
      </c>
      <c r="G32" s="679">
        <v>1575.9875374999999</v>
      </c>
    </row>
    <row r="33" spans="1:8" s="331" customFormat="1" ht="9" customHeight="1">
      <c r="A33" s="674"/>
      <c r="B33" s="626" t="s">
        <v>347</v>
      </c>
      <c r="C33" s="627">
        <v>55904.850614999996</v>
      </c>
      <c r="D33" s="627"/>
      <c r="E33" s="627"/>
      <c r="F33" s="627">
        <v>55904.850614999996</v>
      </c>
      <c r="G33" s="679">
        <v>631564.773805</v>
      </c>
    </row>
    <row r="34" spans="1:8" s="331" customFormat="1" ht="9" customHeight="1">
      <c r="A34" s="676" t="s">
        <v>542</v>
      </c>
      <c r="B34" s="512"/>
      <c r="C34" s="513">
        <v>155003.70843</v>
      </c>
      <c r="D34" s="513"/>
      <c r="E34" s="513"/>
      <c r="F34" s="513">
        <v>155003.70843</v>
      </c>
      <c r="G34" s="680">
        <v>1933422.8242075001</v>
      </c>
    </row>
    <row r="35" spans="1:8" s="331" customFormat="1" ht="9" customHeight="1">
      <c r="A35" s="674" t="s">
        <v>109</v>
      </c>
      <c r="B35" s="626" t="s">
        <v>231</v>
      </c>
      <c r="C35" s="627"/>
      <c r="D35" s="627"/>
      <c r="E35" s="627">
        <v>4569.1968475000003</v>
      </c>
      <c r="F35" s="627">
        <v>4569.1968475000003</v>
      </c>
      <c r="G35" s="679">
        <v>38684.379542500006</v>
      </c>
    </row>
    <row r="36" spans="1:8" s="331" customFormat="1" ht="9" customHeight="1">
      <c r="A36" s="676" t="s">
        <v>543</v>
      </c>
      <c r="B36" s="512"/>
      <c r="C36" s="513"/>
      <c r="D36" s="513"/>
      <c r="E36" s="513">
        <v>4569.1968475000003</v>
      </c>
      <c r="F36" s="513">
        <v>4569.1968475000003</v>
      </c>
      <c r="G36" s="680">
        <v>38684.379542500006</v>
      </c>
    </row>
    <row r="37" spans="1:8">
      <c r="A37" s="674" t="s">
        <v>100</v>
      </c>
      <c r="B37" s="626" t="s">
        <v>433</v>
      </c>
      <c r="C37" s="626"/>
      <c r="D37" s="626">
        <v>86537.646402500002</v>
      </c>
      <c r="E37" s="626"/>
      <c r="F37" s="626">
        <v>86537.646402500002</v>
      </c>
      <c r="G37" s="681">
        <v>876307.52548499999</v>
      </c>
    </row>
    <row r="38" spans="1:8">
      <c r="A38" s="676" t="s">
        <v>544</v>
      </c>
      <c r="B38" s="512"/>
      <c r="C38" s="513"/>
      <c r="D38" s="513">
        <v>86537.646402500002</v>
      </c>
      <c r="E38" s="513"/>
      <c r="F38" s="513">
        <v>86537.646402500002</v>
      </c>
      <c r="G38" s="680">
        <v>876307.52548499999</v>
      </c>
    </row>
    <row r="39" spans="1:8">
      <c r="A39" s="682" t="s">
        <v>105</v>
      </c>
      <c r="B39" s="638" t="s">
        <v>348</v>
      </c>
      <c r="C39" s="639"/>
      <c r="D39" s="639">
        <v>11319.349812500001</v>
      </c>
      <c r="E39" s="639"/>
      <c r="F39" s="639">
        <v>11319.349812500001</v>
      </c>
      <c r="G39" s="683">
        <v>29243.930162500001</v>
      </c>
    </row>
    <row r="40" spans="1:8">
      <c r="A40" s="684" t="s">
        <v>545</v>
      </c>
      <c r="B40" s="685"/>
      <c r="C40" s="686"/>
      <c r="D40" s="686">
        <v>11319.349812500001</v>
      </c>
      <c r="E40" s="686"/>
      <c r="F40" s="686">
        <v>11319.349812500001</v>
      </c>
      <c r="G40" s="687">
        <v>29243.930162500001</v>
      </c>
    </row>
    <row r="41" spans="1:8">
      <c r="A41" s="497" t="s">
        <v>422</v>
      </c>
      <c r="B41" s="497"/>
      <c r="C41" s="496">
        <v>1923867.4909999999</v>
      </c>
      <c r="D41" s="496">
        <v>2128745.0455375002</v>
      </c>
      <c r="E41" s="496">
        <v>412064.25712999993</v>
      </c>
      <c r="F41" s="496">
        <v>4464676.793667499</v>
      </c>
      <c r="G41" s="640">
        <v>40218015.342915006</v>
      </c>
    </row>
    <row r="42" spans="1:8">
      <c r="A42" s="497" t="s">
        <v>349</v>
      </c>
      <c r="B42" s="497"/>
      <c r="C42" s="498"/>
      <c r="D42" s="498"/>
      <c r="E42" s="533"/>
      <c r="F42" s="499">
        <f>+'3. Tipo Generación'!D14*1000</f>
        <v>0</v>
      </c>
      <c r="G42" s="641">
        <f>+'4. Tipo Recurso'!$G$21*1000</f>
        <v>37447.757109999999</v>
      </c>
    </row>
    <row r="43" spans="1:8">
      <c r="A43" s="642" t="s">
        <v>350</v>
      </c>
      <c r="B43" s="497"/>
      <c r="C43" s="498"/>
      <c r="D43" s="498"/>
      <c r="E43" s="533"/>
      <c r="F43" s="499"/>
      <c r="G43" s="641"/>
    </row>
    <row r="44" spans="1:8" ht="6.75" customHeight="1">
      <c r="A44" s="643"/>
      <c r="B44" s="643"/>
      <c r="C44" s="643"/>
      <c r="D44" s="643"/>
      <c r="E44" s="643"/>
      <c r="F44" s="643"/>
      <c r="G44" s="643"/>
    </row>
    <row r="45" spans="1:8" ht="23.25" customHeight="1">
      <c r="A45" s="992" t="s">
        <v>480</v>
      </c>
      <c r="B45" s="992"/>
      <c r="C45" s="992"/>
      <c r="D45" s="992"/>
      <c r="E45" s="992"/>
      <c r="F45" s="992"/>
      <c r="G45" s="992"/>
    </row>
    <row r="46" spans="1:8" ht="17.25" customHeight="1">
      <c r="A46" s="706"/>
      <c r="B46" s="706"/>
      <c r="C46" s="706"/>
      <c r="D46" s="706"/>
      <c r="E46" s="706"/>
      <c r="F46" s="706"/>
      <c r="G46" s="706"/>
      <c r="H46" s="46"/>
    </row>
    <row r="47" spans="1:8" ht="17.25" customHeight="1">
      <c r="A47" s="706" t="s">
        <v>574</v>
      </c>
      <c r="B47" s="706"/>
      <c r="C47" s="706"/>
      <c r="D47" s="706"/>
      <c r="E47" s="706"/>
      <c r="F47" s="706"/>
      <c r="G47" s="706"/>
      <c r="H47" s="46"/>
    </row>
    <row r="48" spans="1:8" s="412" customFormat="1" ht="17.25" customHeight="1">
      <c r="A48" s="706" t="s">
        <v>733</v>
      </c>
      <c r="B48" s="706"/>
      <c r="C48" s="706"/>
      <c r="D48" s="706"/>
      <c r="E48" s="706"/>
      <c r="F48" s="706"/>
      <c r="G48" s="706"/>
      <c r="H48" s="46"/>
    </row>
    <row r="49" spans="1:8" ht="17.25" customHeight="1">
      <c r="B49" s="706"/>
      <c r="C49" s="706"/>
      <c r="D49" s="706"/>
      <c r="E49" s="706"/>
      <c r="F49" s="706"/>
      <c r="G49" s="706"/>
      <c r="H49" s="46"/>
    </row>
    <row r="50" spans="1:8" ht="17.25" customHeight="1">
      <c r="A50" s="706"/>
      <c r="B50" s="278"/>
      <c r="C50" s="278"/>
      <c r="D50" s="278"/>
      <c r="E50" s="278"/>
      <c r="F50" s="278"/>
      <c r="G50" s="46"/>
      <c r="H50" s="46"/>
    </row>
    <row r="51" spans="1:8" ht="17.25" customHeight="1">
      <c r="A51" s="706"/>
      <c r="B51" s="278"/>
      <c r="C51" s="278"/>
      <c r="D51" s="278"/>
      <c r="E51" s="278"/>
      <c r="F51" s="278"/>
      <c r="G51" s="46"/>
      <c r="H51" s="46"/>
    </row>
    <row r="52" spans="1:8" ht="22.5" customHeight="1">
      <c r="A52" s="991"/>
      <c r="B52" s="991"/>
      <c r="C52" s="991"/>
      <c r="D52" s="991"/>
      <c r="E52" s="991"/>
      <c r="F52" s="991"/>
      <c r="G52" s="991"/>
    </row>
    <row r="53" spans="1:8" ht="16.5" customHeight="1">
      <c r="A53" s="706"/>
      <c r="B53" s="274"/>
      <c r="C53" s="274"/>
      <c r="D53" s="274"/>
      <c r="E53" s="274"/>
      <c r="F53" s="274"/>
    </row>
    <row r="54" spans="1:8" s="730" customFormat="1" ht="16.5" customHeight="1">
      <c r="A54" s="706"/>
      <c r="B54" s="274"/>
      <c r="C54" s="274"/>
      <c r="D54" s="274"/>
      <c r="E54" s="274"/>
      <c r="F54" s="274"/>
    </row>
    <row r="55" spans="1:8" s="730" customFormat="1" ht="16.5" customHeight="1">
      <c r="A55" s="706"/>
      <c r="B55" s="274"/>
      <c r="C55" s="274"/>
      <c r="D55" s="274"/>
      <c r="E55" s="274"/>
      <c r="F55" s="274"/>
    </row>
    <row r="56" spans="1:8">
      <c r="A56" s="331"/>
      <c r="B56" s="274"/>
      <c r="C56" s="274"/>
      <c r="D56" s="274"/>
      <c r="E56" s="274"/>
      <c r="F56" s="274"/>
    </row>
    <row r="57" spans="1:8">
      <c r="A57" s="331"/>
      <c r="B57" s="274"/>
      <c r="C57" s="274"/>
      <c r="D57" s="274"/>
      <c r="E57" s="274"/>
      <c r="F57" s="274"/>
    </row>
    <row r="58" spans="1:8">
      <c r="A58" s="331"/>
      <c r="B58" s="274"/>
      <c r="C58" s="274"/>
      <c r="D58" s="274"/>
      <c r="E58" s="274"/>
      <c r="F58" s="274"/>
    </row>
    <row r="59" spans="1:8">
      <c r="A59" s="331"/>
      <c r="B59" s="274"/>
      <c r="C59" s="274"/>
      <c r="D59" s="274"/>
      <c r="E59" s="274"/>
      <c r="F59" s="274"/>
    </row>
    <row r="60" spans="1:8">
      <c r="A60" s="331"/>
      <c r="B60" s="274"/>
      <c r="C60" s="274"/>
      <c r="D60" s="274"/>
      <c r="E60" s="274"/>
      <c r="F60" s="274"/>
    </row>
    <row r="61" spans="1:8">
      <c r="A61" s="331"/>
    </row>
    <row r="62" spans="1:8">
      <c r="A62" s="331"/>
    </row>
    <row r="63" spans="1:8">
      <c r="A63" s="331"/>
    </row>
  </sheetData>
  <mergeCells count="7">
    <mergeCell ref="A52:G52"/>
    <mergeCell ref="A45:G45"/>
    <mergeCell ref="A1:A4"/>
    <mergeCell ref="B1:B4"/>
    <mergeCell ref="C1:F1"/>
    <mergeCell ref="C2:E2"/>
    <mergeCell ref="F2:F3"/>
  </mergeCells>
  <pageMargins left="0.70866141732283472" right="0.47244094488188981" top="1.0236220472440944" bottom="0.62992125984251968" header="0.31496062992125984" footer="0.31496062992125984"/>
  <pageSetup paperSize="9" scale="95" orientation="portrait" r:id="rId1"/>
  <headerFooter>
    <oddHeader>&amp;R&amp;7Informe de la Operación Mensual-Octubre 2020
INFSGI-MES-10-2020
12/11/2020
Versión: 01</oddHeader>
    <oddFooter>&amp;L&amp;7COES, 2020&amp;C20&amp;R&amp;7Dirección Ejecutiva
Sub Dirección de Gestión de Información</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tabColor theme="4"/>
  </sheetPr>
  <dimension ref="A1:P189"/>
  <sheetViews>
    <sheetView showGridLines="0" view="pageBreakPreview" zoomScaleNormal="100" zoomScaleSheetLayoutView="100" zoomScalePageLayoutView="160" workbookViewId="0">
      <selection activeCell="D61" sqref="D61"/>
    </sheetView>
  </sheetViews>
  <sheetFormatPr defaultColWidth="9.33203125" defaultRowHeight="9"/>
  <cols>
    <col min="1" max="1" width="28.83203125" style="274" customWidth="1"/>
    <col min="2" max="2" width="27.5" style="274" customWidth="1"/>
    <col min="3" max="3" width="17.6640625" style="274" customWidth="1"/>
    <col min="4" max="4" width="18" style="274" customWidth="1"/>
    <col min="5" max="5" width="18.83203125" style="274" customWidth="1"/>
    <col min="6" max="6" width="15.1640625" style="274" customWidth="1"/>
    <col min="7" max="7" width="9.33203125" style="274"/>
    <col min="8" max="8" width="15.6640625" style="274" customWidth="1"/>
    <col min="9" max="9" width="9.33203125" style="274"/>
    <col min="10" max="11" width="9.33203125" style="274" customWidth="1"/>
    <col min="12" max="16384" width="9.33203125" style="274"/>
  </cols>
  <sheetData>
    <row r="1" spans="1:12" ht="11.25" customHeight="1">
      <c r="A1" s="652" t="s">
        <v>353</v>
      </c>
      <c r="B1" s="653"/>
      <c r="C1" s="653"/>
      <c r="D1" s="653"/>
      <c r="E1" s="653"/>
      <c r="F1" s="653"/>
    </row>
    <row r="2" spans="1:12" s="331" customFormat="1" ht="11.25" customHeight="1">
      <c r="A2" s="993" t="s">
        <v>250</v>
      </c>
      <c r="B2" s="996" t="s">
        <v>54</v>
      </c>
      <c r="C2" s="996" t="s">
        <v>354</v>
      </c>
      <c r="D2" s="996"/>
      <c r="E2" s="996"/>
      <c r="F2" s="999"/>
      <c r="G2" s="439"/>
      <c r="H2" s="439"/>
      <c r="I2" s="439"/>
      <c r="J2" s="439"/>
      <c r="K2" s="439"/>
    </row>
    <row r="3" spans="1:12" s="331" customFormat="1" ht="11.25" customHeight="1">
      <c r="A3" s="994"/>
      <c r="B3" s="997"/>
      <c r="C3" s="500" t="str">
        <f>UPPER('1. Resumen'!Q4)&amp;" "&amp;'1. Resumen'!Q5</f>
        <v>OCTUBRE 2020</v>
      </c>
      <c r="D3" s="501" t="str">
        <f>UPPER('1. Resumen'!Q4)&amp;" "&amp;'1. Resumen'!Q5-1</f>
        <v>OCTUBRE 2019</v>
      </c>
      <c r="E3" s="501">
        <v>2020</v>
      </c>
      <c r="F3" s="644" t="s">
        <v>479</v>
      </c>
      <c r="G3" s="440"/>
      <c r="H3" s="440"/>
      <c r="I3" s="440"/>
      <c r="J3" s="440"/>
      <c r="K3" s="440"/>
      <c r="L3" s="439"/>
    </row>
    <row r="4" spans="1:12" s="331" customFormat="1" ht="11.25" customHeight="1">
      <c r="A4" s="994"/>
      <c r="B4" s="997"/>
      <c r="C4" s="503">
        <f>+'8. Max Potencia'!D8</f>
        <v>44127.78125</v>
      </c>
      <c r="D4" s="503">
        <f>+'8. Max Potencia'!E8</f>
        <v>43767.791666666664</v>
      </c>
      <c r="E4" s="503">
        <f>+'8. Max Potencia'!G8</f>
        <v>43886.8125</v>
      </c>
      <c r="F4" s="645" t="s">
        <v>351</v>
      </c>
      <c r="G4" s="441"/>
      <c r="H4" s="441"/>
      <c r="I4" s="442"/>
      <c r="J4" s="442"/>
      <c r="K4" s="442"/>
      <c r="L4" s="439"/>
    </row>
    <row r="5" spans="1:12" s="331" customFormat="1" ht="11.25" customHeight="1">
      <c r="A5" s="995"/>
      <c r="B5" s="998"/>
      <c r="C5" s="647">
        <f>+'8. Max Potencia'!D9</f>
        <v>44127.78125</v>
      </c>
      <c r="D5" s="647">
        <f>+'8. Max Potencia'!E9</f>
        <v>43767.791666666664</v>
      </c>
      <c r="E5" s="647">
        <f>+'8. Max Potencia'!G9</f>
        <v>43886.8125</v>
      </c>
      <c r="F5" s="648" t="s">
        <v>352</v>
      </c>
      <c r="G5" s="441"/>
      <c r="H5" s="441"/>
      <c r="I5" s="441"/>
      <c r="J5" s="441"/>
      <c r="K5" s="441"/>
      <c r="L5" s="443"/>
    </row>
    <row r="6" spans="1:12" s="331" customFormat="1" ht="9" customHeight="1">
      <c r="A6" s="694" t="s">
        <v>121</v>
      </c>
      <c r="B6" s="436" t="s">
        <v>86</v>
      </c>
      <c r="C6" s="444">
        <v>18.936800000000002</v>
      </c>
      <c r="D6" s="786">
        <v>0</v>
      </c>
      <c r="E6" s="789">
        <v>0</v>
      </c>
      <c r="F6" s="699" t="str">
        <f>+IF(D6=0,"",C6/D6-1)</f>
        <v/>
      </c>
      <c r="G6" s="441"/>
      <c r="H6" s="751"/>
      <c r="I6" s="751"/>
      <c r="J6" s="441"/>
      <c r="K6" s="441"/>
      <c r="L6" s="445"/>
    </row>
    <row r="7" spans="1:12" s="331" customFormat="1" ht="9" customHeight="1">
      <c r="A7" s="676" t="s">
        <v>487</v>
      </c>
      <c r="B7" s="512"/>
      <c r="C7" s="514">
        <v>18.936800000000002</v>
      </c>
      <c r="D7" s="787">
        <v>0</v>
      </c>
      <c r="E7" s="790">
        <v>0</v>
      </c>
      <c r="F7" s="677" t="str">
        <f t="shared" ref="F7:F70" si="0">+IF(D7=0,"",C7/D7-1)</f>
        <v/>
      </c>
      <c r="G7" s="441"/>
      <c r="H7" s="751"/>
      <c r="I7" s="751"/>
      <c r="J7" s="441"/>
      <c r="K7" s="441"/>
      <c r="L7" s="446"/>
    </row>
    <row r="8" spans="1:12" s="331" customFormat="1" ht="9" customHeight="1">
      <c r="A8" s="694" t="s">
        <v>120</v>
      </c>
      <c r="B8" s="436" t="s">
        <v>63</v>
      </c>
      <c r="C8" s="444">
        <v>0</v>
      </c>
      <c r="D8" s="786">
        <v>19.29279</v>
      </c>
      <c r="E8" s="789">
        <v>12.31569</v>
      </c>
      <c r="F8" s="700">
        <f t="shared" si="0"/>
        <v>-1</v>
      </c>
      <c r="G8" s="441"/>
      <c r="H8" s="751"/>
      <c r="I8" s="751"/>
      <c r="J8" s="441"/>
      <c r="K8" s="441"/>
      <c r="L8" s="447"/>
    </row>
    <row r="9" spans="1:12" s="331" customFormat="1" ht="9" customHeight="1">
      <c r="A9" s="676" t="s">
        <v>488</v>
      </c>
      <c r="B9" s="512"/>
      <c r="C9" s="514">
        <v>0</v>
      </c>
      <c r="D9" s="787">
        <v>19.29279</v>
      </c>
      <c r="E9" s="790">
        <v>12.31569</v>
      </c>
      <c r="F9" s="677">
        <f t="shared" si="0"/>
        <v>-1</v>
      </c>
      <c r="G9" s="441"/>
      <c r="H9" s="751"/>
      <c r="I9" s="751"/>
      <c r="J9" s="441"/>
      <c r="K9" s="441"/>
      <c r="L9" s="446"/>
    </row>
    <row r="10" spans="1:12" s="331" customFormat="1" ht="9" customHeight="1">
      <c r="A10" s="674" t="s">
        <v>106</v>
      </c>
      <c r="B10" s="626" t="s">
        <v>83</v>
      </c>
      <c r="C10" s="628">
        <v>16.95091</v>
      </c>
      <c r="D10" s="788">
        <v>15.04555</v>
      </c>
      <c r="E10" s="791">
        <v>0</v>
      </c>
      <c r="F10" s="675">
        <f t="shared" si="0"/>
        <v>0.12663943823921353</v>
      </c>
      <c r="G10" s="441"/>
      <c r="H10" s="751"/>
      <c r="I10" s="751"/>
      <c r="J10" s="441"/>
      <c r="K10" s="441"/>
      <c r="L10" s="446"/>
    </row>
    <row r="11" spans="1:12" s="331" customFormat="1" ht="9" customHeight="1">
      <c r="A11" s="676" t="s">
        <v>489</v>
      </c>
      <c r="B11" s="512"/>
      <c r="C11" s="514">
        <v>16.95091</v>
      </c>
      <c r="D11" s="787">
        <v>15.04555</v>
      </c>
      <c r="E11" s="790">
        <v>0</v>
      </c>
      <c r="F11" s="677">
        <f t="shared" si="0"/>
        <v>0.12663943823921353</v>
      </c>
      <c r="G11" s="441"/>
      <c r="H11" s="751"/>
      <c r="I11" s="751"/>
      <c r="J11" s="441"/>
      <c r="K11" s="441"/>
      <c r="L11" s="446"/>
    </row>
    <row r="12" spans="1:12" s="331" customFormat="1" ht="9" customHeight="1">
      <c r="A12" s="674" t="s">
        <v>418</v>
      </c>
      <c r="B12" s="626" t="s">
        <v>420</v>
      </c>
      <c r="C12" s="628">
        <v>20.584229999999998</v>
      </c>
      <c r="D12" s="788">
        <v>11.063040000000001</v>
      </c>
      <c r="E12" s="791">
        <v>20.564639999999997</v>
      </c>
      <c r="F12" s="675">
        <f t="shared" si="0"/>
        <v>0.86063053193335626</v>
      </c>
      <c r="G12" s="441"/>
      <c r="H12" s="751"/>
      <c r="I12" s="751"/>
      <c r="J12" s="441"/>
      <c r="K12" s="441"/>
      <c r="L12" s="446"/>
    </row>
    <row r="13" spans="1:12" s="331" customFormat="1" ht="9" customHeight="1">
      <c r="A13" s="676" t="s">
        <v>490</v>
      </c>
      <c r="B13" s="512"/>
      <c r="C13" s="514">
        <v>20.584229999999998</v>
      </c>
      <c r="D13" s="787">
        <v>11.063040000000001</v>
      </c>
      <c r="E13" s="790">
        <v>20.564639999999997</v>
      </c>
      <c r="F13" s="677">
        <f t="shared" si="0"/>
        <v>0.86063053193335626</v>
      </c>
      <c r="G13" s="441"/>
      <c r="H13" s="751"/>
      <c r="I13" s="751"/>
      <c r="J13" s="441"/>
      <c r="K13" s="441"/>
      <c r="L13" s="446"/>
    </row>
    <row r="14" spans="1:12" s="331" customFormat="1" ht="9" customHeight="1">
      <c r="A14" s="674" t="s">
        <v>457</v>
      </c>
      <c r="B14" s="626" t="s">
        <v>464</v>
      </c>
      <c r="C14" s="628">
        <v>9.21875</v>
      </c>
      <c r="D14" s="788">
        <v>10.9375</v>
      </c>
      <c r="E14" s="791">
        <v>9.125</v>
      </c>
      <c r="F14" s="675">
        <f t="shared" si="0"/>
        <v>-0.15714285714285714</v>
      </c>
      <c r="G14" s="441"/>
      <c r="H14" s="751"/>
      <c r="I14" s="751"/>
      <c r="J14" s="441"/>
      <c r="K14" s="441"/>
      <c r="L14" s="446"/>
    </row>
    <row r="15" spans="1:12" s="331" customFormat="1" ht="9" customHeight="1">
      <c r="A15" s="676" t="s">
        <v>491</v>
      </c>
      <c r="B15" s="512"/>
      <c r="C15" s="514">
        <v>9.21875</v>
      </c>
      <c r="D15" s="787">
        <v>10.9375</v>
      </c>
      <c r="E15" s="790">
        <v>9.125</v>
      </c>
      <c r="F15" s="677">
        <f t="shared" si="0"/>
        <v>-0.15714285714285714</v>
      </c>
      <c r="G15" s="441"/>
      <c r="H15" s="751"/>
      <c r="I15" s="751"/>
      <c r="J15" s="441"/>
      <c r="K15" s="441"/>
      <c r="L15" s="446"/>
    </row>
    <row r="16" spans="1:12" s="331" customFormat="1" ht="9" customHeight="1">
      <c r="A16" s="674" t="s">
        <v>94</v>
      </c>
      <c r="B16" s="626" t="s">
        <v>281</v>
      </c>
      <c r="C16" s="628">
        <v>173.91239000000002</v>
      </c>
      <c r="D16" s="788">
        <v>194.63587000000001</v>
      </c>
      <c r="E16" s="791">
        <v>209.33445999999998</v>
      </c>
      <c r="F16" s="675">
        <f t="shared" si="0"/>
        <v>-0.1064730771362955</v>
      </c>
      <c r="G16" s="441"/>
      <c r="H16" s="751"/>
      <c r="I16" s="751"/>
      <c r="J16" s="441"/>
      <c r="K16" s="441"/>
      <c r="L16" s="446"/>
    </row>
    <row r="17" spans="1:16" s="331" customFormat="1" ht="9" customHeight="1">
      <c r="A17" s="676" t="s">
        <v>492</v>
      </c>
      <c r="B17" s="512"/>
      <c r="C17" s="514">
        <v>173.91239000000002</v>
      </c>
      <c r="D17" s="787">
        <v>194.63587000000001</v>
      </c>
      <c r="E17" s="790">
        <v>209.33445999999998</v>
      </c>
      <c r="F17" s="677">
        <f t="shared" si="0"/>
        <v>-0.1064730771362955</v>
      </c>
      <c r="G17" s="441"/>
      <c r="H17" s="751"/>
      <c r="I17" s="751"/>
      <c r="J17" s="441"/>
      <c r="K17" s="441"/>
      <c r="L17" s="447"/>
    </row>
    <row r="18" spans="1:16" s="331" customFormat="1" ht="9" customHeight="1">
      <c r="A18" s="674" t="s">
        <v>236</v>
      </c>
      <c r="B18" s="626" t="s">
        <v>282</v>
      </c>
      <c r="C18" s="628">
        <v>0</v>
      </c>
      <c r="D18" s="788">
        <v>0</v>
      </c>
      <c r="E18" s="791">
        <v>0</v>
      </c>
      <c r="F18" s="675" t="str">
        <f t="shared" si="0"/>
        <v/>
      </c>
      <c r="G18" s="441"/>
      <c r="H18" s="751"/>
      <c r="I18" s="751"/>
      <c r="J18" s="441"/>
      <c r="K18" s="441"/>
      <c r="L18" s="447"/>
    </row>
    <row r="19" spans="1:16" s="331" customFormat="1" ht="9" customHeight="1">
      <c r="A19" s="676" t="s">
        <v>493</v>
      </c>
      <c r="B19" s="512"/>
      <c r="C19" s="514">
        <v>0</v>
      </c>
      <c r="D19" s="787">
        <v>0</v>
      </c>
      <c r="E19" s="790">
        <v>0</v>
      </c>
      <c r="F19" s="677" t="str">
        <f t="shared" si="0"/>
        <v/>
      </c>
      <c r="G19" s="441"/>
      <c r="H19" s="751"/>
      <c r="I19" s="751"/>
      <c r="J19" s="441"/>
      <c r="K19" s="441"/>
      <c r="L19" s="447"/>
    </row>
    <row r="20" spans="1:16" s="331" customFormat="1" ht="9" customHeight="1">
      <c r="A20" s="674" t="s">
        <v>93</v>
      </c>
      <c r="B20" s="626" t="s">
        <v>283</v>
      </c>
      <c r="C20" s="628">
        <v>74.931539999999998</v>
      </c>
      <c r="D20" s="788">
        <v>103.22873</v>
      </c>
      <c r="E20" s="791">
        <v>152.27247</v>
      </c>
      <c r="F20" s="675">
        <f t="shared" si="0"/>
        <v>-0.27412126449681207</v>
      </c>
      <c r="G20" s="441"/>
      <c r="H20" s="751"/>
      <c r="I20" s="751"/>
      <c r="J20" s="441"/>
      <c r="K20" s="441"/>
      <c r="L20" s="441"/>
      <c r="M20" s="441"/>
      <c r="N20" s="441"/>
      <c r="O20" s="441"/>
      <c r="P20" s="441"/>
    </row>
    <row r="21" spans="1:16" s="331" customFormat="1" ht="9" customHeight="1">
      <c r="A21" s="674"/>
      <c r="B21" s="626" t="s">
        <v>284</v>
      </c>
      <c r="C21" s="628">
        <v>15.5587</v>
      </c>
      <c r="D21" s="788">
        <v>12.58389</v>
      </c>
      <c r="E21" s="791">
        <v>42.53781</v>
      </c>
      <c r="F21" s="675">
        <f t="shared" si="0"/>
        <v>0.2363982838375096</v>
      </c>
      <c r="G21" s="441"/>
      <c r="H21" s="751"/>
      <c r="I21" s="751"/>
      <c r="J21" s="441"/>
      <c r="K21" s="441"/>
      <c r="L21" s="441"/>
      <c r="M21" s="441"/>
      <c r="N21" s="441"/>
      <c r="O21" s="441"/>
      <c r="P21" s="441"/>
    </row>
    <row r="22" spans="1:16" s="331" customFormat="1" ht="9" customHeight="1">
      <c r="A22" s="676" t="s">
        <v>494</v>
      </c>
      <c r="B22" s="512"/>
      <c r="C22" s="514">
        <v>90.49024</v>
      </c>
      <c r="D22" s="787">
        <v>115.81262</v>
      </c>
      <c r="E22" s="790">
        <v>194.81028000000001</v>
      </c>
      <c r="F22" s="677">
        <f t="shared" si="0"/>
        <v>-0.21864957376838545</v>
      </c>
      <c r="G22" s="441"/>
      <c r="H22" s="751"/>
      <c r="I22" s="751"/>
      <c r="J22" s="441"/>
      <c r="K22" s="441"/>
      <c r="L22" s="446"/>
    </row>
    <row r="23" spans="1:16" s="331" customFormat="1" ht="9" customHeight="1">
      <c r="A23" s="674" t="s">
        <v>91</v>
      </c>
      <c r="B23" s="626" t="s">
        <v>285</v>
      </c>
      <c r="C23" s="628">
        <v>1.5637799999999999</v>
      </c>
      <c r="D23" s="788">
        <v>1.6665800000000002</v>
      </c>
      <c r="E23" s="791">
        <v>1.5918999999999999</v>
      </c>
      <c r="F23" s="675">
        <f t="shared" si="0"/>
        <v>-6.1683207526791572E-2</v>
      </c>
      <c r="G23" s="441"/>
      <c r="H23" s="751"/>
      <c r="I23" s="751"/>
      <c r="J23" s="441"/>
      <c r="K23" s="441"/>
      <c r="L23" s="446"/>
    </row>
    <row r="24" spans="1:16" s="331" customFormat="1" ht="9" customHeight="1">
      <c r="A24" s="674"/>
      <c r="B24" s="626" t="s">
        <v>286</v>
      </c>
      <c r="C24" s="628">
        <v>0.57556000000000007</v>
      </c>
      <c r="D24" s="788">
        <v>0.57611000000000001</v>
      </c>
      <c r="E24" s="791">
        <v>0.38527999999999996</v>
      </c>
      <c r="F24" s="675">
        <f t="shared" si="0"/>
        <v>-9.5467879398025701E-4</v>
      </c>
      <c r="G24" s="441"/>
      <c r="H24" s="751"/>
      <c r="I24" s="751"/>
      <c r="J24" s="441"/>
      <c r="K24" s="441"/>
      <c r="L24" s="446"/>
    </row>
    <row r="25" spans="1:16" s="331" customFormat="1" ht="9" customHeight="1">
      <c r="A25" s="674"/>
      <c r="B25" s="626" t="s">
        <v>287</v>
      </c>
      <c r="C25" s="628">
        <v>4.5867100000000001</v>
      </c>
      <c r="D25" s="788">
        <v>4.6443499999999993</v>
      </c>
      <c r="E25" s="791">
        <v>4.6962299999999999</v>
      </c>
      <c r="F25" s="675">
        <f t="shared" si="0"/>
        <v>-1.2410778688083157E-2</v>
      </c>
      <c r="G25" s="441"/>
      <c r="H25" s="751"/>
      <c r="I25" s="751"/>
      <c r="J25" s="441"/>
      <c r="K25" s="441"/>
      <c r="L25" s="446"/>
    </row>
    <row r="26" spans="1:16" s="331" customFormat="1" ht="9" customHeight="1">
      <c r="A26" s="674"/>
      <c r="B26" s="626" t="s">
        <v>288</v>
      </c>
      <c r="C26" s="628">
        <v>11.80761</v>
      </c>
      <c r="D26" s="788">
        <v>13.970659999999999</v>
      </c>
      <c r="E26" s="791">
        <v>15.07926</v>
      </c>
      <c r="F26" s="675">
        <f t="shared" si="0"/>
        <v>-0.1548280467780333</v>
      </c>
      <c r="G26" s="441"/>
      <c r="H26" s="751"/>
      <c r="I26" s="751"/>
      <c r="J26" s="441"/>
      <c r="K26" s="441"/>
      <c r="L26" s="446"/>
    </row>
    <row r="27" spans="1:16" s="331" customFormat="1" ht="9" customHeight="1">
      <c r="A27" s="674"/>
      <c r="B27" s="626" t="s">
        <v>289</v>
      </c>
      <c r="C27" s="628">
        <v>120.70835000000001</v>
      </c>
      <c r="D27" s="788">
        <v>125.61263000000001</v>
      </c>
      <c r="E27" s="791">
        <v>141.92739999999998</v>
      </c>
      <c r="F27" s="675">
        <f t="shared" si="0"/>
        <v>-3.9042889238128375E-2</v>
      </c>
      <c r="G27" s="441"/>
      <c r="H27" s="751"/>
      <c r="I27" s="751"/>
      <c r="J27" s="441"/>
      <c r="K27" s="441"/>
      <c r="L27" s="446"/>
    </row>
    <row r="28" spans="1:16" s="331" customFormat="1" ht="9" customHeight="1">
      <c r="A28" s="674"/>
      <c r="B28" s="626" t="s">
        <v>290</v>
      </c>
      <c r="C28" s="628">
        <v>6.9772100000000004</v>
      </c>
      <c r="D28" s="788">
        <v>8.5769599999999997</v>
      </c>
      <c r="E28" s="791">
        <v>7.5733499999999996</v>
      </c>
      <c r="F28" s="675">
        <f t="shared" si="0"/>
        <v>-0.1865171342760138</v>
      </c>
      <c r="G28" s="441"/>
      <c r="H28" s="751"/>
      <c r="I28" s="751"/>
      <c r="J28" s="441"/>
      <c r="K28" s="441"/>
      <c r="L28" s="446"/>
    </row>
    <row r="29" spans="1:16" s="331" customFormat="1" ht="9" customHeight="1">
      <c r="A29" s="674"/>
      <c r="B29" s="626" t="s">
        <v>291</v>
      </c>
      <c r="C29" s="628">
        <v>0</v>
      </c>
      <c r="D29" s="788">
        <v>0</v>
      </c>
      <c r="E29" s="791">
        <v>0</v>
      </c>
      <c r="F29" s="675" t="str">
        <f t="shared" si="0"/>
        <v/>
      </c>
      <c r="G29" s="441"/>
      <c r="H29" s="751"/>
      <c r="I29" s="751"/>
      <c r="J29" s="441"/>
      <c r="K29" s="441"/>
      <c r="L29" s="448"/>
    </row>
    <row r="30" spans="1:16" s="331" customFormat="1" ht="9" customHeight="1">
      <c r="A30" s="674"/>
      <c r="B30" s="626" t="s">
        <v>292</v>
      </c>
      <c r="C30" s="628">
        <v>0</v>
      </c>
      <c r="D30" s="788">
        <v>0</v>
      </c>
      <c r="E30" s="791">
        <v>0</v>
      </c>
      <c r="F30" s="675" t="str">
        <f t="shared" si="0"/>
        <v/>
      </c>
      <c r="G30" s="441"/>
      <c r="H30" s="751"/>
      <c r="I30" s="751"/>
      <c r="J30" s="441"/>
      <c r="K30" s="441"/>
      <c r="L30" s="446"/>
    </row>
    <row r="31" spans="1:16" s="331" customFormat="1" ht="9" customHeight="1">
      <c r="A31" s="674"/>
      <c r="B31" s="626" t="s">
        <v>293</v>
      </c>
      <c r="C31" s="628">
        <v>0</v>
      </c>
      <c r="D31" s="788">
        <v>0</v>
      </c>
      <c r="E31" s="791">
        <v>0</v>
      </c>
      <c r="F31" s="675" t="str">
        <f t="shared" si="0"/>
        <v/>
      </c>
      <c r="G31" s="441"/>
      <c r="H31" s="751"/>
      <c r="I31" s="751"/>
      <c r="J31" s="441"/>
      <c r="K31" s="441"/>
      <c r="L31" s="446"/>
    </row>
    <row r="32" spans="1:16" s="331" customFormat="1" ht="9" customHeight="1">
      <c r="A32" s="676" t="s">
        <v>495</v>
      </c>
      <c r="B32" s="512"/>
      <c r="C32" s="514">
        <v>146.21922000000004</v>
      </c>
      <c r="D32" s="787">
        <v>155.04729000000003</v>
      </c>
      <c r="E32" s="790">
        <v>171.25341999999998</v>
      </c>
      <c r="F32" s="677">
        <f t="shared" si="0"/>
        <v>-5.6937918747241523E-2</v>
      </c>
      <c r="G32" s="441"/>
      <c r="H32" s="751"/>
      <c r="I32" s="751"/>
      <c r="J32" s="441"/>
      <c r="K32" s="441"/>
      <c r="L32" s="446"/>
    </row>
    <row r="33" spans="1:12" s="331" customFormat="1" ht="9" customHeight="1">
      <c r="A33" s="674" t="s">
        <v>114</v>
      </c>
      <c r="B33" s="626" t="s">
        <v>70</v>
      </c>
      <c r="C33" s="628">
        <v>4.9999199999999995</v>
      </c>
      <c r="D33" s="788">
        <v>1.6198300000000001</v>
      </c>
      <c r="E33" s="791">
        <v>5.0030000000000001</v>
      </c>
      <c r="F33" s="675">
        <f t="shared" si="0"/>
        <v>2.0866942827333728</v>
      </c>
      <c r="G33" s="441"/>
      <c r="H33" s="751"/>
      <c r="I33" s="751"/>
      <c r="J33" s="441"/>
      <c r="K33" s="441"/>
      <c r="L33" s="448"/>
    </row>
    <row r="34" spans="1:12" s="331" customFormat="1" ht="9" customHeight="1">
      <c r="A34" s="676" t="s">
        <v>496</v>
      </c>
      <c r="B34" s="512"/>
      <c r="C34" s="514">
        <v>4.9999199999999995</v>
      </c>
      <c r="D34" s="787">
        <v>1.6198300000000001</v>
      </c>
      <c r="E34" s="790">
        <v>5.0030000000000001</v>
      </c>
      <c r="F34" s="677">
        <f t="shared" si="0"/>
        <v>2.0866942827333728</v>
      </c>
      <c r="G34" s="441"/>
      <c r="H34" s="751"/>
      <c r="I34" s="751"/>
      <c r="J34" s="441"/>
      <c r="K34" s="441"/>
      <c r="L34" s="446"/>
    </row>
    <row r="35" spans="1:12" s="331" customFormat="1" ht="9" customHeight="1">
      <c r="A35" s="674" t="s">
        <v>92</v>
      </c>
      <c r="B35" s="626" t="s">
        <v>294</v>
      </c>
      <c r="C35" s="628">
        <v>142.62241</v>
      </c>
      <c r="D35" s="788">
        <v>107.57561</v>
      </c>
      <c r="E35" s="791">
        <v>163.44429</v>
      </c>
      <c r="F35" s="675">
        <f t="shared" si="0"/>
        <v>0.32578760185510447</v>
      </c>
      <c r="G35" s="441"/>
      <c r="H35" s="751"/>
      <c r="I35" s="751"/>
      <c r="J35" s="441"/>
      <c r="K35" s="441"/>
      <c r="L35" s="446"/>
    </row>
    <row r="36" spans="1:12" s="331" customFormat="1" ht="9" customHeight="1">
      <c r="A36" s="676" t="s">
        <v>497</v>
      </c>
      <c r="B36" s="512"/>
      <c r="C36" s="514">
        <v>142.62241</v>
      </c>
      <c r="D36" s="787">
        <v>107.57561</v>
      </c>
      <c r="E36" s="790">
        <v>163.44429</v>
      </c>
      <c r="F36" s="677">
        <f t="shared" si="0"/>
        <v>0.32578760185510447</v>
      </c>
      <c r="G36" s="441"/>
      <c r="H36" s="751"/>
      <c r="I36" s="751"/>
      <c r="J36" s="441"/>
      <c r="K36" s="441"/>
      <c r="L36" s="446"/>
    </row>
    <row r="37" spans="1:12" s="331" customFormat="1" ht="9" customHeight="1">
      <c r="A37" s="674" t="s">
        <v>101</v>
      </c>
      <c r="B37" s="626" t="s">
        <v>295</v>
      </c>
      <c r="C37" s="628">
        <v>15.84</v>
      </c>
      <c r="D37" s="788">
        <v>15.978000000000002</v>
      </c>
      <c r="E37" s="791">
        <v>7.4160000000000004</v>
      </c>
      <c r="F37" s="675">
        <f t="shared" si="0"/>
        <v>-8.6368757040932165E-3</v>
      </c>
      <c r="G37" s="441"/>
      <c r="H37" s="751"/>
      <c r="I37" s="751"/>
      <c r="J37" s="441"/>
      <c r="K37" s="441"/>
      <c r="L37" s="446"/>
    </row>
    <row r="38" spans="1:12" s="331" customFormat="1" ht="9" customHeight="1">
      <c r="A38" s="674"/>
      <c r="B38" s="626" t="s">
        <v>296</v>
      </c>
      <c r="C38" s="628">
        <v>10.026</v>
      </c>
      <c r="D38" s="788">
        <v>8.8859999999999992</v>
      </c>
      <c r="E38" s="791">
        <v>4.2300000000000004</v>
      </c>
      <c r="F38" s="675">
        <f t="shared" si="0"/>
        <v>0.12829169480081037</v>
      </c>
      <c r="G38" s="441"/>
      <c r="H38" s="751"/>
      <c r="I38" s="751"/>
      <c r="J38" s="441"/>
      <c r="K38" s="441"/>
      <c r="L38" s="446"/>
    </row>
    <row r="39" spans="1:12" s="331" customFormat="1" ht="9" customHeight="1">
      <c r="A39" s="674"/>
      <c r="B39" s="626" t="s">
        <v>297</v>
      </c>
      <c r="C39" s="628">
        <v>0</v>
      </c>
      <c r="D39" s="788">
        <v>0</v>
      </c>
      <c r="E39" s="791">
        <v>0</v>
      </c>
      <c r="F39" s="675" t="str">
        <f t="shared" si="0"/>
        <v/>
      </c>
      <c r="G39" s="441"/>
      <c r="H39" s="751"/>
      <c r="I39" s="751"/>
      <c r="J39" s="441"/>
      <c r="K39" s="441"/>
      <c r="L39" s="446"/>
    </row>
    <row r="40" spans="1:12" s="331" customFormat="1" ht="9" customHeight="1">
      <c r="A40" s="676" t="s">
        <v>498</v>
      </c>
      <c r="B40" s="512"/>
      <c r="C40" s="514">
        <v>25.866</v>
      </c>
      <c r="D40" s="787">
        <v>24.864000000000001</v>
      </c>
      <c r="E40" s="790">
        <v>11.646000000000001</v>
      </c>
      <c r="F40" s="677">
        <f t="shared" si="0"/>
        <v>4.0299227799227788E-2</v>
      </c>
      <c r="G40" s="441"/>
      <c r="H40" s="751"/>
      <c r="I40" s="751"/>
      <c r="J40" s="441"/>
      <c r="K40" s="441"/>
      <c r="L40" s="446"/>
    </row>
    <row r="41" spans="1:12" s="331" customFormat="1" ht="18" customHeight="1">
      <c r="A41" s="678" t="s">
        <v>453</v>
      </c>
      <c r="B41" s="636" t="s">
        <v>75</v>
      </c>
      <c r="C41" s="793">
        <v>0</v>
      </c>
      <c r="D41" s="794">
        <v>0.86545000000000005</v>
      </c>
      <c r="E41" s="795">
        <v>0.71074000000000004</v>
      </c>
      <c r="F41" s="796">
        <f t="shared" si="0"/>
        <v>-1</v>
      </c>
      <c r="G41" s="441"/>
      <c r="H41" s="751"/>
      <c r="I41" s="751"/>
      <c r="J41" s="441"/>
      <c r="K41" s="441"/>
      <c r="L41" s="446"/>
    </row>
    <row r="42" spans="1:12" s="331" customFormat="1" ht="9" customHeight="1">
      <c r="A42" s="797" t="s">
        <v>499</v>
      </c>
      <c r="B42" s="798"/>
      <c r="C42" s="799">
        <v>0</v>
      </c>
      <c r="D42" s="800">
        <v>0.86545000000000005</v>
      </c>
      <c r="E42" s="801">
        <v>0.71074000000000004</v>
      </c>
      <c r="F42" s="802">
        <f t="shared" si="0"/>
        <v>-1</v>
      </c>
      <c r="G42" s="441"/>
      <c r="H42" s="751"/>
      <c r="I42" s="751"/>
      <c r="J42" s="441"/>
      <c r="K42" s="441"/>
      <c r="L42" s="446"/>
    </row>
    <row r="43" spans="1:12" s="331" customFormat="1" ht="9" customHeight="1">
      <c r="A43" s="792" t="s">
        <v>115</v>
      </c>
      <c r="B43" s="636" t="s">
        <v>73</v>
      </c>
      <c r="C43" s="793">
        <v>3.10764</v>
      </c>
      <c r="D43" s="794">
        <v>2.3477800000000002</v>
      </c>
      <c r="E43" s="795">
        <v>3.7634700000000003</v>
      </c>
      <c r="F43" s="796">
        <f t="shared" si="0"/>
        <v>0.3236504272120897</v>
      </c>
      <c r="G43" s="441"/>
      <c r="H43" s="751"/>
      <c r="I43" s="751"/>
      <c r="J43" s="441"/>
      <c r="K43" s="441"/>
      <c r="L43" s="446"/>
    </row>
    <row r="44" spans="1:12" s="331" customFormat="1" ht="9" customHeight="1">
      <c r="A44" s="797" t="s">
        <v>500</v>
      </c>
      <c r="B44" s="798"/>
      <c r="C44" s="799">
        <v>3.10764</v>
      </c>
      <c r="D44" s="800">
        <v>2.3477800000000002</v>
      </c>
      <c r="E44" s="801">
        <v>3.7634700000000003</v>
      </c>
      <c r="F44" s="802">
        <f t="shared" si="0"/>
        <v>0.3236504272120897</v>
      </c>
      <c r="G44" s="441"/>
      <c r="H44" s="751"/>
      <c r="I44" s="751"/>
      <c r="J44" s="441"/>
      <c r="K44" s="441"/>
      <c r="L44" s="446"/>
    </row>
    <row r="45" spans="1:12" s="331" customFormat="1" ht="9" customHeight="1">
      <c r="A45" s="674" t="s">
        <v>421</v>
      </c>
      <c r="B45" s="626" t="s">
        <v>424</v>
      </c>
      <c r="C45" s="628">
        <v>8.4974799999999995</v>
      </c>
      <c r="D45" s="788">
        <v>8.8300000000000003E-2</v>
      </c>
      <c r="E45" s="791">
        <v>6.8089000000000004</v>
      </c>
      <c r="F45" s="675">
        <f t="shared" si="0"/>
        <v>95.234201585503953</v>
      </c>
      <c r="G45" s="441"/>
      <c r="H45" s="751"/>
      <c r="I45" s="751"/>
      <c r="J45" s="441"/>
      <c r="K45" s="441"/>
      <c r="L45" s="446"/>
    </row>
    <row r="46" spans="1:12" s="331" customFormat="1" ht="9" customHeight="1">
      <c r="A46" s="676" t="s">
        <v>501</v>
      </c>
      <c r="B46" s="512"/>
      <c r="C46" s="514">
        <v>8.4974799999999995</v>
      </c>
      <c r="D46" s="787">
        <v>8.8300000000000003E-2</v>
      </c>
      <c r="E46" s="790">
        <v>6.8089000000000004</v>
      </c>
      <c r="F46" s="677">
        <f t="shared" si="0"/>
        <v>95.234201585503953</v>
      </c>
      <c r="G46" s="441"/>
      <c r="H46" s="751"/>
      <c r="I46" s="751"/>
      <c r="J46" s="441"/>
      <c r="K46" s="441"/>
      <c r="L46" s="449"/>
    </row>
    <row r="47" spans="1:12" s="331" customFormat="1" ht="9" customHeight="1">
      <c r="A47" s="674" t="s">
        <v>89</v>
      </c>
      <c r="B47" s="626" t="s">
        <v>298</v>
      </c>
      <c r="C47" s="628">
        <v>638.27760000000001</v>
      </c>
      <c r="D47" s="788">
        <v>578.82719999999995</v>
      </c>
      <c r="E47" s="791">
        <v>608.46960000000001</v>
      </c>
      <c r="F47" s="675">
        <f t="shared" si="0"/>
        <v>0.10270837306885383</v>
      </c>
      <c r="G47" s="441"/>
      <c r="H47" s="751"/>
      <c r="I47" s="751"/>
      <c r="J47" s="441"/>
      <c r="K47" s="441"/>
      <c r="L47" s="446"/>
    </row>
    <row r="48" spans="1:12" s="331" customFormat="1" ht="9" customHeight="1">
      <c r="A48" s="674"/>
      <c r="B48" s="626" t="s">
        <v>299</v>
      </c>
      <c r="C48" s="628">
        <v>209.05343999999999</v>
      </c>
      <c r="D48" s="788">
        <v>142.76927999999998</v>
      </c>
      <c r="E48" s="791">
        <v>199.33823999999998</v>
      </c>
      <c r="F48" s="675">
        <f t="shared" si="0"/>
        <v>0.46427466749149415</v>
      </c>
      <c r="G48" s="441"/>
      <c r="H48" s="751"/>
      <c r="I48" s="751"/>
      <c r="J48" s="441"/>
      <c r="K48" s="441"/>
      <c r="L48" s="446"/>
    </row>
    <row r="49" spans="1:12" s="331" customFormat="1" ht="9" customHeight="1">
      <c r="A49" s="674"/>
      <c r="B49" s="626" t="s">
        <v>300</v>
      </c>
      <c r="C49" s="628">
        <v>0</v>
      </c>
      <c r="D49" s="788">
        <v>0</v>
      </c>
      <c r="E49" s="791">
        <v>0</v>
      </c>
      <c r="F49" s="675" t="str">
        <f t="shared" si="0"/>
        <v/>
      </c>
      <c r="G49" s="441"/>
      <c r="H49" s="751"/>
      <c r="I49" s="751"/>
      <c r="J49" s="441"/>
      <c r="K49" s="441"/>
      <c r="L49" s="446"/>
    </row>
    <row r="50" spans="1:12" s="331" customFormat="1" ht="9" customHeight="1">
      <c r="A50" s="676" t="s">
        <v>502</v>
      </c>
      <c r="B50" s="512"/>
      <c r="C50" s="514">
        <v>847.33104000000003</v>
      </c>
      <c r="D50" s="787">
        <v>721.59647999999993</v>
      </c>
      <c r="E50" s="790">
        <v>807.80783999999994</v>
      </c>
      <c r="F50" s="677">
        <f t="shared" si="0"/>
        <v>0.1742449741439982</v>
      </c>
      <c r="G50" s="441"/>
      <c r="H50" s="751"/>
      <c r="I50" s="751"/>
      <c r="J50" s="441"/>
      <c r="K50" s="441"/>
      <c r="L50" s="446"/>
    </row>
    <row r="51" spans="1:12" s="331" customFormat="1" ht="9" customHeight="1">
      <c r="A51" s="674" t="s">
        <v>237</v>
      </c>
      <c r="B51" s="626" t="s">
        <v>301</v>
      </c>
      <c r="C51" s="628">
        <v>228.68266</v>
      </c>
      <c r="D51" s="788">
        <v>350.50255000000004</v>
      </c>
      <c r="E51" s="791">
        <v>456.96001999999999</v>
      </c>
      <c r="F51" s="675">
        <f t="shared" si="0"/>
        <v>-0.34755778524293202</v>
      </c>
      <c r="G51" s="441"/>
      <c r="H51" s="751"/>
      <c r="I51" s="751"/>
      <c r="J51" s="441"/>
      <c r="K51" s="441"/>
      <c r="L51" s="446"/>
    </row>
    <row r="52" spans="1:12" s="331" customFormat="1" ht="9" customHeight="1">
      <c r="A52" s="674"/>
      <c r="B52" s="626" t="s">
        <v>302</v>
      </c>
      <c r="C52" s="628">
        <v>6.4345699999999999</v>
      </c>
      <c r="D52" s="788">
        <v>6.2777799999999999</v>
      </c>
      <c r="E52" s="791">
        <v>6.4402600000000003</v>
      </c>
      <c r="F52" s="675">
        <f t="shared" si="0"/>
        <v>2.4975389389242597E-2</v>
      </c>
      <c r="G52" s="441"/>
      <c r="H52" s="751"/>
      <c r="I52" s="751"/>
      <c r="J52" s="441"/>
      <c r="K52" s="441"/>
      <c r="L52" s="446"/>
    </row>
    <row r="53" spans="1:12" s="331" customFormat="1" ht="9" customHeight="1">
      <c r="A53" s="676" t="s">
        <v>503</v>
      </c>
      <c r="B53" s="512"/>
      <c r="C53" s="514">
        <v>235.11723000000001</v>
      </c>
      <c r="D53" s="787">
        <v>356.78033000000005</v>
      </c>
      <c r="E53" s="790">
        <v>463.40028000000001</v>
      </c>
      <c r="F53" s="677">
        <f t="shared" si="0"/>
        <v>-0.3410028237823538</v>
      </c>
      <c r="G53" s="441"/>
      <c r="H53" s="751"/>
      <c r="I53" s="751"/>
      <c r="J53" s="441"/>
      <c r="K53" s="441"/>
      <c r="L53" s="446"/>
    </row>
    <row r="54" spans="1:12" s="331" customFormat="1" ht="9" customHeight="1">
      <c r="A54" s="674" t="s">
        <v>238</v>
      </c>
      <c r="B54" s="626" t="s">
        <v>303</v>
      </c>
      <c r="C54" s="628">
        <v>91.939629999999994</v>
      </c>
      <c r="D54" s="788">
        <v>47.267439999999993</v>
      </c>
      <c r="E54" s="791">
        <v>82.054190000000006</v>
      </c>
      <c r="F54" s="675">
        <f t="shared" si="0"/>
        <v>0.94509433978231128</v>
      </c>
      <c r="G54" s="441"/>
      <c r="H54" s="751"/>
      <c r="I54" s="751"/>
      <c r="J54" s="441"/>
      <c r="K54" s="441"/>
      <c r="L54" s="446"/>
    </row>
    <row r="55" spans="1:12" s="331" customFormat="1" ht="9" customHeight="1">
      <c r="A55" s="676" t="s">
        <v>504</v>
      </c>
      <c r="B55" s="512"/>
      <c r="C55" s="514">
        <v>91.939629999999994</v>
      </c>
      <c r="D55" s="787">
        <v>47.267439999999993</v>
      </c>
      <c r="E55" s="790">
        <v>82.054190000000006</v>
      </c>
      <c r="F55" s="677">
        <f t="shared" si="0"/>
        <v>0.94509433978231128</v>
      </c>
      <c r="G55" s="441"/>
      <c r="H55" s="751"/>
      <c r="I55" s="751"/>
      <c r="J55" s="441"/>
      <c r="K55" s="441"/>
    </row>
    <row r="56" spans="1:12" s="331" customFormat="1" ht="9" customHeight="1">
      <c r="A56" s="674" t="s">
        <v>455</v>
      </c>
      <c r="B56" s="626" t="s">
        <v>65</v>
      </c>
      <c r="C56" s="628">
        <v>2.7922699999999998</v>
      </c>
      <c r="D56" s="788">
        <v>2.7141000000000002</v>
      </c>
      <c r="E56" s="791">
        <v>9.5708000000000002</v>
      </c>
      <c r="F56" s="675">
        <f t="shared" si="0"/>
        <v>2.880144430934739E-2</v>
      </c>
      <c r="G56" s="441"/>
      <c r="H56" s="751"/>
      <c r="I56" s="751"/>
      <c r="J56" s="441"/>
      <c r="K56" s="441"/>
    </row>
    <row r="57" spans="1:12" s="331" customFormat="1" ht="9" customHeight="1">
      <c r="A57" s="674"/>
      <c r="B57" s="626" t="s">
        <v>64</v>
      </c>
      <c r="C57" s="628">
        <v>3.25081</v>
      </c>
      <c r="D57" s="788">
        <v>2.76423</v>
      </c>
      <c r="E57" s="791">
        <v>9.8802299999999992</v>
      </c>
      <c r="F57" s="675">
        <f t="shared" si="0"/>
        <v>0.17602732044728553</v>
      </c>
      <c r="G57" s="441"/>
      <c r="H57" s="751"/>
      <c r="I57" s="751"/>
      <c r="J57" s="441"/>
      <c r="K57" s="441"/>
    </row>
    <row r="58" spans="1:12" s="331" customFormat="1" ht="9" customHeight="1">
      <c r="A58" s="674"/>
      <c r="B58" s="626" t="s">
        <v>60</v>
      </c>
      <c r="C58" s="628">
        <v>16.71312</v>
      </c>
      <c r="D58" s="788">
        <v>4.8383900000000004</v>
      </c>
      <c r="E58" s="791">
        <v>17.778849999999998</v>
      </c>
      <c r="F58" s="675">
        <f t="shared" si="0"/>
        <v>2.4542730123036791</v>
      </c>
      <c r="G58" s="441"/>
      <c r="H58" s="751"/>
      <c r="I58" s="751"/>
      <c r="J58" s="441"/>
      <c r="K58" s="441"/>
    </row>
    <row r="59" spans="1:12" s="331" customFormat="1" ht="9" customHeight="1">
      <c r="A59" s="674"/>
      <c r="B59" s="626" t="s">
        <v>57</v>
      </c>
      <c r="C59" s="628">
        <v>19.947310000000002</v>
      </c>
      <c r="D59" s="788">
        <v>7.3035300000000003</v>
      </c>
      <c r="E59" s="791">
        <v>19.972989999999999</v>
      </c>
      <c r="F59" s="675">
        <f t="shared" si="0"/>
        <v>1.7311875216504897</v>
      </c>
      <c r="G59" s="441"/>
      <c r="H59" s="751"/>
      <c r="I59" s="751"/>
      <c r="J59" s="441"/>
      <c r="K59" s="441"/>
    </row>
    <row r="60" spans="1:12" s="331" customFormat="1" ht="9" customHeight="1">
      <c r="A60" s="674"/>
      <c r="B60" s="626" t="s">
        <v>68</v>
      </c>
      <c r="C60" s="628">
        <v>1.60545</v>
      </c>
      <c r="D60" s="788">
        <v>1.5184</v>
      </c>
      <c r="E60" s="791">
        <v>5.2609300000000001</v>
      </c>
      <c r="F60" s="675">
        <f t="shared" si="0"/>
        <v>5.7330084299262341E-2</v>
      </c>
      <c r="G60" s="441"/>
      <c r="H60" s="751"/>
      <c r="I60" s="751"/>
      <c r="J60" s="441"/>
      <c r="K60" s="441"/>
    </row>
    <row r="61" spans="1:12" s="331" customFormat="1" ht="9" customHeight="1">
      <c r="A61" s="674"/>
      <c r="B61" s="626" t="s">
        <v>67</v>
      </c>
      <c r="C61" s="628">
        <v>1.9511799999999999</v>
      </c>
      <c r="D61" s="788">
        <v>1.8930800000000001</v>
      </c>
      <c r="E61" s="791">
        <v>6.0351100000000004</v>
      </c>
      <c r="F61" s="675">
        <f t="shared" si="0"/>
        <v>3.0690726223931319E-2</v>
      </c>
      <c r="G61" s="441"/>
      <c r="H61" s="751"/>
      <c r="I61" s="751"/>
      <c r="J61" s="441"/>
      <c r="K61" s="441"/>
    </row>
    <row r="62" spans="1:12" s="331" customFormat="1" ht="9" customHeight="1">
      <c r="A62" s="676" t="s">
        <v>505</v>
      </c>
      <c r="B62" s="512"/>
      <c r="C62" s="514">
        <v>46.26014</v>
      </c>
      <c r="D62" s="787">
        <v>21.03173</v>
      </c>
      <c r="E62" s="790">
        <v>68.498909999999995</v>
      </c>
      <c r="F62" s="677">
        <f t="shared" si="0"/>
        <v>1.199540408706274</v>
      </c>
      <c r="G62" s="441"/>
      <c r="H62" s="751"/>
      <c r="I62" s="751"/>
      <c r="J62" s="441"/>
      <c r="K62" s="441"/>
    </row>
    <row r="63" spans="1:12" s="331" customFormat="1" ht="9" customHeight="1">
      <c r="A63" s="674" t="s">
        <v>88</v>
      </c>
      <c r="B63" s="626" t="s">
        <v>465</v>
      </c>
      <c r="C63" s="628">
        <v>69.891379999999998</v>
      </c>
      <c r="D63" s="788">
        <v>67.984939999999995</v>
      </c>
      <c r="E63" s="791">
        <v>77.121329999999986</v>
      </c>
      <c r="F63" s="675">
        <f t="shared" si="0"/>
        <v>2.8042092851740419E-2</v>
      </c>
      <c r="G63" s="441"/>
      <c r="H63" s="751"/>
      <c r="I63" s="751"/>
      <c r="J63" s="441"/>
      <c r="K63" s="441"/>
    </row>
    <row r="64" spans="1:12" s="331" customFormat="1" ht="9" customHeight="1">
      <c r="A64" s="674"/>
      <c r="B64" s="626" t="s">
        <v>304</v>
      </c>
      <c r="C64" s="628">
        <v>29.197319999999998</v>
      </c>
      <c r="D64" s="788">
        <v>22.211469999999998</v>
      </c>
      <c r="E64" s="791">
        <v>29.280889999999999</v>
      </c>
      <c r="F64" s="675">
        <f t="shared" si="0"/>
        <v>0.31451542828997803</v>
      </c>
      <c r="G64" s="441"/>
      <c r="H64" s="751"/>
      <c r="I64" s="751"/>
      <c r="J64" s="441"/>
      <c r="K64" s="441"/>
    </row>
    <row r="65" spans="1:11" s="331" customFormat="1" ht="9" customHeight="1">
      <c r="A65" s="674"/>
      <c r="B65" s="626" t="s">
        <v>305</v>
      </c>
      <c r="C65" s="628">
        <v>198.73355000000001</v>
      </c>
      <c r="D65" s="788">
        <v>139.06727999999998</v>
      </c>
      <c r="E65" s="791">
        <v>143.52339000000001</v>
      </c>
      <c r="F65" s="675">
        <f t="shared" si="0"/>
        <v>0.42904607036248943</v>
      </c>
      <c r="G65" s="441"/>
      <c r="H65" s="751"/>
      <c r="I65" s="751"/>
      <c r="J65" s="441"/>
      <c r="K65" s="441"/>
    </row>
    <row r="66" spans="1:11" s="331" customFormat="1" ht="9" customHeight="1">
      <c r="A66" s="674"/>
      <c r="B66" s="626" t="s">
        <v>306</v>
      </c>
      <c r="C66" s="628">
        <v>75.867609999999999</v>
      </c>
      <c r="D66" s="788">
        <v>87.614910000000009</v>
      </c>
      <c r="E66" s="791">
        <v>129.2527</v>
      </c>
      <c r="F66" s="675">
        <f t="shared" si="0"/>
        <v>-0.13407877723095318</v>
      </c>
      <c r="G66" s="441"/>
      <c r="H66" s="752"/>
      <c r="I66" s="751"/>
      <c r="J66" s="441"/>
      <c r="K66" s="441"/>
    </row>
    <row r="67" spans="1:11" s="331" customFormat="1" ht="9" customHeight="1">
      <c r="A67" s="674"/>
      <c r="B67" s="626" t="s">
        <v>307</v>
      </c>
      <c r="C67" s="628">
        <v>63.974119999999999</v>
      </c>
      <c r="D67" s="788">
        <v>62.895859999999999</v>
      </c>
      <c r="E67" s="791">
        <v>65.20911000000001</v>
      </c>
      <c r="F67" s="675">
        <f t="shared" si="0"/>
        <v>1.7143576699642837E-2</v>
      </c>
      <c r="G67" s="441"/>
      <c r="H67" s="752"/>
      <c r="I67" s="751"/>
      <c r="J67" s="441"/>
      <c r="K67" s="441"/>
    </row>
    <row r="68" spans="1:11" s="331" customFormat="1" ht="9" customHeight="1">
      <c r="A68" s="674"/>
      <c r="B68" s="626" t="s">
        <v>308</v>
      </c>
      <c r="C68" s="628">
        <v>0</v>
      </c>
      <c r="D68" s="788">
        <v>169.37254999999999</v>
      </c>
      <c r="E68" s="791">
        <v>0</v>
      </c>
      <c r="F68" s="675">
        <f t="shared" si="0"/>
        <v>-1</v>
      </c>
      <c r="G68" s="450"/>
      <c r="H68" s="752"/>
      <c r="I68" s="751"/>
      <c r="J68" s="441"/>
      <c r="K68" s="441"/>
    </row>
    <row r="69" spans="1:11" s="331" customFormat="1" ht="9" customHeight="1">
      <c r="A69" s="674"/>
      <c r="B69" s="626" t="s">
        <v>309</v>
      </c>
      <c r="C69" s="628">
        <v>0</v>
      </c>
      <c r="D69" s="788">
        <v>188.79067000000001</v>
      </c>
      <c r="E69" s="791">
        <v>0</v>
      </c>
      <c r="F69" s="675">
        <f t="shared" si="0"/>
        <v>-1</v>
      </c>
      <c r="G69" s="450"/>
      <c r="H69" s="752"/>
      <c r="I69" s="751"/>
      <c r="J69" s="441"/>
      <c r="K69" s="441"/>
    </row>
    <row r="70" spans="1:11" s="331" customFormat="1" ht="9" customHeight="1">
      <c r="A70" s="674"/>
      <c r="B70" s="626" t="s">
        <v>310</v>
      </c>
      <c r="C70" s="628">
        <v>438.80615</v>
      </c>
      <c r="D70" s="788">
        <v>446.30686000000003</v>
      </c>
      <c r="E70" s="791">
        <v>206.59643</v>
      </c>
      <c r="F70" s="675">
        <f t="shared" si="0"/>
        <v>-1.6806172327263891E-2</v>
      </c>
      <c r="G70" s="450"/>
      <c r="H70" s="752"/>
      <c r="I70" s="751"/>
      <c r="J70" s="441"/>
      <c r="K70" s="441"/>
    </row>
    <row r="71" spans="1:11" s="331" customFormat="1" ht="9" customHeight="1">
      <c r="A71" s="674"/>
      <c r="B71" s="626" t="s">
        <v>416</v>
      </c>
      <c r="C71" s="628">
        <v>0.63043000000000005</v>
      </c>
      <c r="D71" s="788">
        <v>0.34992000000000001</v>
      </c>
      <c r="E71" s="791">
        <v>0.64692000000000005</v>
      </c>
      <c r="F71" s="675">
        <f t="shared" ref="F71:F79" si="1">+IF(D71=0,"",C71/D71-1)</f>
        <v>0.80164037494284424</v>
      </c>
      <c r="G71" s="450"/>
      <c r="H71" s="751"/>
      <c r="I71" s="751"/>
      <c r="J71" s="441"/>
      <c r="K71" s="441"/>
    </row>
    <row r="72" spans="1:11" s="331" customFormat="1" ht="9" customHeight="1">
      <c r="A72" s="676" t="s">
        <v>506</v>
      </c>
      <c r="B72" s="512"/>
      <c r="C72" s="514">
        <v>877.10056000000009</v>
      </c>
      <c r="D72" s="787">
        <v>1184.59446</v>
      </c>
      <c r="E72" s="790">
        <v>651.6307700000001</v>
      </c>
      <c r="F72" s="677">
        <f t="shared" si="1"/>
        <v>-0.25957735780732927</v>
      </c>
      <c r="G72" s="450"/>
      <c r="H72" s="751"/>
      <c r="I72" s="751"/>
      <c r="J72" s="441"/>
      <c r="K72" s="441"/>
    </row>
    <row r="73" spans="1:11" s="331" customFormat="1" ht="9" customHeight="1">
      <c r="A73" s="674" t="s">
        <v>96</v>
      </c>
      <c r="B73" s="626" t="s">
        <v>311</v>
      </c>
      <c r="C73" s="628">
        <v>0</v>
      </c>
      <c r="D73" s="788">
        <v>0</v>
      </c>
      <c r="E73" s="791">
        <v>0</v>
      </c>
      <c r="F73" s="675" t="str">
        <f t="shared" si="1"/>
        <v/>
      </c>
      <c r="G73" s="441"/>
      <c r="H73" s="751"/>
      <c r="I73" s="751"/>
      <c r="J73" s="441"/>
      <c r="K73" s="441"/>
    </row>
    <row r="74" spans="1:11" s="331" customFormat="1" ht="9" customHeight="1">
      <c r="A74" s="674"/>
      <c r="B74" s="626" t="s">
        <v>312</v>
      </c>
      <c r="C74" s="628">
        <v>90.699780000000004</v>
      </c>
      <c r="D74" s="788">
        <v>90.786299999999997</v>
      </c>
      <c r="E74" s="791">
        <v>0</v>
      </c>
      <c r="F74" s="675">
        <f t="shared" si="1"/>
        <v>-9.5300722686120221E-4</v>
      </c>
      <c r="G74" s="441"/>
      <c r="H74" s="751"/>
      <c r="I74" s="751"/>
      <c r="J74" s="441"/>
      <c r="K74" s="441"/>
    </row>
    <row r="75" spans="1:11" s="331" customFormat="1" ht="9" customHeight="1">
      <c r="A75" s="674"/>
      <c r="B75" s="626" t="s">
        <v>313</v>
      </c>
      <c r="C75" s="628">
        <v>0</v>
      </c>
      <c r="D75" s="788">
        <v>0</v>
      </c>
      <c r="E75" s="791">
        <v>85.36421</v>
      </c>
      <c r="F75" s="675" t="str">
        <f t="shared" si="1"/>
        <v/>
      </c>
      <c r="G75" s="441"/>
      <c r="H75" s="751"/>
      <c r="I75" s="751"/>
      <c r="J75" s="441"/>
      <c r="K75" s="441"/>
    </row>
    <row r="76" spans="1:11" s="331" customFormat="1" ht="9" customHeight="1">
      <c r="A76" s="676" t="s">
        <v>507</v>
      </c>
      <c r="B76" s="512"/>
      <c r="C76" s="514">
        <v>90.699780000000004</v>
      </c>
      <c r="D76" s="787">
        <v>90.786299999999997</v>
      </c>
      <c r="E76" s="790">
        <v>85.36421</v>
      </c>
      <c r="F76" s="677">
        <f t="shared" si="1"/>
        <v>-9.5300722686120221E-4</v>
      </c>
      <c r="G76" s="451"/>
      <c r="H76" s="751"/>
      <c r="I76" s="751"/>
      <c r="J76" s="441"/>
      <c r="K76" s="441"/>
    </row>
    <row r="77" spans="1:11" s="331" customFormat="1" ht="9" customHeight="1">
      <c r="A77" s="674" t="s">
        <v>98</v>
      </c>
      <c r="B77" s="626" t="s">
        <v>427</v>
      </c>
      <c r="C77" s="628">
        <v>0</v>
      </c>
      <c r="D77" s="788">
        <v>0</v>
      </c>
      <c r="E77" s="791">
        <v>0</v>
      </c>
      <c r="F77" s="675" t="str">
        <f t="shared" si="1"/>
        <v/>
      </c>
      <c r="G77" s="451"/>
      <c r="H77" s="274"/>
      <c r="I77" s="751"/>
      <c r="J77" s="441"/>
      <c r="K77" s="441"/>
    </row>
    <row r="78" spans="1:11" s="331" customFormat="1" ht="9" customHeight="1">
      <c r="A78" s="674"/>
      <c r="B78" s="626" t="s">
        <v>426</v>
      </c>
      <c r="C78" s="628">
        <v>129.79413</v>
      </c>
      <c r="D78" s="788">
        <v>129.91175999999999</v>
      </c>
      <c r="E78" s="791">
        <v>117.34313</v>
      </c>
      <c r="F78" s="675">
        <f t="shared" si="1"/>
        <v>-9.0546075274466897E-4</v>
      </c>
      <c r="G78" s="451"/>
      <c r="H78" s="274"/>
      <c r="I78" s="751"/>
      <c r="J78" s="441"/>
      <c r="K78" s="441"/>
    </row>
    <row r="79" spans="1:11" s="331" customFormat="1" ht="9" customHeight="1">
      <c r="A79" s="676" t="s">
        <v>508</v>
      </c>
      <c r="B79" s="512"/>
      <c r="C79" s="514">
        <v>129.79413</v>
      </c>
      <c r="D79" s="787">
        <v>129.91175999999999</v>
      </c>
      <c r="E79" s="790">
        <v>117.34313</v>
      </c>
      <c r="F79" s="677">
        <f t="shared" si="1"/>
        <v>-9.0546075274466897E-4</v>
      </c>
      <c r="H79" s="274"/>
      <c r="I79" s="751"/>
      <c r="J79" s="441"/>
      <c r="K79" s="441"/>
    </row>
    <row r="80" spans="1:11" s="331" customFormat="1" ht="10.5" customHeight="1"/>
    <row r="81" s="331" customFormat="1" ht="10.5" customHeight="1"/>
    <row r="82" s="331" customFormat="1" ht="10.5" customHeight="1"/>
    <row r="83" s="331" customFormat="1" ht="10.5" customHeight="1"/>
    <row r="84" s="331" customFormat="1" ht="10.5" customHeight="1"/>
    <row r="85" s="331" customFormat="1" ht="10.5" customHeight="1"/>
    <row r="86" s="331" customFormat="1" ht="10.5" customHeight="1"/>
    <row r="87" s="331" customFormat="1" ht="10.5" customHeight="1"/>
    <row r="88" s="331" customFormat="1" ht="10.5" customHeight="1"/>
    <row r="89" s="331" customFormat="1" ht="10.5" customHeight="1"/>
    <row r="90" s="331" customFormat="1" ht="10.5" customHeight="1"/>
    <row r="91" s="331" customFormat="1" ht="10.5" customHeight="1"/>
    <row r="92" s="331" customFormat="1" ht="10.5" customHeight="1"/>
    <row r="93" s="331" customFormat="1" ht="10.5" customHeight="1"/>
    <row r="94" s="331" customFormat="1" ht="10.5" customHeight="1"/>
    <row r="95" s="331" customFormat="1" ht="10.5" customHeight="1"/>
    <row r="96" s="331" customFormat="1" ht="10.5" customHeight="1"/>
    <row r="97" s="331" customFormat="1" ht="10.5" customHeight="1"/>
    <row r="98" s="331" customFormat="1" ht="10.5" customHeight="1"/>
    <row r="99" s="331" customFormat="1" ht="10.5" customHeight="1"/>
    <row r="100" s="331" customFormat="1" ht="10.5" customHeight="1"/>
    <row r="101" s="331" customFormat="1" ht="10.5" customHeight="1"/>
    <row r="102" s="331" customFormat="1" ht="10.5" customHeight="1"/>
    <row r="103" s="331" customFormat="1" ht="10.5" customHeight="1"/>
    <row r="104" s="331" customFormat="1" ht="10.5" customHeight="1"/>
    <row r="105" s="331" customFormat="1" ht="10.5" customHeight="1"/>
    <row r="106" s="331" customFormat="1" ht="10.5" customHeight="1"/>
    <row r="107" s="331" customFormat="1" ht="10.5" customHeight="1"/>
    <row r="108" s="331" customFormat="1" ht="10.5" customHeight="1"/>
    <row r="109" s="331" customFormat="1" ht="10.5" customHeight="1"/>
    <row r="110" s="331" customFormat="1" ht="10.5" customHeight="1"/>
    <row r="111" s="331" customFormat="1" ht="10.5" customHeight="1"/>
    <row r="112" s="331" customFormat="1" ht="10.5" customHeight="1"/>
    <row r="113" s="331" customFormat="1" ht="10.5" customHeight="1"/>
    <row r="114" s="331" customFormat="1" ht="10.5" customHeight="1"/>
    <row r="115" s="331" customFormat="1" ht="10.5" customHeight="1"/>
    <row r="116" s="331" customFormat="1" ht="10.5" customHeight="1"/>
    <row r="117" s="331" customFormat="1" ht="10.5" customHeight="1"/>
    <row r="118" s="331" customFormat="1" ht="10.5" customHeight="1"/>
    <row r="119" s="331" customFormat="1" ht="10.5" customHeight="1"/>
    <row r="120" s="331" customFormat="1" ht="10.5" customHeight="1"/>
    <row r="121" s="331" customFormat="1" ht="10.5" customHeight="1"/>
    <row r="122" s="331" customFormat="1" ht="10.5" customHeight="1"/>
    <row r="123" s="331" customFormat="1" ht="10.5" customHeight="1"/>
    <row r="124" s="331" customFormat="1" ht="10.5" customHeight="1"/>
    <row r="125" s="331" customFormat="1" ht="10.5" customHeight="1"/>
    <row r="126" s="331" customFormat="1" ht="10.5" customHeight="1"/>
    <row r="127" s="331" customFormat="1" ht="10.5" customHeight="1"/>
    <row r="128" s="331" customFormat="1" ht="10.5" customHeight="1"/>
    <row r="129" s="331" customFormat="1" ht="10.5" customHeight="1"/>
    <row r="130" s="331" customFormat="1" ht="10.5" customHeight="1"/>
    <row r="131" s="331" customFormat="1" ht="10.5" customHeight="1"/>
    <row r="132" s="331" customFormat="1" ht="10.5" customHeight="1"/>
    <row r="133" s="331" customFormat="1" ht="10.5" customHeight="1"/>
    <row r="134" s="331" customFormat="1" ht="10.5" customHeight="1"/>
    <row r="135" s="331" customFormat="1" ht="10.5" customHeight="1"/>
    <row r="136" s="331" customFormat="1" ht="10.5" customHeight="1"/>
    <row r="137" s="331" customFormat="1" ht="10.5" customHeight="1"/>
    <row r="138" s="331" customFormat="1" ht="10.5" customHeight="1"/>
    <row r="139" s="331" customFormat="1" ht="10.5" customHeight="1"/>
    <row r="140" s="331" customFormat="1" ht="10.5" customHeight="1"/>
    <row r="141" s="331" customFormat="1" ht="10.5" customHeight="1"/>
    <row r="142" s="331" customFormat="1" ht="10.5" customHeight="1"/>
    <row r="143" s="331" customFormat="1" ht="10.5" customHeight="1"/>
    <row r="144" s="331" customFormat="1" ht="10.5" customHeight="1"/>
    <row r="145" s="331" customFormat="1" ht="10.5" customHeight="1"/>
    <row r="146" s="331" customFormat="1" ht="10.5" customHeight="1"/>
    <row r="147" s="331" customFormat="1" ht="10.5" customHeight="1"/>
    <row r="148" s="331" customFormat="1" ht="10.5" customHeight="1"/>
    <row r="149" s="331" customFormat="1" ht="10.5" customHeight="1"/>
    <row r="150" s="331" customFormat="1" ht="10.5" customHeight="1"/>
    <row r="151" s="331" customFormat="1" ht="10.5" customHeight="1"/>
    <row r="152" s="331" customFormat="1" ht="10.5" customHeight="1"/>
    <row r="153" s="331" customFormat="1" ht="10.5" customHeight="1"/>
    <row r="154" s="331" customFormat="1" ht="10.5" customHeight="1"/>
    <row r="155" s="331" customFormat="1" ht="10.5" customHeight="1"/>
    <row r="156" s="331" customFormat="1" ht="10.5" customHeight="1"/>
    <row r="157" s="331" customFormat="1" ht="10.5" customHeight="1"/>
    <row r="158" s="331" customFormat="1" ht="10.5" customHeight="1"/>
    <row r="159" s="331" customFormat="1" ht="10.5" customHeight="1"/>
    <row r="160" s="331" customFormat="1" ht="10.5" customHeight="1"/>
    <row r="161" s="331" customFormat="1" ht="10.5" customHeight="1"/>
    <row r="162" s="331" customFormat="1" ht="10.5" customHeight="1"/>
    <row r="163" s="331" customFormat="1" ht="10.5" customHeight="1"/>
    <row r="164" s="331" customFormat="1" ht="10.5" customHeight="1"/>
    <row r="165" s="331" customFormat="1" ht="10.5" customHeight="1"/>
    <row r="166" s="331" customFormat="1" ht="10.5" customHeight="1"/>
    <row r="167" s="331" customFormat="1" ht="10.5" customHeight="1"/>
    <row r="168" s="331" customFormat="1" ht="10.5" customHeight="1"/>
    <row r="169" s="331" customFormat="1" ht="8.25"/>
    <row r="170" s="331" customFormat="1" ht="8.25"/>
    <row r="171" s="331" customFormat="1" ht="8.25"/>
    <row r="172" s="331" customFormat="1" ht="8.25"/>
    <row r="173" s="331" customFormat="1" ht="8.25"/>
    <row r="174" s="331" customFormat="1" ht="8.25"/>
    <row r="175" s="331" customFormat="1" ht="8.25"/>
    <row r="176" s="331" customFormat="1" ht="8.25"/>
    <row r="177" s="331" customFormat="1" ht="8.25"/>
    <row r="178" s="331" customFormat="1" ht="8.25"/>
    <row r="179" s="331" customFormat="1" ht="8.25"/>
    <row r="180" s="331" customFormat="1" ht="8.25"/>
    <row r="181" s="331" customFormat="1" ht="8.25"/>
    <row r="182" s="331" customFormat="1" ht="8.25"/>
    <row r="183" s="331" customFormat="1" ht="8.25"/>
    <row r="184" s="331" customFormat="1" ht="8.25"/>
    <row r="185" s="331" customFormat="1" ht="8.25"/>
    <row r="186" s="331" customFormat="1" ht="8.25"/>
    <row r="187" s="331" customFormat="1" ht="8.25"/>
    <row r="188" s="331" customFormat="1" ht="8.25"/>
    <row r="189" s="331" customFormat="1" ht="8.25"/>
  </sheetData>
  <mergeCells count="3">
    <mergeCell ref="A2:A5"/>
    <mergeCell ref="B2:B5"/>
    <mergeCell ref="C2:F2"/>
  </mergeCells>
  <pageMargins left="0.70866141732283472" right="0.70866141732283472" top="1.0236220472440944" bottom="0.62992125984251968" header="0.31496062992125984" footer="0.31496062992125984"/>
  <pageSetup paperSize="9" scale="87" orientation="portrait" r:id="rId1"/>
  <headerFooter>
    <oddHeader>&amp;R&amp;7Informe de la Operación Mensual-Octubre 2020
INFSGI-MES-10-2020
12/11/2020
Versión: 01</oddHeader>
    <oddFooter>&amp;L&amp;7COES, 2020&amp;C21&amp;R&amp;7Dirección Ejecutiva
Sub Dirección de Gestión de Información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tabColor theme="4"/>
  </sheetPr>
  <dimension ref="A1:K113"/>
  <sheetViews>
    <sheetView showGridLines="0" view="pageBreakPreview" topLeftCell="A37" zoomScale="115" zoomScaleNormal="100" zoomScaleSheetLayoutView="115" zoomScalePageLayoutView="160" workbookViewId="0">
      <selection activeCell="D46" sqref="D46"/>
    </sheetView>
  </sheetViews>
  <sheetFormatPr defaultColWidth="9.33203125" defaultRowHeight="9"/>
  <cols>
    <col min="1" max="1" width="28.6640625" style="274" customWidth="1"/>
    <col min="2" max="2" width="22.1640625" style="274" customWidth="1"/>
    <col min="3" max="4" width="17.6640625" style="274" customWidth="1"/>
    <col min="5" max="5" width="15.1640625" style="274" customWidth="1"/>
    <col min="6" max="6" width="13.33203125" style="274" customWidth="1"/>
    <col min="7" max="7" width="6.33203125" style="274" customWidth="1"/>
    <col min="8" max="16384" width="9.33203125" style="274"/>
  </cols>
  <sheetData>
    <row r="1" spans="1:11" s="331" customFormat="1" ht="11.25" customHeight="1">
      <c r="A1" s="1000" t="s">
        <v>250</v>
      </c>
      <c r="B1" s="1002" t="s">
        <v>54</v>
      </c>
      <c r="C1" s="1002" t="s">
        <v>354</v>
      </c>
      <c r="D1" s="1002"/>
      <c r="E1" s="1002"/>
      <c r="F1" s="1004"/>
      <c r="G1" s="439"/>
    </row>
    <row r="2" spans="1:11" s="331" customFormat="1" ht="11.25" customHeight="1">
      <c r="A2" s="994"/>
      <c r="B2" s="997"/>
      <c r="C2" s="500" t="str">
        <f>UPPER('1. Resumen'!Q4)&amp;" "&amp;'1. Resumen'!Q5</f>
        <v>OCTUBRE 2020</v>
      </c>
      <c r="D2" s="501" t="str">
        <f>UPPER('1. Resumen'!Q4)&amp;" "&amp;'1. Resumen'!Q5-1</f>
        <v>OCTUBRE 2019</v>
      </c>
      <c r="E2" s="502" t="str">
        <f>UPPER('1. Resumen'!Q4)&amp;" "&amp;'1. Resumen'!Q5</f>
        <v>OCTUBRE 2020</v>
      </c>
      <c r="F2" s="644" t="s">
        <v>479</v>
      </c>
      <c r="G2" s="440"/>
      <c r="H2" s="439"/>
    </row>
    <row r="3" spans="1:11" s="331" customFormat="1" ht="11.25" customHeight="1">
      <c r="A3" s="994"/>
      <c r="B3" s="997"/>
      <c r="C3" s="503">
        <f>'21. ANEXOII-1'!C4</f>
        <v>44127.78125</v>
      </c>
      <c r="D3" s="503">
        <f>'21. ANEXOII-1'!D4</f>
        <v>43767.791666666664</v>
      </c>
      <c r="E3" s="503">
        <f>'21. ANEXOII-1'!E4</f>
        <v>43886.8125</v>
      </c>
      <c r="F3" s="645" t="s">
        <v>351</v>
      </c>
      <c r="G3" s="441"/>
      <c r="H3" s="439"/>
    </row>
    <row r="4" spans="1:11" s="331" customFormat="1" ht="9" customHeight="1">
      <c r="A4" s="1001"/>
      <c r="B4" s="1003"/>
      <c r="C4" s="504">
        <f>+'8. Max Potencia'!D9</f>
        <v>44127.78125</v>
      </c>
      <c r="D4" s="504">
        <f>+'8. Max Potencia'!E9</f>
        <v>43767.791666666664</v>
      </c>
      <c r="E4" s="504">
        <f>+'21. ANEXOII-1'!E5</f>
        <v>43886.8125</v>
      </c>
      <c r="F4" s="646" t="s">
        <v>352</v>
      </c>
      <c r="G4" s="441"/>
      <c r="H4" s="443"/>
    </row>
    <row r="5" spans="1:11" s="331" customFormat="1" ht="9" customHeight="1">
      <c r="A5" s="674" t="s">
        <v>97</v>
      </c>
      <c r="B5" s="626" t="s">
        <v>77</v>
      </c>
      <c r="C5" s="628">
        <v>53.021619999999999</v>
      </c>
      <c r="D5" s="628">
        <v>54.588929999999998</v>
      </c>
      <c r="E5" s="791">
        <v>55.955019999999998</v>
      </c>
      <c r="F5" s="675">
        <f t="shared" ref="F5:F72" si="0">+IF(D5=0,"",C5/D5-1)</f>
        <v>-2.8711132458540622E-2</v>
      </c>
      <c r="J5" s="530"/>
      <c r="K5" s="530"/>
    </row>
    <row r="6" spans="1:11" s="331" customFormat="1" ht="9" customHeight="1">
      <c r="A6" s="674"/>
      <c r="B6" s="626" t="s">
        <v>79</v>
      </c>
      <c r="C6" s="628">
        <v>26.297750000000001</v>
      </c>
      <c r="D6" s="628">
        <v>28.33165</v>
      </c>
      <c r="E6" s="791">
        <v>8.1275399999999998</v>
      </c>
      <c r="F6" s="675">
        <f t="shared" si="0"/>
        <v>-7.1788970991805923E-2</v>
      </c>
      <c r="J6" s="530"/>
      <c r="K6" s="530"/>
    </row>
    <row r="7" spans="1:11" s="331" customFormat="1" ht="9" customHeight="1">
      <c r="A7" s="676" t="s">
        <v>509</v>
      </c>
      <c r="B7" s="512"/>
      <c r="C7" s="514">
        <v>79.319369999999992</v>
      </c>
      <c r="D7" s="514">
        <v>82.920580000000001</v>
      </c>
      <c r="E7" s="790">
        <v>64.082560000000001</v>
      </c>
      <c r="F7" s="677">
        <f t="shared" si="0"/>
        <v>-4.3429628688077315E-2</v>
      </c>
      <c r="J7" s="530"/>
      <c r="K7" s="530"/>
    </row>
    <row r="8" spans="1:11" s="331" customFormat="1" ht="9" customHeight="1">
      <c r="A8" s="674" t="s">
        <v>87</v>
      </c>
      <c r="B8" s="626" t="s">
        <v>314</v>
      </c>
      <c r="C8" s="628">
        <v>112.25113</v>
      </c>
      <c r="D8" s="628">
        <v>30.39395</v>
      </c>
      <c r="E8" s="791">
        <v>110.29473</v>
      </c>
      <c r="F8" s="675">
        <f t="shared" si="0"/>
        <v>2.6932063782430387</v>
      </c>
      <c r="K8" s="530"/>
    </row>
    <row r="9" spans="1:11" s="331" customFormat="1" ht="9" customHeight="1">
      <c r="A9" s="674"/>
      <c r="B9" s="626" t="s">
        <v>315</v>
      </c>
      <c r="C9" s="628">
        <v>85.132390000000001</v>
      </c>
      <c r="D9" s="628">
        <v>87.137550000000005</v>
      </c>
      <c r="E9" s="791">
        <v>130.75458</v>
      </c>
      <c r="F9" s="675">
        <f t="shared" si="0"/>
        <v>-2.3011434220952975E-2</v>
      </c>
      <c r="K9" s="530"/>
    </row>
    <row r="10" spans="1:11" s="331" customFormat="1" ht="9" customHeight="1">
      <c r="A10" s="674"/>
      <c r="B10" s="626" t="s">
        <v>316</v>
      </c>
      <c r="C10" s="628">
        <v>750.89751000000001</v>
      </c>
      <c r="D10" s="628">
        <v>715.75391999999999</v>
      </c>
      <c r="E10" s="791">
        <v>723.90604000000008</v>
      </c>
      <c r="F10" s="675">
        <f t="shared" si="0"/>
        <v>4.910010133091558E-2</v>
      </c>
      <c r="K10" s="530"/>
    </row>
    <row r="11" spans="1:11" s="331" customFormat="1" ht="9" customHeight="1">
      <c r="A11" s="674"/>
      <c r="B11" s="626" t="s">
        <v>317</v>
      </c>
      <c r="C11" s="628">
        <v>102.24137999999999</v>
      </c>
      <c r="D11" s="628">
        <v>105.01179999999999</v>
      </c>
      <c r="E11" s="791">
        <v>0</v>
      </c>
      <c r="F11" s="675">
        <f t="shared" si="0"/>
        <v>-2.6381987548066088E-2</v>
      </c>
      <c r="J11" s="530"/>
      <c r="K11" s="530"/>
    </row>
    <row r="12" spans="1:11" s="331" customFormat="1" ht="9" customHeight="1">
      <c r="A12" s="674"/>
      <c r="B12" s="626" t="s">
        <v>318</v>
      </c>
      <c r="C12" s="628">
        <v>0</v>
      </c>
      <c r="D12" s="628">
        <v>0</v>
      </c>
      <c r="E12" s="791">
        <v>0</v>
      </c>
      <c r="F12" s="675" t="str">
        <f t="shared" si="0"/>
        <v/>
      </c>
      <c r="J12" s="530"/>
      <c r="K12" s="530"/>
    </row>
    <row r="13" spans="1:11" s="331" customFormat="1" ht="9" customHeight="1">
      <c r="A13" s="674"/>
      <c r="B13" s="626" t="s">
        <v>319</v>
      </c>
      <c r="C13" s="628">
        <v>0</v>
      </c>
      <c r="D13" s="628">
        <v>0</v>
      </c>
      <c r="E13" s="791">
        <v>0</v>
      </c>
      <c r="F13" s="675" t="str">
        <f t="shared" si="0"/>
        <v/>
      </c>
      <c r="J13" s="530"/>
      <c r="K13" s="530"/>
    </row>
    <row r="14" spans="1:11" s="331" customFormat="1" ht="9" customHeight="1">
      <c r="A14" s="674"/>
      <c r="B14" s="626" t="s">
        <v>320</v>
      </c>
      <c r="C14" s="628">
        <v>0</v>
      </c>
      <c r="D14" s="628">
        <v>0</v>
      </c>
      <c r="E14" s="791">
        <v>0</v>
      </c>
      <c r="F14" s="675" t="str">
        <f t="shared" si="0"/>
        <v/>
      </c>
      <c r="J14" s="530"/>
      <c r="K14" s="530"/>
    </row>
    <row r="15" spans="1:11" s="331" customFormat="1" ht="9" customHeight="1">
      <c r="A15" s="674"/>
      <c r="B15" s="626" t="s">
        <v>428</v>
      </c>
      <c r="C15" s="628">
        <v>0</v>
      </c>
      <c r="D15" s="628">
        <v>0</v>
      </c>
      <c r="E15" s="791">
        <v>0</v>
      </c>
      <c r="F15" s="675" t="str">
        <f t="shared" si="0"/>
        <v/>
      </c>
      <c r="J15" s="530"/>
      <c r="K15" s="530"/>
    </row>
    <row r="16" spans="1:11" s="331" customFormat="1" ht="9" customHeight="1">
      <c r="A16" s="676" t="s">
        <v>510</v>
      </c>
      <c r="B16" s="512"/>
      <c r="C16" s="514">
        <v>1050.52241</v>
      </c>
      <c r="D16" s="514">
        <v>938.29722000000004</v>
      </c>
      <c r="E16" s="790">
        <v>964.95535000000007</v>
      </c>
      <c r="F16" s="677">
        <f t="shared" si="0"/>
        <v>0.11960516093184204</v>
      </c>
      <c r="J16" s="530"/>
      <c r="K16" s="530"/>
    </row>
    <row r="17" spans="1:11" s="331" customFormat="1" ht="9" customHeight="1">
      <c r="A17" s="674" t="s">
        <v>239</v>
      </c>
      <c r="B17" s="626" t="s">
        <v>321</v>
      </c>
      <c r="C17" s="628">
        <v>551.00720999999999</v>
      </c>
      <c r="D17" s="628">
        <v>270.29468000000003</v>
      </c>
      <c r="E17" s="791">
        <v>269.12878000000001</v>
      </c>
      <c r="F17" s="675">
        <f t="shared" si="0"/>
        <v>1.0385425639897905</v>
      </c>
      <c r="J17" s="530"/>
      <c r="K17" s="530"/>
    </row>
    <row r="18" spans="1:11" s="331" customFormat="1" ht="9" customHeight="1">
      <c r="A18" s="676" t="s">
        <v>511</v>
      </c>
      <c r="B18" s="512"/>
      <c r="C18" s="514">
        <v>551.00720999999999</v>
      </c>
      <c r="D18" s="514">
        <v>270.29468000000003</v>
      </c>
      <c r="E18" s="790">
        <v>269.12878000000001</v>
      </c>
      <c r="F18" s="677">
        <f t="shared" si="0"/>
        <v>1.0385425639897905</v>
      </c>
      <c r="J18" s="530"/>
      <c r="K18" s="530"/>
    </row>
    <row r="19" spans="1:11" s="331" customFormat="1" ht="9" customHeight="1">
      <c r="A19" s="674" t="s">
        <v>458</v>
      </c>
      <c r="B19" s="626" t="s">
        <v>463</v>
      </c>
      <c r="C19" s="628">
        <v>10.90802</v>
      </c>
      <c r="D19" s="628"/>
      <c r="E19" s="791">
        <v>8.2661899999999999</v>
      </c>
      <c r="F19" s="675" t="str">
        <f t="shared" si="0"/>
        <v/>
      </c>
      <c r="J19" s="530"/>
      <c r="K19" s="530"/>
    </row>
    <row r="20" spans="1:11" s="331" customFormat="1" ht="9" customHeight="1">
      <c r="A20" s="674"/>
      <c r="B20" s="626" t="s">
        <v>459</v>
      </c>
      <c r="C20" s="628">
        <v>5.2542200000000001</v>
      </c>
      <c r="D20" s="628"/>
      <c r="E20" s="791">
        <v>0</v>
      </c>
      <c r="F20" s="675"/>
      <c r="J20" s="530"/>
      <c r="K20" s="530"/>
    </row>
    <row r="21" spans="1:11" s="331" customFormat="1" ht="9" customHeight="1">
      <c r="A21" s="676" t="s">
        <v>512</v>
      </c>
      <c r="B21" s="512"/>
      <c r="C21" s="514">
        <v>16.162240000000001</v>
      </c>
      <c r="D21" s="514"/>
      <c r="E21" s="790">
        <v>8.2661899999999999</v>
      </c>
      <c r="F21" s="677"/>
      <c r="J21" s="530"/>
      <c r="K21" s="530"/>
    </row>
    <row r="22" spans="1:11" s="331" customFormat="1" ht="9" customHeight="1">
      <c r="A22" s="674" t="s">
        <v>108</v>
      </c>
      <c r="B22" s="626" t="s">
        <v>66</v>
      </c>
      <c r="C22" s="628">
        <v>6.4786599999999996</v>
      </c>
      <c r="D22" s="628">
        <v>6.74193</v>
      </c>
      <c r="E22" s="791">
        <v>0</v>
      </c>
      <c r="F22" s="675"/>
      <c r="J22" s="530"/>
      <c r="K22" s="530"/>
    </row>
    <row r="23" spans="1:11" s="331" customFormat="1" ht="9" customHeight="1">
      <c r="A23" s="674"/>
      <c r="B23" s="626" t="s">
        <v>415</v>
      </c>
      <c r="C23" s="628">
        <v>8.2116799999999994</v>
      </c>
      <c r="D23" s="628">
        <v>6.9141300000000001</v>
      </c>
      <c r="E23" s="791">
        <v>20.355240000000002</v>
      </c>
      <c r="F23" s="675">
        <f t="shared" si="0"/>
        <v>0.18766641645441995</v>
      </c>
      <c r="J23" s="530"/>
      <c r="K23" s="530"/>
    </row>
    <row r="24" spans="1:11" s="331" customFormat="1" ht="9" customHeight="1">
      <c r="A24" s="674"/>
      <c r="B24" s="626" t="s">
        <v>413</v>
      </c>
      <c r="C24" s="628">
        <v>9.9789300000000001</v>
      </c>
      <c r="D24" s="628">
        <v>8.69815</v>
      </c>
      <c r="E24" s="791">
        <v>20.30152</v>
      </c>
      <c r="F24" s="675">
        <f t="shared" si="0"/>
        <v>0.14724740318343565</v>
      </c>
      <c r="J24" s="530"/>
      <c r="K24" s="530"/>
    </row>
    <row r="25" spans="1:11" s="331" customFormat="1" ht="9" customHeight="1">
      <c r="A25" s="674"/>
      <c r="B25" s="626" t="s">
        <v>414</v>
      </c>
      <c r="C25" s="628">
        <v>10.175190000000001</v>
      </c>
      <c r="D25" s="628">
        <v>8.7199000000000009</v>
      </c>
      <c r="E25" s="791">
        <v>19.837339999999998</v>
      </c>
      <c r="F25" s="675">
        <f t="shared" si="0"/>
        <v>0.16689296895606587</v>
      </c>
      <c r="J25" s="530"/>
      <c r="K25" s="530"/>
    </row>
    <row r="26" spans="1:11" s="331" customFormat="1" ht="9" customHeight="1">
      <c r="A26" s="676" t="s">
        <v>513</v>
      </c>
      <c r="B26" s="512"/>
      <c r="C26" s="514">
        <v>34.844459999999998</v>
      </c>
      <c r="D26" s="514">
        <v>31.074110000000005</v>
      </c>
      <c r="E26" s="790">
        <v>60.494100000000003</v>
      </c>
      <c r="F26" s="677">
        <f t="shared" si="0"/>
        <v>0.12133412670547905</v>
      </c>
      <c r="J26" s="530"/>
      <c r="K26" s="530"/>
    </row>
    <row r="27" spans="1:11" s="331" customFormat="1" ht="9" customHeight="1">
      <c r="A27" s="674" t="s">
        <v>111</v>
      </c>
      <c r="B27" s="626" t="s">
        <v>233</v>
      </c>
      <c r="C27" s="628">
        <v>0</v>
      </c>
      <c r="D27" s="628">
        <v>0</v>
      </c>
      <c r="E27" s="791">
        <v>0</v>
      </c>
      <c r="F27" s="675" t="str">
        <f t="shared" si="0"/>
        <v/>
      </c>
      <c r="J27" s="530"/>
      <c r="K27" s="530"/>
    </row>
    <row r="28" spans="1:11" s="331" customFormat="1" ht="9" customHeight="1">
      <c r="A28" s="676" t="s">
        <v>514</v>
      </c>
      <c r="B28" s="512"/>
      <c r="C28" s="514">
        <v>0</v>
      </c>
      <c r="D28" s="514">
        <v>0</v>
      </c>
      <c r="E28" s="790">
        <v>0</v>
      </c>
      <c r="F28" s="677" t="str">
        <f t="shared" si="0"/>
        <v/>
      </c>
      <c r="J28" s="530"/>
      <c r="K28" s="530"/>
    </row>
    <row r="29" spans="1:11" s="331" customFormat="1" ht="9" customHeight="1">
      <c r="A29" s="674" t="s">
        <v>112</v>
      </c>
      <c r="B29" s="626" t="s">
        <v>82</v>
      </c>
      <c r="C29" s="628">
        <v>0</v>
      </c>
      <c r="D29" s="628">
        <v>0</v>
      </c>
      <c r="E29" s="791">
        <v>0</v>
      </c>
      <c r="F29" s="675" t="str">
        <f t="shared" si="0"/>
        <v/>
      </c>
      <c r="J29" s="530"/>
      <c r="K29" s="530"/>
    </row>
    <row r="30" spans="1:11" s="331" customFormat="1" ht="9" customHeight="1">
      <c r="A30" s="676" t="s">
        <v>515</v>
      </c>
      <c r="B30" s="512"/>
      <c r="C30" s="514">
        <v>0</v>
      </c>
      <c r="D30" s="514">
        <v>0</v>
      </c>
      <c r="E30" s="790">
        <v>0</v>
      </c>
      <c r="F30" s="677" t="str">
        <f t="shared" si="0"/>
        <v/>
      </c>
      <c r="J30" s="530"/>
      <c r="K30" s="530"/>
    </row>
    <row r="31" spans="1:11" s="331" customFormat="1" ht="9" customHeight="1">
      <c r="A31" s="674" t="s">
        <v>116</v>
      </c>
      <c r="B31" s="626" t="s">
        <v>74</v>
      </c>
      <c r="C31" s="628">
        <v>3.2</v>
      </c>
      <c r="D31" s="628">
        <v>3.6</v>
      </c>
      <c r="E31" s="791">
        <v>2</v>
      </c>
      <c r="F31" s="675">
        <f t="shared" si="0"/>
        <v>-0.11111111111111105</v>
      </c>
      <c r="J31" s="530"/>
      <c r="K31" s="530"/>
    </row>
    <row r="32" spans="1:11" s="331" customFormat="1" ht="9" customHeight="1">
      <c r="A32" s="676" t="s">
        <v>516</v>
      </c>
      <c r="B32" s="512"/>
      <c r="C32" s="514">
        <v>3.2</v>
      </c>
      <c r="D32" s="514">
        <v>3.6</v>
      </c>
      <c r="E32" s="790">
        <v>2</v>
      </c>
      <c r="F32" s="677">
        <f t="shared" si="0"/>
        <v>-0.11111111111111105</v>
      </c>
      <c r="J32" s="530"/>
      <c r="K32" s="530"/>
    </row>
    <row r="33" spans="1:11" s="331" customFormat="1" ht="9" customHeight="1">
      <c r="A33" s="674" t="s">
        <v>103</v>
      </c>
      <c r="B33" s="626" t="s">
        <v>322</v>
      </c>
      <c r="C33" s="628">
        <v>16.32544</v>
      </c>
      <c r="D33" s="628">
        <v>18.948140000000002</v>
      </c>
      <c r="E33" s="791">
        <v>19.528590000000001</v>
      </c>
      <c r="F33" s="675">
        <f t="shared" si="0"/>
        <v>-0.138414641225999</v>
      </c>
      <c r="J33" s="530"/>
      <c r="K33" s="530"/>
    </row>
    <row r="34" spans="1:11" s="331" customFormat="1" ht="9" customHeight="1">
      <c r="A34" s="676" t="s">
        <v>517</v>
      </c>
      <c r="B34" s="512"/>
      <c r="C34" s="514">
        <v>16.32544</v>
      </c>
      <c r="D34" s="514">
        <v>18.948140000000002</v>
      </c>
      <c r="E34" s="790">
        <v>19.528590000000001</v>
      </c>
      <c r="F34" s="677">
        <f t="shared" si="0"/>
        <v>-0.138414641225999</v>
      </c>
      <c r="J34" s="530"/>
      <c r="K34" s="530"/>
    </row>
    <row r="35" spans="1:11" s="331" customFormat="1" ht="18.75" customHeight="1">
      <c r="A35" s="678" t="s">
        <v>425</v>
      </c>
      <c r="B35" s="636" t="s">
        <v>323</v>
      </c>
      <c r="C35" s="793">
        <v>17.688569999999999</v>
      </c>
      <c r="D35" s="793">
        <v>12.681609999999999</v>
      </c>
      <c r="E35" s="795">
        <v>19.038879999999999</v>
      </c>
      <c r="F35" s="796">
        <f t="shared" si="0"/>
        <v>0.39482053146248774</v>
      </c>
      <c r="J35" s="530"/>
      <c r="K35" s="530"/>
    </row>
    <row r="36" spans="1:11" s="331" customFormat="1" ht="9" customHeight="1">
      <c r="A36" s="676" t="s">
        <v>518</v>
      </c>
      <c r="B36" s="512"/>
      <c r="C36" s="514">
        <v>17.688569999999999</v>
      </c>
      <c r="D36" s="514">
        <v>12.681609999999999</v>
      </c>
      <c r="E36" s="790">
        <v>19.038879999999999</v>
      </c>
      <c r="F36" s="677">
        <f t="shared" si="0"/>
        <v>0.39482053146248774</v>
      </c>
      <c r="J36" s="530"/>
      <c r="K36" s="530"/>
    </row>
    <row r="37" spans="1:11" s="331" customFormat="1" ht="9" customHeight="1">
      <c r="A37" s="674" t="s">
        <v>240</v>
      </c>
      <c r="B37" s="626" t="s">
        <v>59</v>
      </c>
      <c r="C37" s="628">
        <v>17.483129999999999</v>
      </c>
      <c r="D37" s="628">
        <v>15.62922</v>
      </c>
      <c r="E37" s="791">
        <v>19.104150000000001</v>
      </c>
      <c r="F37" s="675">
        <f t="shared" si="0"/>
        <v>0.11861820359557296</v>
      </c>
      <c r="J37" s="530"/>
      <c r="K37" s="530"/>
    </row>
    <row r="38" spans="1:11" s="331" customFormat="1" ht="9" customHeight="1">
      <c r="A38" s="676" t="s">
        <v>519</v>
      </c>
      <c r="B38" s="512"/>
      <c r="C38" s="514">
        <v>17.483129999999999</v>
      </c>
      <c r="D38" s="514">
        <v>15.62922</v>
      </c>
      <c r="E38" s="790">
        <v>19.104150000000001</v>
      </c>
      <c r="F38" s="677">
        <f t="shared" si="0"/>
        <v>0.11861820359557296</v>
      </c>
      <c r="J38" s="530"/>
      <c r="K38" s="530"/>
    </row>
    <row r="39" spans="1:11" s="331" customFormat="1" ht="9" customHeight="1">
      <c r="A39" s="674" t="s">
        <v>412</v>
      </c>
      <c r="B39" s="626" t="s">
        <v>466</v>
      </c>
      <c r="C39" s="628">
        <v>0</v>
      </c>
      <c r="D39" s="628">
        <v>0</v>
      </c>
      <c r="E39" s="791">
        <v>0.72899999999999998</v>
      </c>
      <c r="F39" s="675" t="str">
        <f t="shared" si="0"/>
        <v/>
      </c>
      <c r="J39" s="530"/>
      <c r="K39" s="530"/>
    </row>
    <row r="40" spans="1:11" s="331" customFormat="1" ht="9" customHeight="1">
      <c r="A40" s="676" t="s">
        <v>520</v>
      </c>
      <c r="B40" s="512"/>
      <c r="C40" s="514">
        <v>0</v>
      </c>
      <c r="D40" s="514">
        <v>0</v>
      </c>
      <c r="E40" s="790">
        <v>0.72899999999999998</v>
      </c>
      <c r="F40" s="677" t="str">
        <f t="shared" si="0"/>
        <v/>
      </c>
      <c r="J40" s="530"/>
      <c r="K40" s="530"/>
    </row>
    <row r="41" spans="1:11" s="331" customFormat="1" ht="9" customHeight="1">
      <c r="A41" s="674" t="s">
        <v>430</v>
      </c>
      <c r="B41" s="626" t="s">
        <v>434</v>
      </c>
      <c r="C41" s="628">
        <v>56.957920000000001</v>
      </c>
      <c r="D41" s="628">
        <v>56.91836</v>
      </c>
      <c r="E41" s="791">
        <v>90.813810000000004</v>
      </c>
      <c r="F41" s="675">
        <f t="shared" si="0"/>
        <v>6.9503056658692941E-4</v>
      </c>
      <c r="J41" s="530"/>
      <c r="K41" s="530"/>
    </row>
    <row r="42" spans="1:11" s="331" customFormat="1" ht="9" customHeight="1">
      <c r="A42" s="676" t="s">
        <v>521</v>
      </c>
      <c r="B42" s="512"/>
      <c r="C42" s="514">
        <v>56.957920000000001</v>
      </c>
      <c r="D42" s="514">
        <v>56.91836</v>
      </c>
      <c r="E42" s="790">
        <v>90.813810000000004</v>
      </c>
      <c r="F42" s="677">
        <f t="shared" si="0"/>
        <v>6.9503056658692941E-4</v>
      </c>
      <c r="J42" s="530"/>
      <c r="K42" s="530"/>
    </row>
    <row r="43" spans="1:11" s="331" customFormat="1" ht="21" customHeight="1">
      <c r="A43" s="678" t="s">
        <v>486</v>
      </c>
      <c r="B43" s="636" t="s">
        <v>576</v>
      </c>
      <c r="C43" s="628">
        <v>6.3763199999999998</v>
      </c>
      <c r="D43" s="628"/>
      <c r="E43" s="791"/>
      <c r="F43" s="675" t="str">
        <f t="shared" si="0"/>
        <v/>
      </c>
      <c r="J43" s="530"/>
      <c r="K43" s="530"/>
    </row>
    <row r="44" spans="1:11" s="331" customFormat="1" ht="9" customHeight="1">
      <c r="A44" s="676" t="s">
        <v>522</v>
      </c>
      <c r="B44" s="512"/>
      <c r="C44" s="514">
        <v>6.3763199999999998</v>
      </c>
      <c r="D44" s="514"/>
      <c r="E44" s="790"/>
      <c r="F44" s="677" t="str">
        <f t="shared" si="0"/>
        <v/>
      </c>
      <c r="J44" s="530"/>
      <c r="K44" s="530"/>
    </row>
    <row r="45" spans="1:11" s="331" customFormat="1" ht="9" customHeight="1">
      <c r="A45" s="674" t="s">
        <v>118</v>
      </c>
      <c r="B45" s="626" t="s">
        <v>324</v>
      </c>
      <c r="C45" s="628">
        <v>0</v>
      </c>
      <c r="D45" s="628">
        <v>0</v>
      </c>
      <c r="E45" s="791">
        <v>0</v>
      </c>
      <c r="F45" s="675" t="str">
        <f t="shared" si="0"/>
        <v/>
      </c>
      <c r="J45" s="530"/>
      <c r="K45" s="530"/>
    </row>
    <row r="46" spans="1:11" s="331" customFormat="1" ht="9" customHeight="1">
      <c r="A46" s="674"/>
      <c r="B46" s="626" t="s">
        <v>325</v>
      </c>
      <c r="C46" s="628">
        <v>0</v>
      </c>
      <c r="D46" s="628">
        <v>0</v>
      </c>
      <c r="E46" s="791">
        <v>0</v>
      </c>
      <c r="F46" s="675" t="str">
        <f t="shared" si="0"/>
        <v/>
      </c>
      <c r="J46" s="530"/>
      <c r="K46" s="530"/>
    </row>
    <row r="47" spans="1:11" s="331" customFormat="1" ht="9" customHeight="1">
      <c r="A47" s="676" t="s">
        <v>523</v>
      </c>
      <c r="B47" s="512"/>
      <c r="C47" s="514">
        <v>0</v>
      </c>
      <c r="D47" s="514">
        <v>0</v>
      </c>
      <c r="E47" s="790">
        <v>0</v>
      </c>
      <c r="F47" s="677" t="str">
        <f t="shared" si="0"/>
        <v/>
      </c>
      <c r="J47" s="530"/>
      <c r="K47" s="530"/>
    </row>
    <row r="48" spans="1:11" s="331" customFormat="1" ht="9" customHeight="1">
      <c r="A48" s="674" t="s">
        <v>410</v>
      </c>
      <c r="B48" s="626" t="s">
        <v>326</v>
      </c>
      <c r="C48" s="628">
        <v>801.70298000000003</v>
      </c>
      <c r="D48" s="628">
        <v>799.8771200000001</v>
      </c>
      <c r="E48" s="791">
        <v>490.61233999999996</v>
      </c>
      <c r="F48" s="675">
        <f t="shared" si="0"/>
        <v>2.2826756189748831E-3</v>
      </c>
      <c r="J48" s="530"/>
      <c r="K48" s="530"/>
    </row>
    <row r="49" spans="1:11" s="331" customFormat="1" ht="9" customHeight="1">
      <c r="A49" s="674"/>
      <c r="B49" s="626" t="s">
        <v>327</v>
      </c>
      <c r="C49" s="628">
        <v>0</v>
      </c>
      <c r="D49" s="628">
        <v>181.87386000000001</v>
      </c>
      <c r="E49" s="791">
        <v>154.80788000000001</v>
      </c>
      <c r="F49" s="675">
        <f t="shared" si="0"/>
        <v>-1</v>
      </c>
      <c r="J49" s="530"/>
      <c r="K49" s="530"/>
    </row>
    <row r="50" spans="1:11" s="331" customFormat="1" ht="9" customHeight="1">
      <c r="A50" s="674"/>
      <c r="B50" s="626" t="s">
        <v>432</v>
      </c>
      <c r="C50" s="628">
        <v>276.38348999999999</v>
      </c>
      <c r="D50" s="628">
        <v>343.09769</v>
      </c>
      <c r="E50" s="791">
        <v>539.21326999999997</v>
      </c>
      <c r="F50" s="675">
        <f t="shared" si="0"/>
        <v>-0.19444666036661451</v>
      </c>
      <c r="J50" s="530"/>
      <c r="K50" s="530"/>
    </row>
    <row r="51" spans="1:11" s="331" customFormat="1" ht="9" customHeight="1">
      <c r="A51" s="674"/>
      <c r="B51" s="626" t="s">
        <v>328</v>
      </c>
      <c r="C51" s="628">
        <v>3.17082</v>
      </c>
      <c r="D51" s="628">
        <v>3.2120899999999999</v>
      </c>
      <c r="E51" s="791">
        <v>10.12462</v>
      </c>
      <c r="F51" s="675">
        <f t="shared" si="0"/>
        <v>-1.2848332394173267E-2</v>
      </c>
      <c r="J51" s="530"/>
      <c r="K51" s="530"/>
    </row>
    <row r="52" spans="1:11" s="331" customFormat="1" ht="9" customHeight="1">
      <c r="A52" s="676" t="s">
        <v>524</v>
      </c>
      <c r="B52" s="512"/>
      <c r="C52" s="514">
        <v>1081.25729</v>
      </c>
      <c r="D52" s="514">
        <v>1328.0607600000001</v>
      </c>
      <c r="E52" s="790">
        <v>1194.75811</v>
      </c>
      <c r="F52" s="677">
        <f t="shared" si="0"/>
        <v>-0.18583748382114684</v>
      </c>
      <c r="J52" s="530"/>
      <c r="K52" s="530"/>
    </row>
    <row r="53" spans="1:11" s="331" customFormat="1" ht="9" customHeight="1">
      <c r="A53" s="674" t="s">
        <v>117</v>
      </c>
      <c r="B53" s="626" t="s">
        <v>72</v>
      </c>
      <c r="C53" s="628">
        <v>1.7243599999999999</v>
      </c>
      <c r="D53" s="628">
        <v>1.3524</v>
      </c>
      <c r="E53" s="791">
        <v>3.3192300000000001</v>
      </c>
      <c r="F53" s="675">
        <f t="shared" si="0"/>
        <v>0.27503697131026317</v>
      </c>
      <c r="J53" s="530"/>
      <c r="K53" s="530"/>
    </row>
    <row r="54" spans="1:11" s="331" customFormat="1" ht="9" customHeight="1">
      <c r="A54" s="676" t="s">
        <v>525</v>
      </c>
      <c r="B54" s="512"/>
      <c r="C54" s="514">
        <v>1.7243599999999999</v>
      </c>
      <c r="D54" s="514">
        <v>1.3524</v>
      </c>
      <c r="E54" s="790">
        <v>3.3192300000000001</v>
      </c>
      <c r="F54" s="677">
        <f t="shared" si="0"/>
        <v>0.27503697131026317</v>
      </c>
      <c r="J54" s="530"/>
      <c r="K54" s="530"/>
    </row>
    <row r="55" spans="1:11" s="331" customFormat="1" ht="9" customHeight="1">
      <c r="A55" s="674" t="s">
        <v>110</v>
      </c>
      <c r="B55" s="626" t="s">
        <v>81</v>
      </c>
      <c r="C55" s="628">
        <v>0</v>
      </c>
      <c r="D55" s="628">
        <v>0</v>
      </c>
      <c r="E55" s="791">
        <v>0</v>
      </c>
      <c r="F55" s="675" t="str">
        <f t="shared" si="0"/>
        <v/>
      </c>
      <c r="J55" s="530"/>
      <c r="K55" s="530"/>
    </row>
    <row r="56" spans="1:11" s="331" customFormat="1" ht="9" customHeight="1">
      <c r="A56" s="676" t="s">
        <v>526</v>
      </c>
      <c r="B56" s="512"/>
      <c r="C56" s="514">
        <v>0</v>
      </c>
      <c r="D56" s="514">
        <v>0</v>
      </c>
      <c r="E56" s="790">
        <v>0</v>
      </c>
      <c r="F56" s="677" t="str">
        <f t="shared" si="0"/>
        <v/>
      </c>
      <c r="J56" s="530"/>
      <c r="K56" s="530"/>
    </row>
    <row r="57" spans="1:11" s="331" customFormat="1" ht="9" customHeight="1">
      <c r="A57" s="674" t="s">
        <v>241</v>
      </c>
      <c r="B57" s="626" t="s">
        <v>71</v>
      </c>
      <c r="C57" s="628">
        <v>1.0623400000000001</v>
      </c>
      <c r="D57" s="628">
        <v>5.41066</v>
      </c>
      <c r="E57" s="791">
        <v>4.2940100000000001</v>
      </c>
      <c r="F57" s="675">
        <f t="shared" si="0"/>
        <v>-0.80365796409310508</v>
      </c>
      <c r="J57" s="530"/>
      <c r="K57" s="530"/>
    </row>
    <row r="58" spans="1:11" s="331" customFormat="1" ht="9" customHeight="1">
      <c r="A58" s="674"/>
      <c r="B58" s="626" t="s">
        <v>329</v>
      </c>
      <c r="C58" s="628">
        <v>97.910150000000002</v>
      </c>
      <c r="D58" s="628">
        <v>107.66212</v>
      </c>
      <c r="E58" s="791">
        <v>250.73476000000002</v>
      </c>
      <c r="F58" s="675">
        <f t="shared" si="0"/>
        <v>-9.0579397842063702E-2</v>
      </c>
      <c r="J58" s="530"/>
      <c r="K58" s="530"/>
    </row>
    <row r="59" spans="1:11" s="331" customFormat="1" ht="9" customHeight="1">
      <c r="A59" s="674"/>
      <c r="B59" s="626" t="s">
        <v>330</v>
      </c>
      <c r="C59" s="628">
        <v>11.93411</v>
      </c>
      <c r="D59" s="628">
        <v>89.867429999999999</v>
      </c>
      <c r="E59" s="791">
        <v>76.953440000000001</v>
      </c>
      <c r="F59" s="675">
        <f t="shared" si="0"/>
        <v>-0.86720316804430708</v>
      </c>
      <c r="J59" s="530"/>
      <c r="K59" s="530"/>
    </row>
    <row r="60" spans="1:11" s="331" customFormat="1" ht="9" customHeight="1">
      <c r="A60" s="674"/>
      <c r="B60" s="626" t="s">
        <v>62</v>
      </c>
      <c r="C60" s="628">
        <v>9.9166699999999999</v>
      </c>
      <c r="D60" s="628">
        <v>9.9230099999999997</v>
      </c>
      <c r="E60" s="791">
        <v>9.9297299999999993</v>
      </c>
      <c r="F60" s="675">
        <f t="shared" si="0"/>
        <v>-6.3891903767099301E-4</v>
      </c>
      <c r="J60" s="530"/>
      <c r="K60" s="530"/>
    </row>
    <row r="61" spans="1:11" s="331" customFormat="1" ht="9" customHeight="1">
      <c r="A61" s="676" t="s">
        <v>527</v>
      </c>
      <c r="B61" s="512"/>
      <c r="C61" s="514">
        <v>120.82327000000001</v>
      </c>
      <c r="D61" s="514">
        <v>212.86321999999998</v>
      </c>
      <c r="E61" s="790">
        <v>341.91194000000002</v>
      </c>
      <c r="F61" s="677">
        <f t="shared" si="0"/>
        <v>-0.43239010478184059</v>
      </c>
      <c r="J61" s="530"/>
      <c r="K61" s="530"/>
    </row>
    <row r="62" spans="1:11" s="331" customFormat="1" ht="9" customHeight="1">
      <c r="A62" s="674" t="s">
        <v>242</v>
      </c>
      <c r="B62" s="626" t="s">
        <v>78</v>
      </c>
      <c r="C62" s="628">
        <v>25.070930000000001</v>
      </c>
      <c r="D62" s="628">
        <v>31.385619999999999</v>
      </c>
      <c r="E62" s="791">
        <v>18.001149999999999</v>
      </c>
      <c r="F62" s="675">
        <f t="shared" si="0"/>
        <v>-0.20119691756925617</v>
      </c>
      <c r="J62" s="530"/>
      <c r="K62" s="530"/>
    </row>
    <row r="63" spans="1:11" s="331" customFormat="1" ht="9" customHeight="1">
      <c r="A63" s="676" t="s">
        <v>528</v>
      </c>
      <c r="B63" s="512"/>
      <c r="C63" s="514">
        <v>25.070930000000001</v>
      </c>
      <c r="D63" s="514">
        <v>31.385619999999999</v>
      </c>
      <c r="E63" s="790">
        <v>18.001149999999999</v>
      </c>
      <c r="F63" s="677">
        <f t="shared" si="0"/>
        <v>-0.20119691756925617</v>
      </c>
      <c r="J63" s="530"/>
      <c r="K63" s="530"/>
    </row>
    <row r="64" spans="1:11" s="331" customFormat="1" ht="9" customHeight="1">
      <c r="A64" s="674" t="s">
        <v>99</v>
      </c>
      <c r="B64" s="626" t="s">
        <v>76</v>
      </c>
      <c r="C64" s="628">
        <v>89.456779999999995</v>
      </c>
      <c r="D64" s="628">
        <v>91.066339999999997</v>
      </c>
      <c r="E64" s="791">
        <v>55.79851</v>
      </c>
      <c r="F64" s="675">
        <f t="shared" si="0"/>
        <v>-1.7674587558915822E-2</v>
      </c>
      <c r="J64" s="530"/>
      <c r="K64" s="530"/>
    </row>
    <row r="65" spans="1:11" s="331" customFormat="1" ht="9" customHeight="1">
      <c r="A65" s="676" t="s">
        <v>529</v>
      </c>
      <c r="B65" s="512"/>
      <c r="C65" s="514">
        <v>89.456779999999995</v>
      </c>
      <c r="D65" s="514">
        <v>91.066339999999997</v>
      </c>
      <c r="E65" s="790">
        <v>55.79851</v>
      </c>
      <c r="F65" s="677">
        <f t="shared" si="0"/>
        <v>-1.7674587558915822E-2</v>
      </c>
      <c r="J65" s="530"/>
      <c r="K65" s="530"/>
    </row>
    <row r="66" spans="1:11" s="331" customFormat="1" ht="9" customHeight="1">
      <c r="A66" s="674" t="s">
        <v>107</v>
      </c>
      <c r="B66" s="626" t="s">
        <v>232</v>
      </c>
      <c r="C66" s="628">
        <v>0</v>
      </c>
      <c r="D66" s="628">
        <v>0</v>
      </c>
      <c r="E66" s="791">
        <v>0</v>
      </c>
      <c r="F66" s="675" t="str">
        <f t="shared" si="0"/>
        <v/>
      </c>
      <c r="J66" s="530"/>
      <c r="K66" s="530"/>
    </row>
    <row r="67" spans="1:11" s="331" customFormat="1" ht="9" customHeight="1">
      <c r="A67" s="676" t="s">
        <v>530</v>
      </c>
      <c r="B67" s="512"/>
      <c r="C67" s="514">
        <v>0</v>
      </c>
      <c r="D67" s="514">
        <v>0</v>
      </c>
      <c r="E67" s="790">
        <v>0</v>
      </c>
      <c r="F67" s="677" t="str">
        <f t="shared" si="0"/>
        <v/>
      </c>
      <c r="J67" s="530"/>
      <c r="K67" s="530"/>
    </row>
    <row r="68" spans="1:11" s="331" customFormat="1" ht="9" customHeight="1">
      <c r="A68" s="674" t="s">
        <v>411</v>
      </c>
      <c r="B68" s="626" t="s">
        <v>85</v>
      </c>
      <c r="C68" s="628">
        <v>1.40117</v>
      </c>
      <c r="D68" s="628">
        <v>2.9015</v>
      </c>
      <c r="E68" s="791">
        <v>2.5987999999999998</v>
      </c>
      <c r="F68" s="675">
        <f t="shared" si="0"/>
        <v>-0.51708771325176639</v>
      </c>
      <c r="J68" s="530"/>
      <c r="K68" s="530"/>
    </row>
    <row r="69" spans="1:11" s="331" customFormat="1" ht="9" customHeight="1">
      <c r="A69" s="674"/>
      <c r="B69" s="626" t="s">
        <v>84</v>
      </c>
      <c r="C69" s="628">
        <v>3.8178999999999998</v>
      </c>
      <c r="D69" s="628">
        <v>4.3220000000000001</v>
      </c>
      <c r="E69" s="791">
        <v>3.3125</v>
      </c>
      <c r="F69" s="675">
        <f t="shared" si="0"/>
        <v>-0.11663581675150403</v>
      </c>
      <c r="J69" s="530"/>
      <c r="K69" s="530"/>
    </row>
    <row r="70" spans="1:11" s="331" customFormat="1" ht="9" customHeight="1">
      <c r="A70" s="674"/>
      <c r="B70" s="626" t="s">
        <v>429</v>
      </c>
      <c r="C70" s="628">
        <v>1.1996</v>
      </c>
      <c r="D70" s="628">
        <v>2.3948</v>
      </c>
      <c r="E70" s="791">
        <v>2.403</v>
      </c>
      <c r="F70" s="675">
        <f t="shared" si="0"/>
        <v>-0.49908134290963757</v>
      </c>
      <c r="J70" s="530"/>
      <c r="K70" s="530"/>
    </row>
    <row r="71" spans="1:11" s="331" customFormat="1" ht="9" customHeight="1">
      <c r="A71" s="674"/>
      <c r="B71" s="626" t="s">
        <v>575</v>
      </c>
      <c r="C71" s="628">
        <v>0</v>
      </c>
      <c r="D71" s="628"/>
      <c r="E71" s="791"/>
      <c r="F71" s="675" t="str">
        <f t="shared" si="0"/>
        <v/>
      </c>
      <c r="J71" s="530"/>
      <c r="K71" s="530"/>
    </row>
    <row r="72" spans="1:11" s="331" customFormat="1" ht="10.5" customHeight="1">
      <c r="A72" s="676" t="s">
        <v>531</v>
      </c>
      <c r="B72" s="512"/>
      <c r="C72" s="514">
        <v>6.4186700000000005</v>
      </c>
      <c r="D72" s="514">
        <v>9.6182999999999996</v>
      </c>
      <c r="E72" s="790">
        <v>8.3142999999999994</v>
      </c>
      <c r="F72" s="677">
        <f t="shared" si="0"/>
        <v>-0.33266065728870997</v>
      </c>
    </row>
    <row r="73" spans="1:11" s="331" customFormat="1" ht="10.5" customHeight="1"/>
    <row r="74" spans="1:11" s="331" customFormat="1" ht="10.5" customHeight="1"/>
    <row r="75" spans="1:11" s="331" customFormat="1" ht="10.5" customHeight="1"/>
    <row r="76" spans="1:11" s="331" customFormat="1" ht="10.5" customHeight="1"/>
    <row r="77" spans="1:11" s="331" customFormat="1" ht="10.5" customHeight="1"/>
    <row r="78" spans="1:11" s="331" customFormat="1" ht="10.5" customHeight="1"/>
    <row r="79" spans="1:11" s="331" customFormat="1" ht="10.5" customHeight="1"/>
    <row r="80" spans="1:11" s="331" customFormat="1" ht="10.5" customHeight="1"/>
    <row r="81" s="331" customFormat="1" ht="8.25"/>
    <row r="82" s="331" customFormat="1" ht="8.25"/>
    <row r="83" s="331" customFormat="1" ht="8.25"/>
    <row r="84" s="331" customFormat="1" ht="8.25"/>
    <row r="85" s="331" customFormat="1" ht="8.25"/>
    <row r="86" s="331" customFormat="1" ht="8.25"/>
    <row r="87" s="331" customFormat="1" ht="8.25"/>
    <row r="88" s="331" customFormat="1" ht="8.25"/>
    <row r="89" s="331" customFormat="1" ht="8.25"/>
    <row r="90" s="331" customFormat="1" ht="8.25"/>
    <row r="91" s="331" customFormat="1" ht="8.25"/>
    <row r="92" s="331" customFormat="1" ht="8.25"/>
    <row r="93" s="331" customFormat="1" ht="8.25"/>
    <row r="94" s="331" customFormat="1" ht="8.25"/>
    <row r="95" s="331" customFormat="1" ht="8.25"/>
    <row r="96" s="331" customFormat="1" ht="8.25"/>
    <row r="97" s="331" customFormat="1" ht="8.25"/>
    <row r="98" s="331" customFormat="1" ht="8.25"/>
    <row r="99" s="331" customFormat="1" ht="8.25"/>
    <row r="100" s="331" customFormat="1" ht="8.25"/>
    <row r="101" s="331" customFormat="1" ht="8.25"/>
    <row r="102" s="331" customFormat="1" ht="8.25"/>
    <row r="103" s="331" customFormat="1" ht="8.25"/>
    <row r="104" s="331" customFormat="1" ht="8.25"/>
    <row r="105" s="331" customFormat="1" ht="8.25"/>
    <row r="106" s="331" customFormat="1" ht="8.25"/>
    <row r="107" s="331" customFormat="1" ht="8.25"/>
    <row r="108" s="331" customFormat="1" ht="8.25"/>
    <row r="109" s="331" customFormat="1" ht="8.25"/>
    <row r="110" s="331" customFormat="1" ht="8.25"/>
    <row r="111" s="331" customFormat="1" ht="8.25"/>
    <row r="112" s="331" customFormat="1" ht="8.25"/>
    <row r="113" s="331" customFormat="1" ht="8.25"/>
  </sheetData>
  <mergeCells count="3">
    <mergeCell ref="A1:A4"/>
    <mergeCell ref="B1:B4"/>
    <mergeCell ref="C1:F1"/>
  </mergeCells>
  <pageMargins left="0.70866141732283472" right="0.70866141732283472" top="1.0236220472440944" bottom="0.62992125984251968" header="0.31496062992125984" footer="0.31496062992125984"/>
  <pageSetup paperSize="9" scale="94" orientation="portrait" r:id="rId1"/>
  <headerFooter>
    <oddHeader>&amp;R&amp;7Informe de la Operación Mensual-Octubre 2020
INFSGI-MES-10-2020
12/11/2020
Versión: 01</oddHeader>
    <oddFooter>&amp;L&amp;7COES, 2020&amp;C22&amp;R&amp;7Dirección Ejecutiva
Sub Dirección de Gestión de Información</oddFooter>
  </headerFooter>
  <rowBreaks count="1" manualBreakCount="1">
    <brk id="72"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tabColor theme="4"/>
  </sheetPr>
  <dimension ref="A1:G64"/>
  <sheetViews>
    <sheetView showGridLines="0" view="pageBreakPreview" topLeftCell="A22" zoomScale="115" zoomScaleNormal="100" zoomScaleSheetLayoutView="115" zoomScalePageLayoutView="140" workbookViewId="0">
      <selection activeCell="B47" sqref="B47"/>
    </sheetView>
  </sheetViews>
  <sheetFormatPr defaultColWidth="9.33203125" defaultRowHeight="9"/>
  <cols>
    <col min="1" max="1" width="27" style="274" customWidth="1"/>
    <col min="2" max="2" width="19.5" style="274" customWidth="1"/>
    <col min="3" max="3" width="16.5" style="274" customWidth="1"/>
    <col min="4" max="4" width="17.6640625" style="274" customWidth="1"/>
    <col min="5" max="5" width="15.1640625" style="274" customWidth="1"/>
    <col min="6" max="6" width="12.83203125" style="274" customWidth="1"/>
    <col min="7" max="16384" width="9.33203125" style="274"/>
  </cols>
  <sheetData>
    <row r="1" spans="1:6" s="331" customFormat="1" ht="11.25" customHeight="1">
      <c r="A1" s="1000" t="s">
        <v>250</v>
      </c>
      <c r="B1" s="1002" t="s">
        <v>54</v>
      </c>
      <c r="C1" s="1002" t="s">
        <v>354</v>
      </c>
      <c r="D1" s="1002"/>
      <c r="E1" s="1002"/>
      <c r="F1" s="1004"/>
    </row>
    <row r="2" spans="1:6" s="331" customFormat="1" ht="11.25" customHeight="1">
      <c r="A2" s="994"/>
      <c r="B2" s="997"/>
      <c r="C2" s="500" t="str">
        <f>UPPER('1. Resumen'!Q4)&amp;" "&amp;'1. Resumen'!Q5</f>
        <v>OCTUBRE 2020</v>
      </c>
      <c r="D2" s="501" t="str">
        <f>UPPER('1. Resumen'!Q4)&amp;" "&amp;'1. Resumen'!Q5-1</f>
        <v>OCTUBRE 2019</v>
      </c>
      <c r="E2" s="502" t="str">
        <f>UPPER('1. Resumen'!Q4)&amp;" "&amp;'1. Resumen'!Q5</f>
        <v>OCTUBRE 2020</v>
      </c>
      <c r="F2" s="644" t="s">
        <v>436</v>
      </c>
    </row>
    <row r="3" spans="1:6" s="331" customFormat="1" ht="11.25" customHeight="1">
      <c r="A3" s="994"/>
      <c r="B3" s="997"/>
      <c r="C3" s="503">
        <f>'21. ANEXOII-1'!C4</f>
        <v>44127.78125</v>
      </c>
      <c r="D3" s="503">
        <f>'21. ANEXOII-1'!D4</f>
        <v>43767.791666666664</v>
      </c>
      <c r="E3" s="503">
        <f>'21. ANEXOII-1'!E4</f>
        <v>43886.8125</v>
      </c>
      <c r="F3" s="645" t="s">
        <v>351</v>
      </c>
    </row>
    <row r="4" spans="1:6" s="331" customFormat="1" ht="11.25" customHeight="1">
      <c r="A4" s="1001"/>
      <c r="B4" s="1003"/>
      <c r="C4" s="504">
        <f>+'8. Max Potencia'!D9</f>
        <v>44127.78125</v>
      </c>
      <c r="D4" s="504">
        <f>+'8. Max Potencia'!E9</f>
        <v>43767.791666666664</v>
      </c>
      <c r="E4" s="504">
        <f>+'22. ANEXOII-2'!E4</f>
        <v>43886.8125</v>
      </c>
      <c r="F4" s="646" t="s">
        <v>352</v>
      </c>
    </row>
    <row r="5" spans="1:6" s="331" customFormat="1" ht="10.5" customHeight="1">
      <c r="A5" s="674" t="s">
        <v>243</v>
      </c>
      <c r="B5" s="626" t="s">
        <v>331</v>
      </c>
      <c r="C5" s="628">
        <v>0</v>
      </c>
      <c r="D5" s="628">
        <v>0</v>
      </c>
      <c r="E5" s="791">
        <v>0</v>
      </c>
      <c r="F5" s="675" t="str">
        <f t="shared" ref="F5:F44" si="0">+IF(D5=0,"",C5/D5-1)</f>
        <v/>
      </c>
    </row>
    <row r="6" spans="1:6" s="331" customFormat="1" ht="10.5" customHeight="1">
      <c r="A6" s="676" t="s">
        <v>532</v>
      </c>
      <c r="B6" s="512"/>
      <c r="C6" s="514">
        <v>0</v>
      </c>
      <c r="D6" s="514">
        <v>0</v>
      </c>
      <c r="E6" s="790">
        <v>0</v>
      </c>
      <c r="F6" s="677" t="str">
        <f t="shared" si="0"/>
        <v/>
      </c>
    </row>
    <row r="7" spans="1:6" s="331" customFormat="1" ht="10.5" customHeight="1">
      <c r="A7" s="674" t="s">
        <v>446</v>
      </c>
      <c r="B7" s="626" t="s">
        <v>460</v>
      </c>
      <c r="C7" s="628">
        <v>13.68366</v>
      </c>
      <c r="D7" s="628">
        <v>10.050419999999999</v>
      </c>
      <c r="E7" s="791">
        <v>19.940269999999998</v>
      </c>
      <c r="F7" s="675">
        <f t="shared" si="0"/>
        <v>0.36150131039299871</v>
      </c>
    </row>
    <row r="8" spans="1:6" s="331" customFormat="1" ht="10.5" customHeight="1">
      <c r="A8" s="676" t="s">
        <v>533</v>
      </c>
      <c r="B8" s="512"/>
      <c r="C8" s="514">
        <v>13.68366</v>
      </c>
      <c r="D8" s="514">
        <v>10.050419999999999</v>
      </c>
      <c r="E8" s="790">
        <v>19.940269999999998</v>
      </c>
      <c r="F8" s="677">
        <f t="shared" si="0"/>
        <v>0.36150131039299871</v>
      </c>
    </row>
    <row r="9" spans="1:6" s="331" customFormat="1" ht="10.5" customHeight="1">
      <c r="A9" s="674" t="s">
        <v>104</v>
      </c>
      <c r="B9" s="626" t="s">
        <v>61</v>
      </c>
      <c r="C9" s="628">
        <v>3.3647800000000001</v>
      </c>
      <c r="D9" s="628">
        <v>9.44374</v>
      </c>
      <c r="E9" s="791">
        <v>8.8928200000000004</v>
      </c>
      <c r="F9" s="675">
        <f t="shared" si="0"/>
        <v>-0.64370260087634779</v>
      </c>
    </row>
    <row r="10" spans="1:6" s="331" customFormat="1" ht="10.5" customHeight="1">
      <c r="A10" s="676" t="s">
        <v>534</v>
      </c>
      <c r="B10" s="512"/>
      <c r="C10" s="514">
        <v>3.3647800000000001</v>
      </c>
      <c r="D10" s="514">
        <v>9.44374</v>
      </c>
      <c r="E10" s="790">
        <v>8.8928200000000004</v>
      </c>
      <c r="F10" s="677">
        <f t="shared" si="0"/>
        <v>-0.64370260087634779</v>
      </c>
    </row>
    <row r="11" spans="1:6" s="331" customFormat="1" ht="10.5" customHeight="1">
      <c r="A11" s="674" t="s">
        <v>244</v>
      </c>
      <c r="B11" s="626" t="s">
        <v>332</v>
      </c>
      <c r="C11" s="628">
        <v>0</v>
      </c>
      <c r="D11" s="628">
        <v>0</v>
      </c>
      <c r="E11" s="791">
        <v>0</v>
      </c>
      <c r="F11" s="675" t="str">
        <f t="shared" si="0"/>
        <v/>
      </c>
    </row>
    <row r="12" spans="1:6" s="331" customFormat="1" ht="10.5" customHeight="1">
      <c r="A12" s="676" t="s">
        <v>535</v>
      </c>
      <c r="B12" s="512"/>
      <c r="C12" s="514">
        <v>0</v>
      </c>
      <c r="D12" s="514">
        <v>0</v>
      </c>
      <c r="E12" s="790">
        <v>0</v>
      </c>
      <c r="F12" s="677" t="str">
        <f t="shared" si="0"/>
        <v/>
      </c>
    </row>
    <row r="13" spans="1:6" s="331" customFormat="1" ht="10.5" customHeight="1">
      <c r="A13" s="674" t="s">
        <v>95</v>
      </c>
      <c r="B13" s="626" t="s">
        <v>333</v>
      </c>
      <c r="C13" s="628">
        <v>108.12949</v>
      </c>
      <c r="D13" s="628">
        <v>108.10897</v>
      </c>
      <c r="E13" s="791">
        <v>110.13262</v>
      </c>
      <c r="F13" s="675">
        <f t="shared" si="0"/>
        <v>1.8980848675198558E-4</v>
      </c>
    </row>
    <row r="14" spans="1:6" s="331" customFormat="1" ht="10.5" customHeight="1">
      <c r="A14" s="676" t="s">
        <v>536</v>
      </c>
      <c r="B14" s="512"/>
      <c r="C14" s="514">
        <v>108.12949</v>
      </c>
      <c r="D14" s="514">
        <v>108.10897</v>
      </c>
      <c r="E14" s="790">
        <v>110.13262</v>
      </c>
      <c r="F14" s="677">
        <f t="shared" si="0"/>
        <v>1.8980848675198558E-4</v>
      </c>
    </row>
    <row r="15" spans="1:6" s="331" customFormat="1" ht="10.5" customHeight="1">
      <c r="A15" s="674" t="s">
        <v>431</v>
      </c>
      <c r="B15" s="626" t="s">
        <v>467</v>
      </c>
      <c r="C15" s="628">
        <v>7.6040000000000001</v>
      </c>
      <c r="D15" s="628">
        <v>7.8860000000000001</v>
      </c>
      <c r="E15" s="791">
        <v>8.3719999999999999</v>
      </c>
      <c r="F15" s="675">
        <f t="shared" si="0"/>
        <v>-3.5759573928480837E-2</v>
      </c>
    </row>
    <row r="16" spans="1:6" s="331" customFormat="1" ht="10.5" customHeight="1">
      <c r="A16" s="676" t="s">
        <v>537</v>
      </c>
      <c r="B16" s="512"/>
      <c r="C16" s="514">
        <v>7.6040000000000001</v>
      </c>
      <c r="D16" s="514">
        <v>7.8860000000000001</v>
      </c>
      <c r="E16" s="790">
        <v>8.3719999999999999</v>
      </c>
      <c r="F16" s="677">
        <f t="shared" si="0"/>
        <v>-3.5759573928480837E-2</v>
      </c>
    </row>
    <row r="17" spans="1:6" s="331" customFormat="1" ht="10.5" customHeight="1">
      <c r="A17" s="674" t="s">
        <v>402</v>
      </c>
      <c r="B17" s="626" t="s">
        <v>406</v>
      </c>
      <c r="C17" s="628">
        <v>20.17915</v>
      </c>
      <c r="D17" s="628">
        <v>20.00038</v>
      </c>
      <c r="E17" s="791">
        <v>20.120570000000001</v>
      </c>
      <c r="F17" s="675">
        <f t="shared" si="0"/>
        <v>8.9383301717267383E-3</v>
      </c>
    </row>
    <row r="18" spans="1:6" s="331" customFormat="1" ht="10.5" customHeight="1">
      <c r="A18" s="676" t="s">
        <v>538</v>
      </c>
      <c r="B18" s="512"/>
      <c r="C18" s="514">
        <v>20.17915</v>
      </c>
      <c r="D18" s="514">
        <v>20.00038</v>
      </c>
      <c r="E18" s="790">
        <v>20.120570000000001</v>
      </c>
      <c r="F18" s="677">
        <f t="shared" si="0"/>
        <v>8.9383301717267383E-3</v>
      </c>
    </row>
    <row r="19" spans="1:6" s="331" customFormat="1" ht="10.5" customHeight="1">
      <c r="A19" s="674" t="s">
        <v>102</v>
      </c>
      <c r="B19" s="626" t="s">
        <v>334</v>
      </c>
      <c r="C19" s="628">
        <v>0</v>
      </c>
      <c r="D19" s="628">
        <v>28.075600000000001</v>
      </c>
      <c r="E19" s="791">
        <v>26.558800000000002</v>
      </c>
      <c r="F19" s="675">
        <f t="shared" si="0"/>
        <v>-1</v>
      </c>
    </row>
    <row r="20" spans="1:6" s="331" customFormat="1" ht="10.5" customHeight="1">
      <c r="A20" s="676" t="s">
        <v>539</v>
      </c>
      <c r="B20" s="512"/>
      <c r="C20" s="514">
        <v>0</v>
      </c>
      <c r="D20" s="514">
        <v>28.075600000000001</v>
      </c>
      <c r="E20" s="790">
        <v>26.558800000000002</v>
      </c>
      <c r="F20" s="677">
        <f t="shared" si="0"/>
        <v>-1</v>
      </c>
    </row>
    <row r="21" spans="1:6" s="331" customFormat="1" ht="10.5" customHeight="1">
      <c r="A21" s="674" t="s">
        <v>119</v>
      </c>
      <c r="B21" s="626" t="s">
        <v>335</v>
      </c>
      <c r="C21" s="628">
        <v>0</v>
      </c>
      <c r="D21" s="628">
        <v>0</v>
      </c>
      <c r="E21" s="791">
        <v>0</v>
      </c>
      <c r="F21" s="675" t="str">
        <f t="shared" si="0"/>
        <v/>
      </c>
    </row>
    <row r="22" spans="1:6" s="331" customFormat="1" ht="10.5" customHeight="1">
      <c r="A22" s="676" t="s">
        <v>540</v>
      </c>
      <c r="B22" s="512"/>
      <c r="C22" s="514">
        <v>0</v>
      </c>
      <c r="D22" s="514">
        <v>0</v>
      </c>
      <c r="E22" s="790">
        <v>0</v>
      </c>
      <c r="F22" s="677" t="str">
        <f t="shared" si="0"/>
        <v/>
      </c>
    </row>
    <row r="23" spans="1:6" s="331" customFormat="1" ht="10.5" customHeight="1">
      <c r="A23" s="674" t="s">
        <v>113</v>
      </c>
      <c r="B23" s="626" t="s">
        <v>461</v>
      </c>
      <c r="C23" s="628">
        <v>17.93282</v>
      </c>
      <c r="D23" s="628">
        <v>15.115159999999999</v>
      </c>
      <c r="E23" s="791">
        <v>19.958759999999998</v>
      </c>
      <c r="F23" s="675">
        <f t="shared" si="0"/>
        <v>0.18641284644026257</v>
      </c>
    </row>
    <row r="24" spans="1:6" s="331" customFormat="1" ht="10.5" customHeight="1">
      <c r="A24" s="674"/>
      <c r="B24" s="626" t="s">
        <v>69</v>
      </c>
      <c r="C24" s="628">
        <v>5.3689299999999998</v>
      </c>
      <c r="D24" s="628">
        <v>5.3213200000000001</v>
      </c>
      <c r="E24" s="791">
        <v>8.2235600000000009</v>
      </c>
      <c r="F24" s="675">
        <f t="shared" si="0"/>
        <v>8.9470281809775898E-3</v>
      </c>
    </row>
    <row r="25" spans="1:6" s="331" customFormat="1" ht="10.5" customHeight="1">
      <c r="A25" s="676" t="s">
        <v>541</v>
      </c>
      <c r="B25" s="512"/>
      <c r="C25" s="514">
        <v>23.301749999999998</v>
      </c>
      <c r="D25" s="514">
        <v>20.43648</v>
      </c>
      <c r="E25" s="790">
        <v>28.182319999999997</v>
      </c>
      <c r="F25" s="677">
        <f t="shared" si="0"/>
        <v>0.14020369456971049</v>
      </c>
    </row>
    <row r="26" spans="1:6" s="331" customFormat="1" ht="10.5" customHeight="1">
      <c r="A26" s="674" t="s">
        <v>90</v>
      </c>
      <c r="B26" s="626" t="s">
        <v>336</v>
      </c>
      <c r="C26" s="628">
        <v>32.53313</v>
      </c>
      <c r="D26" s="628">
        <v>22.661149999999999</v>
      </c>
      <c r="E26" s="791">
        <v>42.757599999999996</v>
      </c>
      <c r="F26" s="675">
        <f t="shared" si="0"/>
        <v>0.43563455517482574</v>
      </c>
    </row>
    <row r="27" spans="1:6" s="331" customFormat="1" ht="10.5" customHeight="1">
      <c r="A27" s="674"/>
      <c r="B27" s="626" t="s">
        <v>337</v>
      </c>
      <c r="C27" s="628">
        <v>89.765710000000013</v>
      </c>
      <c r="D27" s="628">
        <v>71.315269999999998</v>
      </c>
      <c r="E27" s="791">
        <v>163.52692999999999</v>
      </c>
      <c r="F27" s="675"/>
    </row>
    <row r="28" spans="1:6" s="331" customFormat="1" ht="10.5" customHeight="1">
      <c r="A28" s="674"/>
      <c r="B28" s="626" t="s">
        <v>338</v>
      </c>
      <c r="C28" s="628">
        <v>12.41404</v>
      </c>
      <c r="D28" s="628">
        <v>11.90523</v>
      </c>
      <c r="E28" s="791">
        <v>23.855930000000001</v>
      </c>
      <c r="F28" s="675"/>
    </row>
    <row r="29" spans="1:6" s="331" customFormat="1" ht="10.5" customHeight="1">
      <c r="A29" s="674"/>
      <c r="B29" s="626" t="s">
        <v>339</v>
      </c>
      <c r="C29" s="628">
        <v>1.6199999999999999E-3</v>
      </c>
      <c r="D29" s="628">
        <v>0.22</v>
      </c>
      <c r="E29" s="791">
        <v>0.22234999999999999</v>
      </c>
      <c r="F29" s="675"/>
    </row>
    <row r="30" spans="1:6" s="331" customFormat="1" ht="10.5" customHeight="1">
      <c r="A30" s="674"/>
      <c r="B30" s="626" t="s">
        <v>340</v>
      </c>
      <c r="C30" s="628">
        <v>24.91694</v>
      </c>
      <c r="D30" s="628">
        <v>28.28087</v>
      </c>
      <c r="E30" s="791">
        <v>45.267490000000002</v>
      </c>
      <c r="F30" s="675"/>
    </row>
    <row r="31" spans="1:6" s="331" customFormat="1" ht="10.5" customHeight="1">
      <c r="A31" s="674"/>
      <c r="B31" s="626" t="s">
        <v>341</v>
      </c>
      <c r="C31" s="628">
        <v>2.68486</v>
      </c>
      <c r="D31" s="628">
        <v>2.75265</v>
      </c>
      <c r="E31" s="791">
        <v>3.8410700000000002</v>
      </c>
      <c r="F31" s="675"/>
    </row>
    <row r="32" spans="1:6" s="331" customFormat="1" ht="10.5" customHeight="1">
      <c r="A32" s="674"/>
      <c r="B32" s="626" t="s">
        <v>342</v>
      </c>
      <c r="C32" s="628">
        <v>7.1704800000000004</v>
      </c>
      <c r="D32" s="628">
        <v>8.3095200000000009</v>
      </c>
      <c r="E32" s="791">
        <v>8.3933999999999997</v>
      </c>
      <c r="F32" s="675">
        <f t="shared" si="0"/>
        <v>-0.13707650983450315</v>
      </c>
    </row>
    <row r="33" spans="1:6" s="331" customFormat="1" ht="10.5" customHeight="1">
      <c r="A33" s="674"/>
      <c r="B33" s="626" t="s">
        <v>343</v>
      </c>
      <c r="C33" s="628">
        <v>7.4635200000000008</v>
      </c>
      <c r="D33" s="628">
        <v>6.5411700000000002</v>
      </c>
      <c r="E33" s="791">
        <v>0</v>
      </c>
      <c r="F33" s="675">
        <f t="shared" si="0"/>
        <v>0.14100688408954376</v>
      </c>
    </row>
    <row r="34" spans="1:6" s="331" customFormat="1" ht="10.5" customHeight="1">
      <c r="A34" s="674"/>
      <c r="B34" s="626" t="s">
        <v>344</v>
      </c>
      <c r="C34" s="628">
        <v>1.3227</v>
      </c>
      <c r="D34" s="628">
        <v>1.8356599999999998</v>
      </c>
      <c r="E34" s="791">
        <v>0.86190999999999995</v>
      </c>
      <c r="F34" s="675">
        <f t="shared" si="0"/>
        <v>-0.27944172668141154</v>
      </c>
    </row>
    <row r="35" spans="1:6" s="331" customFormat="1" ht="10.5" customHeight="1">
      <c r="A35" s="674"/>
      <c r="B35" s="626" t="s">
        <v>345</v>
      </c>
      <c r="C35" s="628">
        <v>0.29543999999999998</v>
      </c>
      <c r="D35" s="628">
        <v>0.32654</v>
      </c>
      <c r="E35" s="791">
        <v>0.28194000000000002</v>
      </c>
      <c r="F35" s="675">
        <f t="shared" si="0"/>
        <v>-9.524101182091016E-2</v>
      </c>
    </row>
    <row r="36" spans="1:6" s="331" customFormat="1" ht="10.5" customHeight="1">
      <c r="A36" s="674"/>
      <c r="B36" s="626" t="s">
        <v>346</v>
      </c>
      <c r="C36" s="628">
        <v>0.22997000000000001</v>
      </c>
      <c r="D36" s="628">
        <v>0.27784999999999999</v>
      </c>
      <c r="E36" s="791">
        <v>0.23855999999999999</v>
      </c>
      <c r="F36" s="675">
        <f t="shared" si="0"/>
        <v>-0.17232319596904799</v>
      </c>
    </row>
    <row r="37" spans="1:6" s="331" customFormat="1" ht="10.5" customHeight="1">
      <c r="A37" s="674"/>
      <c r="B37" s="626" t="s">
        <v>347</v>
      </c>
      <c r="C37" s="628">
        <v>98.568879999999993</v>
      </c>
      <c r="D37" s="628">
        <v>90.424079999999989</v>
      </c>
      <c r="E37" s="791">
        <v>105.60454</v>
      </c>
      <c r="F37" s="675">
        <f t="shared" si="0"/>
        <v>9.0073352142482355E-2</v>
      </c>
    </row>
    <row r="38" spans="1:6" s="331" customFormat="1" ht="10.5" customHeight="1">
      <c r="A38" s="676" t="s">
        <v>542</v>
      </c>
      <c r="B38" s="512"/>
      <c r="C38" s="514">
        <v>277.36729000000003</v>
      </c>
      <c r="D38" s="514">
        <v>244.84998999999993</v>
      </c>
      <c r="E38" s="790">
        <v>394.85172</v>
      </c>
      <c r="F38" s="677">
        <f t="shared" si="0"/>
        <v>0.13280498806636709</v>
      </c>
    </row>
    <row r="39" spans="1:6" s="331" customFormat="1" ht="10.5" customHeight="1">
      <c r="A39" s="674" t="s">
        <v>109</v>
      </c>
      <c r="B39" s="626" t="s">
        <v>231</v>
      </c>
      <c r="C39" s="628">
        <v>0</v>
      </c>
      <c r="D39" s="628">
        <v>0</v>
      </c>
      <c r="E39" s="791">
        <v>0</v>
      </c>
      <c r="F39" s="675" t="str">
        <f t="shared" si="0"/>
        <v/>
      </c>
    </row>
    <row r="40" spans="1:6" s="331" customFormat="1" ht="10.5" customHeight="1">
      <c r="A40" s="676" t="s">
        <v>543</v>
      </c>
      <c r="B40" s="512"/>
      <c r="C40" s="514">
        <v>0</v>
      </c>
      <c r="D40" s="514">
        <v>0</v>
      </c>
      <c r="E40" s="790">
        <v>0</v>
      </c>
      <c r="F40" s="677" t="str">
        <f t="shared" si="0"/>
        <v/>
      </c>
    </row>
    <row r="41" spans="1:6" s="331" customFormat="1" ht="10.5" customHeight="1">
      <c r="A41" s="674" t="s">
        <v>100</v>
      </c>
      <c r="B41" s="626" t="s">
        <v>433</v>
      </c>
      <c r="C41" s="628">
        <v>227.72192999999999</v>
      </c>
      <c r="D41" s="628">
        <v>0.50978000000000001</v>
      </c>
      <c r="E41" s="791">
        <v>283.12439000000001</v>
      </c>
      <c r="F41" s="675">
        <f t="shared" si="0"/>
        <v>445.70628506414528</v>
      </c>
    </row>
    <row r="42" spans="1:6" s="331" customFormat="1" ht="10.5" customHeight="1">
      <c r="A42" s="676" t="s">
        <v>544</v>
      </c>
      <c r="B42" s="512"/>
      <c r="C42" s="514">
        <v>227.72192999999999</v>
      </c>
      <c r="D42" s="514">
        <v>0.50978000000000001</v>
      </c>
      <c r="E42" s="790">
        <v>283.12439000000001</v>
      </c>
      <c r="F42" s="677">
        <f t="shared" si="0"/>
        <v>445.70628506414528</v>
      </c>
    </row>
    <row r="43" spans="1:6" s="331" customFormat="1" ht="10.5" customHeight="1">
      <c r="A43" s="674" t="s">
        <v>105</v>
      </c>
      <c r="B43" s="626" t="s">
        <v>348</v>
      </c>
      <c r="C43" s="628">
        <v>0</v>
      </c>
      <c r="D43" s="628">
        <v>75.331770000000006</v>
      </c>
      <c r="E43" s="791">
        <v>0</v>
      </c>
      <c r="F43" s="675">
        <f t="shared" si="0"/>
        <v>-1</v>
      </c>
    </row>
    <row r="44" spans="1:6" s="331" customFormat="1" ht="10.5" customHeight="1">
      <c r="A44" s="676" t="s">
        <v>545</v>
      </c>
      <c r="B44" s="512"/>
      <c r="C44" s="514">
        <v>0</v>
      </c>
      <c r="D44" s="514">
        <v>75.331770000000006</v>
      </c>
      <c r="E44" s="790">
        <v>0</v>
      </c>
      <c r="F44" s="677">
        <f t="shared" si="0"/>
        <v>-1</v>
      </c>
    </row>
    <row r="45" spans="1:6" s="331" customFormat="1" ht="10.5" customHeight="1">
      <c r="A45" s="674"/>
      <c r="B45" s="626"/>
      <c r="C45" s="628"/>
      <c r="D45" s="803"/>
      <c r="E45" s="803"/>
      <c r="F45" s="804"/>
    </row>
    <row r="46" spans="1:6" s="411" customFormat="1" ht="12" customHeight="1">
      <c r="A46" s="497" t="s">
        <v>404</v>
      </c>
      <c r="B46" s="507"/>
      <c r="C46" s="620">
        <v>6835.6389199999985</v>
      </c>
      <c r="D46" s="496">
        <v>6840.567820000002</v>
      </c>
      <c r="E46" s="496">
        <v>7125.2993800000013</v>
      </c>
      <c r="F46" s="649">
        <f>+IF(D46=0,"",C46/D46-1)</f>
        <v>-7.2053959988416239E-4</v>
      </c>
    </row>
    <row r="47" spans="1:6" s="411" customFormat="1" ht="12" customHeight="1">
      <c r="A47" s="507" t="s">
        <v>349</v>
      </c>
      <c r="B47" s="497"/>
      <c r="C47" s="496">
        <f>+'8. Max Potencia'!D16</f>
        <v>0</v>
      </c>
      <c r="D47" s="496">
        <f>+'8. Max Potencia'!E16</f>
        <v>0</v>
      </c>
      <c r="E47" s="499">
        <v>0</v>
      </c>
      <c r="F47" s="650">
        <v>0</v>
      </c>
    </row>
    <row r="48" spans="1:6" s="411" customFormat="1" ht="12" customHeight="1">
      <c r="A48" s="651" t="s">
        <v>350</v>
      </c>
      <c r="B48" s="651"/>
      <c r="C48" s="496">
        <v>0</v>
      </c>
      <c r="D48" s="496">
        <v>0</v>
      </c>
      <c r="E48" s="499">
        <v>0</v>
      </c>
      <c r="F48" s="650">
        <v>0</v>
      </c>
    </row>
    <row r="49" spans="1:7" ht="12" customHeight="1">
      <c r="A49" s="753" t="s">
        <v>454</v>
      </c>
      <c r="B49" s="651"/>
      <c r="C49" s="496">
        <f>+C46+C47</f>
        <v>6835.6389199999985</v>
      </c>
      <c r="D49" s="496">
        <f t="shared" ref="D49:E49" si="1">+D46+D47</f>
        <v>6840.567820000002</v>
      </c>
      <c r="E49" s="496">
        <f t="shared" si="1"/>
        <v>7125.2993800000013</v>
      </c>
      <c r="F49" s="649">
        <f>+IF(D49=0,"",C49/D49-1)</f>
        <v>-7.2053959988416239E-4</v>
      </c>
    </row>
    <row r="50" spans="1:7" ht="12" customHeight="1">
      <c r="A50" s="626"/>
      <c r="B50" s="629"/>
      <c r="C50" s="629"/>
      <c r="D50" s="629"/>
      <c r="E50" s="629"/>
      <c r="F50" s="629"/>
    </row>
    <row r="51" spans="1:7" ht="27.75" customHeight="1">
      <c r="A51" s="992" t="s">
        <v>480</v>
      </c>
      <c r="B51" s="992"/>
      <c r="C51" s="992"/>
      <c r="D51" s="992"/>
      <c r="E51" s="992"/>
      <c r="F51" s="992"/>
    </row>
    <row r="52" spans="1:7" ht="15" customHeight="1">
      <c r="A52" s="1005"/>
      <c r="B52" s="1005"/>
      <c r="C52" s="1005"/>
      <c r="D52" s="1005"/>
      <c r="E52" s="1005"/>
      <c r="F52" s="1005"/>
      <c r="G52" s="706"/>
    </row>
    <row r="53" spans="1:7" ht="15" customHeight="1">
      <c r="A53" s="706" t="s">
        <v>574</v>
      </c>
      <c r="B53" s="706"/>
      <c r="C53" s="706"/>
      <c r="D53" s="706"/>
      <c r="E53" s="706"/>
      <c r="F53" s="706"/>
      <c r="G53" s="706"/>
    </row>
    <row r="54" spans="1:7" ht="15" customHeight="1">
      <c r="A54" s="706" t="s">
        <v>733</v>
      </c>
      <c r="B54" s="706"/>
      <c r="C54" s="706"/>
      <c r="D54" s="706"/>
      <c r="E54" s="706"/>
      <c r="F54" s="706"/>
      <c r="G54" s="706"/>
    </row>
    <row r="55" spans="1:7" ht="15" customHeight="1">
      <c r="A55" s="1005"/>
      <c r="B55" s="1005"/>
      <c r="C55" s="1005"/>
      <c r="D55" s="1005"/>
      <c r="E55" s="1005"/>
      <c r="F55" s="1005"/>
      <c r="G55" s="706"/>
    </row>
    <row r="56" spans="1:7" ht="15" customHeight="1">
      <c r="A56" s="1005"/>
      <c r="B56" s="1005"/>
      <c r="C56" s="1005"/>
      <c r="D56" s="1005"/>
      <c r="E56" s="1005"/>
      <c r="F56" s="1005"/>
      <c r="G56" s="46"/>
    </row>
    <row r="57" spans="1:7" ht="15" customHeight="1">
      <c r="A57" s="1005"/>
      <c r="B57" s="1005"/>
      <c r="C57" s="1005"/>
      <c r="D57" s="1005"/>
      <c r="E57" s="1005"/>
      <c r="F57" s="1005"/>
      <c r="G57" s="46"/>
    </row>
    <row r="58" spans="1:7" ht="22.5" customHeight="1">
      <c r="A58" s="991"/>
      <c r="B58" s="991"/>
      <c r="C58" s="991"/>
      <c r="D58" s="991"/>
      <c r="E58" s="991"/>
      <c r="F58" s="991"/>
      <c r="G58" s="763"/>
    </row>
    <row r="59" spans="1:7" ht="15.75" customHeight="1">
      <c r="A59" s="1005"/>
      <c r="B59" s="1005"/>
      <c r="C59" s="1005"/>
      <c r="D59" s="1005"/>
      <c r="E59" s="1005"/>
      <c r="F59" s="1005"/>
      <c r="G59" s="730"/>
    </row>
    <row r="60" spans="1:7" ht="12" customHeight="1">
      <c r="A60" s="1005"/>
      <c r="B60" s="1005"/>
      <c r="C60" s="1005"/>
      <c r="D60" s="1005"/>
      <c r="E60" s="1005"/>
      <c r="F60" s="1005"/>
      <c r="G60" s="730"/>
    </row>
    <row r="61" spans="1:7" ht="12" customHeight="1">
      <c r="A61" s="1005"/>
      <c r="B61" s="1005"/>
      <c r="C61" s="1005"/>
      <c r="D61" s="1005"/>
      <c r="E61" s="1005"/>
      <c r="F61" s="1005"/>
      <c r="G61" s="730"/>
    </row>
    <row r="62" spans="1:7" ht="12" customHeight="1">
      <c r="A62" s="331"/>
      <c r="G62" s="730"/>
    </row>
    <row r="63" spans="1:7" ht="12" customHeight="1">
      <c r="A63" s="331"/>
    </row>
    <row r="64" spans="1:7" ht="12" customHeight="1">
      <c r="A64" s="331"/>
    </row>
  </sheetData>
  <mergeCells count="12">
    <mergeCell ref="A59:F59"/>
    <mergeCell ref="A60:F60"/>
    <mergeCell ref="A61:F61"/>
    <mergeCell ref="A1:A4"/>
    <mergeCell ref="B1:B4"/>
    <mergeCell ref="C1:F1"/>
    <mergeCell ref="A51:F51"/>
    <mergeCell ref="A58:F58"/>
    <mergeCell ref="A52:F52"/>
    <mergeCell ref="A55:F55"/>
    <mergeCell ref="A56:F56"/>
    <mergeCell ref="A57:F57"/>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Mensual-Octubre 2020
INFSGI-MES-10-2020
12/11/2020
Versión: 01</oddHeader>
    <oddFooter>&amp;L&amp;7COES, 2020&amp;C23&amp;R&amp;7Dirección Ejecutiva
Sub Dirección de Gestión de Información</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tabColor theme="4"/>
  </sheetPr>
  <dimension ref="A1:M63"/>
  <sheetViews>
    <sheetView showGridLines="0" view="pageBreakPreview" zoomScale="115" zoomScaleNormal="100" zoomScaleSheetLayoutView="115" zoomScalePageLayoutView="145" workbookViewId="0">
      <selection activeCell="O14" sqref="O14"/>
    </sheetView>
  </sheetViews>
  <sheetFormatPr defaultColWidth="9.33203125" defaultRowHeight="11.25"/>
  <cols>
    <col min="1" max="1" width="11.33203125" customWidth="1"/>
    <col min="2" max="2" width="6.6640625" customWidth="1"/>
    <col min="3" max="3" width="10.1640625" customWidth="1"/>
    <col min="4" max="5" width="12.1640625" customWidth="1"/>
    <col min="6" max="6" width="10" customWidth="1"/>
    <col min="7" max="7" width="6.5" customWidth="1"/>
    <col min="8" max="8" width="10.33203125" customWidth="1"/>
    <col min="9" max="10" width="12.1640625" customWidth="1"/>
    <col min="11" max="11" width="12" customWidth="1"/>
  </cols>
  <sheetData>
    <row r="1" spans="1:13" ht="11.25" customHeight="1"/>
    <row r="2" spans="1:13" ht="11.25" customHeight="1"/>
    <row r="3" spans="1:13" ht="16.5" customHeight="1">
      <c r="A3" s="277" t="s">
        <v>362</v>
      </c>
      <c r="B3" s="275"/>
    </row>
    <row r="4" spans="1:13" ht="11.25" customHeight="1">
      <c r="B4" s="275"/>
    </row>
    <row r="5" spans="1:13" ht="11.25" customHeight="1">
      <c r="A5" s="276" t="s">
        <v>409</v>
      </c>
      <c r="C5" s="833">
        <v>6835.6389200000003</v>
      </c>
    </row>
    <row r="6" spans="1:13" ht="11.25" customHeight="1">
      <c r="A6" s="276" t="s">
        <v>363</v>
      </c>
      <c r="C6" s="833" t="s">
        <v>719</v>
      </c>
    </row>
    <row r="7" spans="1:13" ht="11.25" customHeight="1">
      <c r="A7" s="276" t="s">
        <v>364</v>
      </c>
      <c r="C7" s="833" t="s">
        <v>549</v>
      </c>
    </row>
    <row r="8" spans="1:13" ht="11.25" customHeight="1"/>
    <row r="9" spans="1:13" ht="14.25" customHeight="1">
      <c r="A9" s="1006" t="s">
        <v>355</v>
      </c>
      <c r="B9" s="1007" t="s">
        <v>356</v>
      </c>
      <c r="C9" s="1007"/>
      <c r="D9" s="1007"/>
      <c r="E9" s="1007"/>
      <c r="F9" s="1007"/>
      <c r="G9" s="1007" t="s">
        <v>357</v>
      </c>
      <c r="H9" s="1007"/>
      <c r="I9" s="1007"/>
      <c r="J9" s="1007"/>
      <c r="K9" s="1007"/>
    </row>
    <row r="10" spans="1:13" ht="26.25" customHeight="1">
      <c r="A10" s="1006"/>
      <c r="B10" s="505" t="s">
        <v>358</v>
      </c>
      <c r="C10" s="505" t="s">
        <v>199</v>
      </c>
      <c r="D10" s="505" t="s">
        <v>349</v>
      </c>
      <c r="E10" s="505" t="s">
        <v>350</v>
      </c>
      <c r="F10" s="506" t="s">
        <v>361</v>
      </c>
      <c r="G10" s="505" t="s">
        <v>358</v>
      </c>
      <c r="H10" s="505" t="s">
        <v>199</v>
      </c>
      <c r="I10" s="505" t="s">
        <v>349</v>
      </c>
      <c r="J10" s="505" t="s">
        <v>350</v>
      </c>
      <c r="K10" s="506" t="s">
        <v>361</v>
      </c>
      <c r="L10" s="36"/>
      <c r="M10" s="46"/>
    </row>
    <row r="11" spans="1:13" ht="11.25" customHeight="1">
      <c r="A11" s="1006"/>
      <c r="B11" s="505" t="s">
        <v>359</v>
      </c>
      <c r="C11" s="505" t="s">
        <v>360</v>
      </c>
      <c r="D11" s="505" t="s">
        <v>360</v>
      </c>
      <c r="E11" s="505" t="s">
        <v>360</v>
      </c>
      <c r="F11" s="505" t="s">
        <v>360</v>
      </c>
      <c r="G11" s="505" t="s">
        <v>359</v>
      </c>
      <c r="H11" s="505" t="s">
        <v>360</v>
      </c>
      <c r="I11" s="505" t="s">
        <v>360</v>
      </c>
      <c r="J11" s="505" t="s">
        <v>360</v>
      </c>
      <c r="K11" s="505" t="s">
        <v>360</v>
      </c>
      <c r="L11" s="36"/>
      <c r="M11" s="46"/>
    </row>
    <row r="12" spans="1:13" ht="11.25" customHeight="1">
      <c r="A12" s="878" t="s">
        <v>691</v>
      </c>
      <c r="B12" s="875" t="s">
        <v>571</v>
      </c>
      <c r="C12" s="875">
        <v>6471.96288</v>
      </c>
      <c r="D12" s="875">
        <v>0</v>
      </c>
      <c r="E12" s="875">
        <v>0</v>
      </c>
      <c r="F12" s="875">
        <v>6471.96288</v>
      </c>
      <c r="G12" s="875" t="s">
        <v>572</v>
      </c>
      <c r="H12" s="875">
        <v>6610.1588300000003</v>
      </c>
      <c r="I12" s="875">
        <v>0</v>
      </c>
      <c r="J12" s="875">
        <v>0</v>
      </c>
      <c r="K12" s="875">
        <v>6610.1588300000003</v>
      </c>
      <c r="L12" s="205"/>
      <c r="M12" s="46"/>
    </row>
    <row r="13" spans="1:13" ht="11.25" customHeight="1">
      <c r="A13" s="878" t="s">
        <v>692</v>
      </c>
      <c r="B13" s="875" t="s">
        <v>547</v>
      </c>
      <c r="C13" s="875">
        <v>6500.8163999999997</v>
      </c>
      <c r="D13" s="875">
        <v>0</v>
      </c>
      <c r="E13" s="875">
        <v>0</v>
      </c>
      <c r="F13" s="875">
        <v>6500.8163999999997</v>
      </c>
      <c r="G13" s="875" t="s">
        <v>549</v>
      </c>
      <c r="H13" s="875">
        <v>6496.7090500000004</v>
      </c>
      <c r="I13" s="875">
        <v>0</v>
      </c>
      <c r="J13" s="875">
        <v>0</v>
      </c>
      <c r="K13" s="875">
        <v>6496.7090500000004</v>
      </c>
      <c r="L13" s="5"/>
    </row>
    <row r="14" spans="1:13" ht="11.25" customHeight="1">
      <c r="A14" s="878" t="s">
        <v>693</v>
      </c>
      <c r="B14" s="875" t="s">
        <v>694</v>
      </c>
      <c r="C14" s="875">
        <v>6291.7010099999998</v>
      </c>
      <c r="D14" s="875">
        <v>0</v>
      </c>
      <c r="E14" s="875">
        <v>0</v>
      </c>
      <c r="F14" s="875">
        <v>6291.7010099999998</v>
      </c>
      <c r="G14" s="875" t="s">
        <v>484</v>
      </c>
      <c r="H14" s="875">
        <v>6430.2851300000002</v>
      </c>
      <c r="I14" s="875">
        <v>0</v>
      </c>
      <c r="J14" s="875">
        <v>0</v>
      </c>
      <c r="K14" s="875">
        <v>6430.2851300000002</v>
      </c>
      <c r="L14" s="15"/>
    </row>
    <row r="15" spans="1:13" ht="11.25" customHeight="1">
      <c r="A15" s="878" t="s">
        <v>695</v>
      </c>
      <c r="B15" s="875" t="s">
        <v>550</v>
      </c>
      <c r="C15" s="875">
        <v>5595.7781400000003</v>
      </c>
      <c r="D15" s="875">
        <v>0</v>
      </c>
      <c r="E15" s="875">
        <v>0</v>
      </c>
      <c r="F15" s="875">
        <v>5595.7781400000003</v>
      </c>
      <c r="G15" s="875" t="s">
        <v>696</v>
      </c>
      <c r="H15" s="875">
        <v>6198.1965200000004</v>
      </c>
      <c r="I15" s="875">
        <v>0</v>
      </c>
      <c r="J15" s="875">
        <v>0</v>
      </c>
      <c r="K15" s="875">
        <v>6198.1965200000004</v>
      </c>
      <c r="L15" s="12"/>
    </row>
    <row r="16" spans="1:13" ht="11.25" customHeight="1">
      <c r="A16" s="878" t="s">
        <v>697</v>
      </c>
      <c r="B16" s="875" t="s">
        <v>546</v>
      </c>
      <c r="C16" s="875">
        <v>6348.8788999999997</v>
      </c>
      <c r="D16" s="875">
        <v>0</v>
      </c>
      <c r="E16" s="875">
        <v>0</v>
      </c>
      <c r="F16" s="875">
        <v>6348.8788999999997</v>
      </c>
      <c r="G16" s="875" t="s">
        <v>483</v>
      </c>
      <c r="H16" s="875">
        <v>6474.0927099999999</v>
      </c>
      <c r="I16" s="875">
        <v>0</v>
      </c>
      <c r="J16" s="875">
        <v>0</v>
      </c>
      <c r="K16" s="875">
        <v>6474.0927099999999</v>
      </c>
      <c r="L16" s="22"/>
    </row>
    <row r="17" spans="1:12" ht="11.25" customHeight="1">
      <c r="A17" s="878" t="s">
        <v>698</v>
      </c>
      <c r="B17" s="875" t="s">
        <v>546</v>
      </c>
      <c r="C17" s="875">
        <v>6504.9336700000003</v>
      </c>
      <c r="D17" s="875">
        <v>0</v>
      </c>
      <c r="E17" s="875">
        <v>0</v>
      </c>
      <c r="F17" s="875">
        <v>6504.9336700000003</v>
      </c>
      <c r="G17" s="875" t="s">
        <v>450</v>
      </c>
      <c r="H17" s="875">
        <v>6563.0804900000003</v>
      </c>
      <c r="I17" s="875">
        <v>0</v>
      </c>
      <c r="J17" s="875">
        <v>0</v>
      </c>
      <c r="K17" s="875">
        <v>6563.0804900000003</v>
      </c>
      <c r="L17" s="22"/>
    </row>
    <row r="18" spans="1:12" ht="11.25" customHeight="1">
      <c r="A18" s="878" t="s">
        <v>699</v>
      </c>
      <c r="B18" s="875" t="s">
        <v>548</v>
      </c>
      <c r="C18" s="875">
        <v>6633.1839</v>
      </c>
      <c r="D18" s="875">
        <v>0</v>
      </c>
      <c r="E18" s="875">
        <v>0</v>
      </c>
      <c r="F18" s="875">
        <v>6633.1839</v>
      </c>
      <c r="G18" s="875" t="s">
        <v>549</v>
      </c>
      <c r="H18" s="875">
        <v>6659.7835299999997</v>
      </c>
      <c r="I18" s="875">
        <v>0</v>
      </c>
      <c r="J18" s="875">
        <v>0</v>
      </c>
      <c r="K18" s="875">
        <v>6659.7835299999997</v>
      </c>
      <c r="L18" s="22"/>
    </row>
    <row r="19" spans="1:12" ht="11.25" customHeight="1">
      <c r="A19" s="878" t="s">
        <v>700</v>
      </c>
      <c r="B19" s="875" t="s">
        <v>573</v>
      </c>
      <c r="C19" s="875">
        <v>6539.2150499999998</v>
      </c>
      <c r="D19" s="875">
        <v>0</v>
      </c>
      <c r="E19" s="875">
        <v>0</v>
      </c>
      <c r="F19" s="875">
        <v>6539.2150499999998</v>
      </c>
      <c r="G19" s="875" t="s">
        <v>549</v>
      </c>
      <c r="H19" s="875">
        <v>6659.1493499999997</v>
      </c>
      <c r="I19" s="875">
        <v>0</v>
      </c>
      <c r="J19" s="875">
        <v>0</v>
      </c>
      <c r="K19" s="875">
        <v>6659.1493499999997</v>
      </c>
      <c r="L19" s="22"/>
    </row>
    <row r="20" spans="1:12" ht="11.25" customHeight="1">
      <c r="A20" s="878" t="s">
        <v>701</v>
      </c>
      <c r="B20" s="875" t="s">
        <v>694</v>
      </c>
      <c r="C20" s="875">
        <v>6475.9948100000001</v>
      </c>
      <c r="D20" s="875">
        <v>0</v>
      </c>
      <c r="E20" s="875">
        <v>0</v>
      </c>
      <c r="F20" s="875">
        <v>6475.9948100000001</v>
      </c>
      <c r="G20" s="875" t="s">
        <v>696</v>
      </c>
      <c r="H20" s="875">
        <v>6490.4685900000004</v>
      </c>
      <c r="I20" s="875">
        <v>0</v>
      </c>
      <c r="J20" s="875">
        <v>0</v>
      </c>
      <c r="K20" s="875">
        <v>6490.4685900000004</v>
      </c>
      <c r="L20" s="24"/>
    </row>
    <row r="21" spans="1:12" ht="11.25" customHeight="1">
      <c r="A21" s="878" t="s">
        <v>702</v>
      </c>
      <c r="B21" s="875" t="s">
        <v>573</v>
      </c>
      <c r="C21" s="875">
        <v>6214.9631600000002</v>
      </c>
      <c r="D21" s="875">
        <v>0</v>
      </c>
      <c r="E21" s="875">
        <v>0</v>
      </c>
      <c r="F21" s="875">
        <v>6214.9631600000002</v>
      </c>
      <c r="G21" s="875" t="s">
        <v>583</v>
      </c>
      <c r="H21" s="875">
        <v>6371.51548</v>
      </c>
      <c r="I21" s="875">
        <v>0</v>
      </c>
      <c r="J21" s="875">
        <v>0</v>
      </c>
      <c r="K21" s="875">
        <v>6371.51548</v>
      </c>
      <c r="L21" s="22"/>
    </row>
    <row r="22" spans="1:12" ht="11.25" customHeight="1">
      <c r="A22" s="878" t="s">
        <v>703</v>
      </c>
      <c r="B22" s="875" t="s">
        <v>704</v>
      </c>
      <c r="C22" s="875">
        <v>5605.7191899999998</v>
      </c>
      <c r="D22" s="875">
        <v>0</v>
      </c>
      <c r="E22" s="875">
        <v>0</v>
      </c>
      <c r="F22" s="875">
        <v>5605.7191899999998</v>
      </c>
      <c r="G22" s="875" t="s">
        <v>451</v>
      </c>
      <c r="H22" s="875">
        <v>6302.7597699999997</v>
      </c>
      <c r="I22" s="875">
        <v>0</v>
      </c>
      <c r="J22" s="875">
        <v>0</v>
      </c>
      <c r="K22" s="875">
        <v>6302.7597699999997</v>
      </c>
      <c r="L22" s="22"/>
    </row>
    <row r="23" spans="1:12" ht="11.25" customHeight="1">
      <c r="A23" s="878" t="s">
        <v>705</v>
      </c>
      <c r="B23" s="875" t="s">
        <v>548</v>
      </c>
      <c r="C23" s="875">
        <v>6395.5984799999997</v>
      </c>
      <c r="D23" s="875">
        <v>0</v>
      </c>
      <c r="E23" s="875">
        <v>0</v>
      </c>
      <c r="F23" s="875">
        <v>6395.5984799999997</v>
      </c>
      <c r="G23" s="875" t="s">
        <v>706</v>
      </c>
      <c r="H23" s="875">
        <v>6652.1125899999997</v>
      </c>
      <c r="I23" s="875">
        <v>0</v>
      </c>
      <c r="J23" s="875">
        <v>0</v>
      </c>
      <c r="K23" s="875">
        <v>6652.1125899999997</v>
      </c>
      <c r="L23" s="22"/>
    </row>
    <row r="24" spans="1:12" ht="11.25" customHeight="1">
      <c r="A24" s="878" t="s">
        <v>707</v>
      </c>
      <c r="B24" s="875" t="s">
        <v>546</v>
      </c>
      <c r="C24" s="875">
        <v>6662.0810700000002</v>
      </c>
      <c r="D24" s="875">
        <v>0</v>
      </c>
      <c r="E24" s="875">
        <v>0</v>
      </c>
      <c r="F24" s="875">
        <v>6662.0810700000002</v>
      </c>
      <c r="G24" s="875" t="s">
        <v>549</v>
      </c>
      <c r="H24" s="875">
        <v>6675.7482099999997</v>
      </c>
      <c r="I24" s="875">
        <v>0</v>
      </c>
      <c r="J24" s="875">
        <v>0</v>
      </c>
      <c r="K24" s="875">
        <v>6675.7482099999997</v>
      </c>
      <c r="L24" s="22"/>
    </row>
    <row r="25" spans="1:12" ht="11.25" customHeight="1">
      <c r="A25" s="878" t="s">
        <v>708</v>
      </c>
      <c r="B25" s="875" t="s">
        <v>582</v>
      </c>
      <c r="C25" s="875">
        <v>6476.9009599999999</v>
      </c>
      <c r="D25" s="875">
        <v>0</v>
      </c>
      <c r="E25" s="875">
        <v>0</v>
      </c>
      <c r="F25" s="875">
        <v>6476.9009599999999</v>
      </c>
      <c r="G25" s="875" t="s">
        <v>709</v>
      </c>
      <c r="H25" s="875">
        <v>6595.4226699999999</v>
      </c>
      <c r="I25" s="875">
        <v>0</v>
      </c>
      <c r="J25" s="875">
        <v>0</v>
      </c>
      <c r="K25" s="875">
        <v>6595.4226699999999</v>
      </c>
      <c r="L25" s="22"/>
    </row>
    <row r="26" spans="1:12" ht="11.25" customHeight="1">
      <c r="A26" s="878" t="s">
        <v>710</v>
      </c>
      <c r="B26" s="875" t="s">
        <v>485</v>
      </c>
      <c r="C26" s="875">
        <v>6618.3805000000002</v>
      </c>
      <c r="D26" s="875">
        <v>0</v>
      </c>
      <c r="E26" s="875">
        <v>0</v>
      </c>
      <c r="F26" s="875">
        <v>6618.3805000000002</v>
      </c>
      <c r="G26" s="875" t="s">
        <v>451</v>
      </c>
      <c r="H26" s="875">
        <v>6683.9446099999996</v>
      </c>
      <c r="I26" s="875">
        <v>0</v>
      </c>
      <c r="J26" s="875">
        <v>0</v>
      </c>
      <c r="K26" s="875">
        <v>6683.9446099999996</v>
      </c>
      <c r="L26" s="22"/>
    </row>
    <row r="27" spans="1:12" ht="11.25" customHeight="1">
      <c r="A27" s="878" t="s">
        <v>711</v>
      </c>
      <c r="B27" s="875" t="s">
        <v>584</v>
      </c>
      <c r="C27" s="875">
        <v>6692.6749</v>
      </c>
      <c r="D27" s="875">
        <v>0</v>
      </c>
      <c r="E27" s="875">
        <v>0</v>
      </c>
      <c r="F27" s="875">
        <v>6692.6749</v>
      </c>
      <c r="G27" s="875" t="s">
        <v>484</v>
      </c>
      <c r="H27" s="875">
        <v>6724.9674599999998</v>
      </c>
      <c r="I27" s="875">
        <v>0</v>
      </c>
      <c r="J27" s="875">
        <v>0</v>
      </c>
      <c r="K27" s="875">
        <v>6724.9674599999998</v>
      </c>
      <c r="L27" s="22"/>
    </row>
    <row r="28" spans="1:12" ht="11.25" customHeight="1">
      <c r="A28" s="878" t="s">
        <v>712</v>
      </c>
      <c r="B28" s="875" t="s">
        <v>485</v>
      </c>
      <c r="C28" s="875">
        <v>6524.21695</v>
      </c>
      <c r="D28" s="875">
        <v>0</v>
      </c>
      <c r="E28" s="875">
        <v>0</v>
      </c>
      <c r="F28" s="875">
        <v>6524.21695</v>
      </c>
      <c r="G28" s="875" t="s">
        <v>450</v>
      </c>
      <c r="H28" s="875">
        <v>6541.98387</v>
      </c>
      <c r="I28" s="875">
        <v>0</v>
      </c>
      <c r="J28" s="875">
        <v>0</v>
      </c>
      <c r="K28" s="875">
        <v>6541.98387</v>
      </c>
      <c r="L28" s="30"/>
    </row>
    <row r="29" spans="1:12" ht="11.25" customHeight="1">
      <c r="A29" s="878" t="s">
        <v>713</v>
      </c>
      <c r="B29" s="875" t="s">
        <v>550</v>
      </c>
      <c r="C29" s="875">
        <v>5796.4577799999997</v>
      </c>
      <c r="D29" s="875">
        <v>0</v>
      </c>
      <c r="E29" s="875">
        <v>0</v>
      </c>
      <c r="F29" s="875">
        <v>5796.4577799999997</v>
      </c>
      <c r="G29" s="875" t="s">
        <v>483</v>
      </c>
      <c r="H29" s="875">
        <v>6458.7360200000003</v>
      </c>
      <c r="I29" s="875">
        <v>0</v>
      </c>
      <c r="J29" s="875">
        <v>0</v>
      </c>
      <c r="K29" s="875">
        <v>6458.7360200000003</v>
      </c>
      <c r="L29" s="22"/>
    </row>
    <row r="30" spans="1:12" ht="11.25" customHeight="1">
      <c r="A30" s="878" t="s">
        <v>714</v>
      </c>
      <c r="B30" s="875" t="s">
        <v>715</v>
      </c>
      <c r="C30" s="875">
        <v>6551.2690899999998</v>
      </c>
      <c r="D30" s="875">
        <v>0</v>
      </c>
      <c r="E30" s="875">
        <v>0</v>
      </c>
      <c r="F30" s="875">
        <v>6551.2690899999998</v>
      </c>
      <c r="G30" s="875" t="s">
        <v>583</v>
      </c>
      <c r="H30" s="875">
        <v>6638.1201499999997</v>
      </c>
      <c r="I30" s="875">
        <v>0</v>
      </c>
      <c r="J30" s="875">
        <v>0</v>
      </c>
      <c r="K30" s="875">
        <v>6638.1201499999997</v>
      </c>
      <c r="L30" s="22"/>
    </row>
    <row r="31" spans="1:12" ht="11.25" customHeight="1">
      <c r="A31" s="878" t="s">
        <v>716</v>
      </c>
      <c r="B31" s="875" t="s">
        <v>546</v>
      </c>
      <c r="C31" s="875">
        <v>6597.0445200000004</v>
      </c>
      <c r="D31" s="875">
        <v>0</v>
      </c>
      <c r="E31" s="875">
        <v>0</v>
      </c>
      <c r="F31" s="875">
        <v>6597.0445200000004</v>
      </c>
      <c r="G31" s="875" t="s">
        <v>583</v>
      </c>
      <c r="H31" s="875">
        <v>6650.6795199999997</v>
      </c>
      <c r="I31" s="875">
        <v>0</v>
      </c>
      <c r="J31" s="875">
        <v>0</v>
      </c>
      <c r="K31" s="875">
        <v>6650.6795199999997</v>
      </c>
      <c r="L31" s="15"/>
    </row>
    <row r="32" spans="1:12" ht="11.25" customHeight="1">
      <c r="A32" s="878" t="s">
        <v>717</v>
      </c>
      <c r="B32" s="875" t="s">
        <v>573</v>
      </c>
      <c r="C32" s="875">
        <v>6695.2354400000004</v>
      </c>
      <c r="D32" s="875">
        <v>0</v>
      </c>
      <c r="E32" s="875">
        <v>0</v>
      </c>
      <c r="F32" s="875">
        <v>6695.2354400000004</v>
      </c>
      <c r="G32" s="875" t="s">
        <v>451</v>
      </c>
      <c r="H32" s="875">
        <v>6678.1704399999999</v>
      </c>
      <c r="I32" s="875">
        <v>0</v>
      </c>
      <c r="J32" s="875">
        <v>0</v>
      </c>
      <c r="K32" s="875">
        <v>6678.1704399999999</v>
      </c>
      <c r="L32" s="16"/>
    </row>
    <row r="33" spans="1:12" ht="11.25" customHeight="1">
      <c r="A33" s="878" t="s">
        <v>718</v>
      </c>
      <c r="B33" s="875" t="s">
        <v>571</v>
      </c>
      <c r="C33" s="875">
        <v>6694.4173099999998</v>
      </c>
      <c r="D33" s="875">
        <v>0</v>
      </c>
      <c r="E33" s="875">
        <v>0</v>
      </c>
      <c r="F33" s="875">
        <v>6694.4173099999998</v>
      </c>
      <c r="G33" s="875" t="s">
        <v>583</v>
      </c>
      <c r="H33" s="875">
        <v>6743.5489699999998</v>
      </c>
      <c r="I33" s="875">
        <v>0</v>
      </c>
      <c r="J33" s="875">
        <v>0</v>
      </c>
      <c r="K33" s="875">
        <v>6743.5489699999998</v>
      </c>
      <c r="L33" s="15"/>
    </row>
    <row r="34" spans="1:12" s="730" customFormat="1" ht="11.25" customHeight="1">
      <c r="A34" s="878" t="s">
        <v>719</v>
      </c>
      <c r="B34" s="876" t="s">
        <v>571</v>
      </c>
      <c r="C34" s="876">
        <v>6776.6227699999999</v>
      </c>
      <c r="D34" s="876">
        <v>0</v>
      </c>
      <c r="E34" s="876">
        <v>0</v>
      </c>
      <c r="F34" s="876">
        <v>6776.6227699999999</v>
      </c>
      <c r="G34" s="876" t="s">
        <v>549</v>
      </c>
      <c r="H34" s="876">
        <v>6835.6389200000003</v>
      </c>
      <c r="I34" s="876">
        <v>0</v>
      </c>
      <c r="J34" s="876">
        <v>0</v>
      </c>
      <c r="K34" s="876">
        <v>6835.6389200000003</v>
      </c>
      <c r="L34" s="15"/>
    </row>
    <row r="35" spans="1:12" ht="11.25" customHeight="1">
      <c r="A35" s="878" t="s">
        <v>720</v>
      </c>
      <c r="B35" s="875" t="s">
        <v>546</v>
      </c>
      <c r="C35" s="875">
        <v>6448.2093100000002</v>
      </c>
      <c r="D35" s="875">
        <v>0</v>
      </c>
      <c r="E35" s="875">
        <v>0</v>
      </c>
      <c r="F35" s="875">
        <v>6448.2093100000002</v>
      </c>
      <c r="G35" s="875" t="s">
        <v>484</v>
      </c>
      <c r="H35" s="875">
        <v>6571.6249399999997</v>
      </c>
      <c r="I35" s="875">
        <v>0</v>
      </c>
      <c r="J35" s="875">
        <v>0</v>
      </c>
      <c r="K35" s="875">
        <v>6571.6249399999997</v>
      </c>
      <c r="L35" s="15"/>
    </row>
    <row r="36" spans="1:12" ht="11.25" customHeight="1">
      <c r="A36" s="878" t="s">
        <v>721</v>
      </c>
      <c r="B36" s="875" t="s">
        <v>550</v>
      </c>
      <c r="C36" s="875">
        <v>5796.8368899999996</v>
      </c>
      <c r="D36" s="875">
        <v>0</v>
      </c>
      <c r="E36" s="875">
        <v>0</v>
      </c>
      <c r="F36" s="875">
        <v>5796.8368899999996</v>
      </c>
      <c r="G36" s="875" t="s">
        <v>572</v>
      </c>
      <c r="H36" s="875">
        <v>6434.3463000000002</v>
      </c>
      <c r="I36" s="875">
        <v>0</v>
      </c>
      <c r="J36" s="875">
        <v>0</v>
      </c>
      <c r="K36" s="875">
        <v>6434.3463000000002</v>
      </c>
      <c r="L36" s="22"/>
    </row>
    <row r="37" spans="1:12" ht="11.25" customHeight="1">
      <c r="A37" s="878" t="s">
        <v>722</v>
      </c>
      <c r="B37" s="875" t="s">
        <v>485</v>
      </c>
      <c r="C37" s="875">
        <v>6474.8178699999999</v>
      </c>
      <c r="D37" s="875">
        <v>0</v>
      </c>
      <c r="E37" s="875">
        <v>0</v>
      </c>
      <c r="F37" s="875">
        <v>6474.8178699999999</v>
      </c>
      <c r="G37" s="875" t="s">
        <v>484</v>
      </c>
      <c r="H37" s="875">
        <v>6474.0898299999999</v>
      </c>
      <c r="I37" s="875">
        <v>0</v>
      </c>
      <c r="J37" s="875">
        <v>0</v>
      </c>
      <c r="K37" s="875">
        <v>6474.0898299999999</v>
      </c>
      <c r="L37" s="22"/>
    </row>
    <row r="38" spans="1:12" ht="11.25" customHeight="1">
      <c r="A38" s="878" t="s">
        <v>723</v>
      </c>
      <c r="B38" s="875" t="s">
        <v>571</v>
      </c>
      <c r="C38" s="875">
        <v>6607.2111000000004</v>
      </c>
      <c r="D38" s="875">
        <v>0</v>
      </c>
      <c r="E38" s="875">
        <v>0</v>
      </c>
      <c r="F38" s="875">
        <v>6607.2111000000004</v>
      </c>
      <c r="G38" s="875" t="s">
        <v>706</v>
      </c>
      <c r="H38" s="875">
        <v>6599.1800599999997</v>
      </c>
      <c r="I38" s="875">
        <v>0</v>
      </c>
      <c r="J38" s="875">
        <v>0</v>
      </c>
      <c r="K38" s="875">
        <v>6599.1800599999997</v>
      </c>
      <c r="L38" s="22"/>
    </row>
    <row r="39" spans="1:12" ht="11.25" customHeight="1">
      <c r="A39" s="878" t="s">
        <v>724</v>
      </c>
      <c r="B39" s="875" t="s">
        <v>725</v>
      </c>
      <c r="C39" s="875">
        <v>6709.4462899999999</v>
      </c>
      <c r="D39" s="875">
        <v>0</v>
      </c>
      <c r="E39" s="875">
        <v>0</v>
      </c>
      <c r="F39" s="875">
        <v>6709.4462899999999</v>
      </c>
      <c r="G39" s="875" t="s">
        <v>549</v>
      </c>
      <c r="H39" s="875">
        <v>6740.7923499999997</v>
      </c>
      <c r="I39" s="875">
        <v>0</v>
      </c>
      <c r="J39" s="875">
        <v>0</v>
      </c>
      <c r="K39" s="875">
        <v>6740.7923499999997</v>
      </c>
      <c r="L39" s="22"/>
    </row>
    <row r="40" spans="1:12" ht="11.25" customHeight="1">
      <c r="A40" s="878" t="s">
        <v>726</v>
      </c>
      <c r="B40" s="875" t="s">
        <v>573</v>
      </c>
      <c r="C40" s="875">
        <v>6648.2361700000001</v>
      </c>
      <c r="D40" s="875">
        <v>0</v>
      </c>
      <c r="E40" s="875">
        <v>0</v>
      </c>
      <c r="F40" s="875">
        <v>6648.2361700000001</v>
      </c>
      <c r="G40" s="875" t="s">
        <v>727</v>
      </c>
      <c r="H40" s="875">
        <v>6619.9794300000003</v>
      </c>
      <c r="I40" s="875">
        <v>0</v>
      </c>
      <c r="J40" s="875">
        <v>0</v>
      </c>
      <c r="K40" s="875">
        <v>6619.9794300000003</v>
      </c>
      <c r="L40" s="22"/>
    </row>
    <row r="41" spans="1:12" ht="11.25" customHeight="1">
      <c r="A41" s="878" t="s">
        <v>728</v>
      </c>
      <c r="B41" s="875" t="s">
        <v>573</v>
      </c>
      <c r="C41" s="875">
        <v>6710.3178500000004</v>
      </c>
      <c r="D41" s="875">
        <v>0</v>
      </c>
      <c r="E41" s="875">
        <v>0</v>
      </c>
      <c r="F41" s="875">
        <v>6710.3178500000004</v>
      </c>
      <c r="G41" s="875" t="s">
        <v>549</v>
      </c>
      <c r="H41" s="875">
        <v>6575.5305500000004</v>
      </c>
      <c r="I41" s="875">
        <v>0</v>
      </c>
      <c r="J41" s="875">
        <v>0</v>
      </c>
      <c r="K41" s="875">
        <v>6575.5305500000004</v>
      </c>
      <c r="L41" s="22"/>
    </row>
    <row r="42" spans="1:12" s="730" customFormat="1" ht="11.25" customHeight="1">
      <c r="A42" s="878" t="s">
        <v>729</v>
      </c>
      <c r="B42" s="875" t="s">
        <v>571</v>
      </c>
      <c r="C42" s="875">
        <v>6454.3499199999997</v>
      </c>
      <c r="D42" s="875">
        <v>0</v>
      </c>
      <c r="E42" s="875">
        <v>0</v>
      </c>
      <c r="F42" s="875">
        <v>6454.3499199999997</v>
      </c>
      <c r="G42" s="875" t="s">
        <v>450</v>
      </c>
      <c r="H42" s="875">
        <v>6537.4936699999998</v>
      </c>
      <c r="I42" s="875">
        <v>0</v>
      </c>
      <c r="J42" s="875">
        <v>0</v>
      </c>
      <c r="K42" s="875">
        <v>6537.4936699999998</v>
      </c>
      <c r="L42" s="22"/>
    </row>
    <row r="43" spans="1:12" ht="11.25" customHeight="1">
      <c r="A43" s="877"/>
      <c r="B43" s="877"/>
      <c r="C43" s="196"/>
      <c r="D43" s="196"/>
      <c r="E43" s="196"/>
      <c r="F43" s="196"/>
      <c r="G43" s="196"/>
      <c r="H43" s="196"/>
      <c r="I43" s="196"/>
      <c r="J43" s="196"/>
      <c r="K43" s="199"/>
      <c r="L43" s="11"/>
    </row>
    <row r="44" spans="1:12" ht="11.25" customHeight="1">
      <c r="A44" s="196"/>
      <c r="B44" s="196"/>
      <c r="C44" s="196"/>
      <c r="D44" s="196"/>
      <c r="E44" s="196"/>
      <c r="F44" s="196"/>
      <c r="G44" s="196"/>
      <c r="H44" s="196"/>
      <c r="I44" s="196"/>
      <c r="J44" s="196"/>
      <c r="K44" s="199"/>
      <c r="L44" s="11"/>
    </row>
    <row r="45" spans="1:12" ht="11.25" customHeight="1">
      <c r="A45" s="196"/>
      <c r="B45" s="196"/>
      <c r="C45" s="196"/>
      <c r="D45" s="196"/>
      <c r="E45" s="196"/>
      <c r="F45" s="196"/>
      <c r="G45" s="196"/>
      <c r="H45" s="196"/>
      <c r="I45" s="196"/>
      <c r="J45" s="196"/>
      <c r="K45" s="199"/>
      <c r="L45" s="11"/>
    </row>
    <row r="46" spans="1:12" ht="11.25" customHeight="1">
      <c r="A46" s="196"/>
      <c r="B46" s="196"/>
      <c r="C46" s="196"/>
      <c r="D46" s="196"/>
      <c r="E46" s="196"/>
      <c r="F46" s="196"/>
      <c r="G46" s="196"/>
      <c r="H46" s="196"/>
      <c r="I46" s="196"/>
      <c r="J46" s="196"/>
      <c r="K46" s="198"/>
    </row>
    <row r="47" spans="1:12" ht="11.25" customHeight="1">
      <c r="A47" s="196"/>
      <c r="B47" s="196"/>
      <c r="C47" s="196"/>
      <c r="D47" s="196"/>
      <c r="E47" s="196"/>
      <c r="F47" s="196"/>
      <c r="G47" s="196"/>
      <c r="H47" s="196"/>
      <c r="I47" s="196"/>
      <c r="J47" s="196"/>
      <c r="K47" s="198"/>
    </row>
    <row r="48" spans="1:12" ht="12.75">
      <c r="A48" s="196"/>
      <c r="B48" s="196"/>
      <c r="C48" s="196"/>
      <c r="D48" s="196"/>
      <c r="E48" s="196"/>
      <c r="F48" s="196"/>
      <c r="G48" s="196"/>
      <c r="H48" s="196"/>
      <c r="I48" s="196"/>
      <c r="J48" s="196"/>
      <c r="K48" s="198"/>
    </row>
    <row r="49" spans="1:11" ht="12.75">
      <c r="A49" s="196"/>
      <c r="B49" s="196"/>
      <c r="C49" s="196"/>
      <c r="D49" s="196"/>
      <c r="E49" s="196"/>
      <c r="F49" s="196"/>
      <c r="G49" s="196"/>
      <c r="H49" s="196"/>
      <c r="I49" s="196"/>
      <c r="J49" s="196"/>
      <c r="K49" s="198"/>
    </row>
    <row r="50" spans="1:11" ht="12.75">
      <c r="A50" s="196"/>
      <c r="B50" s="196"/>
      <c r="C50" s="196"/>
      <c r="D50" s="196"/>
      <c r="E50" s="196"/>
      <c r="F50" s="196"/>
      <c r="G50" s="196"/>
      <c r="H50" s="196"/>
      <c r="I50" s="196"/>
      <c r="J50" s="196"/>
      <c r="K50" s="198"/>
    </row>
    <row r="51" spans="1:11" ht="12.75">
      <c r="A51" s="196"/>
      <c r="B51" s="196"/>
      <c r="C51" s="196"/>
      <c r="D51" s="196"/>
      <c r="E51" s="196"/>
      <c r="F51" s="196"/>
      <c r="G51" s="196"/>
      <c r="H51" s="196"/>
      <c r="I51" s="196"/>
      <c r="J51" s="196"/>
      <c r="K51" s="198"/>
    </row>
    <row r="52" spans="1:11" ht="12.75">
      <c r="A52" s="196"/>
      <c r="B52" s="196"/>
      <c r="C52" s="196"/>
      <c r="D52" s="196"/>
      <c r="E52" s="196"/>
      <c r="F52" s="196"/>
      <c r="G52" s="196"/>
      <c r="H52" s="196"/>
      <c r="I52" s="196"/>
      <c r="J52" s="196"/>
      <c r="K52" s="198"/>
    </row>
    <row r="53" spans="1:11" ht="12.75">
      <c r="A53" s="196"/>
      <c r="B53" s="111"/>
      <c r="C53" s="111"/>
      <c r="D53" s="111"/>
      <c r="E53" s="111"/>
      <c r="F53" s="111"/>
      <c r="G53" s="111"/>
      <c r="H53" s="111"/>
      <c r="I53" s="111"/>
      <c r="J53" s="111"/>
      <c r="K53" s="198"/>
    </row>
    <row r="54" spans="1:11" ht="12.75">
      <c r="A54" s="196"/>
      <c r="B54" s="111"/>
      <c r="C54" s="111"/>
      <c r="D54" s="111"/>
      <c r="E54" s="111"/>
      <c r="F54" s="111"/>
      <c r="G54" s="111"/>
      <c r="H54" s="111"/>
      <c r="I54" s="111"/>
      <c r="J54" s="111"/>
      <c r="K54" s="198"/>
    </row>
    <row r="55" spans="1:11" ht="12.75">
      <c r="A55" s="196"/>
      <c r="B55" s="111"/>
      <c r="C55" s="111"/>
      <c r="D55" s="111"/>
      <c r="E55" s="111"/>
      <c r="F55" s="111"/>
      <c r="G55" s="111"/>
      <c r="H55" s="111"/>
      <c r="I55" s="111"/>
      <c r="J55" s="111"/>
      <c r="K55" s="198"/>
    </row>
    <row r="56" spans="1:11" ht="12.75">
      <c r="A56" s="196"/>
      <c r="B56" s="111"/>
      <c r="C56" s="111"/>
      <c r="D56" s="111"/>
      <c r="E56" s="111"/>
      <c r="F56" s="111"/>
      <c r="G56" s="111"/>
      <c r="H56" s="111"/>
      <c r="I56" s="111"/>
      <c r="J56" s="111"/>
      <c r="K56" s="198"/>
    </row>
    <row r="57" spans="1:11" ht="12.75">
      <c r="A57" s="196"/>
      <c r="B57" s="111"/>
      <c r="C57" s="111"/>
      <c r="D57" s="111"/>
      <c r="E57" s="111"/>
      <c r="F57" s="111"/>
      <c r="G57" s="111"/>
      <c r="H57" s="111"/>
      <c r="I57" s="111"/>
      <c r="J57" s="111"/>
      <c r="K57" s="198"/>
    </row>
    <row r="58" spans="1:11" ht="12.75">
      <c r="A58" s="196"/>
      <c r="B58" s="197"/>
      <c r="C58" s="197"/>
      <c r="D58" s="197"/>
      <c r="E58" s="197"/>
      <c r="F58" s="197"/>
      <c r="G58" s="197"/>
      <c r="H58" s="197"/>
      <c r="I58" s="197"/>
      <c r="J58" s="197"/>
      <c r="K58" s="198"/>
    </row>
    <row r="59" spans="1:11" ht="12.75">
      <c r="A59" s="196"/>
      <c r="B59" s="197"/>
      <c r="C59" s="197"/>
      <c r="D59" s="197"/>
      <c r="E59" s="197"/>
      <c r="F59" s="197"/>
      <c r="G59" s="197"/>
      <c r="H59" s="197"/>
      <c r="I59" s="197"/>
      <c r="J59" s="197"/>
      <c r="K59" s="198"/>
    </row>
    <row r="60" spans="1:11" ht="12.75">
      <c r="A60" s="196"/>
      <c r="B60" s="200"/>
      <c r="C60" s="198"/>
      <c r="D60" s="198"/>
      <c r="E60" s="198"/>
      <c r="F60" s="198"/>
      <c r="G60" s="197"/>
      <c r="H60" s="197"/>
      <c r="I60" s="197"/>
      <c r="J60" s="197"/>
      <c r="K60" s="198"/>
    </row>
    <row r="61" spans="1:11" ht="12.75">
      <c r="A61" s="201"/>
      <c r="B61" s="202"/>
      <c r="C61" s="202"/>
      <c r="D61" s="202"/>
      <c r="E61" s="202"/>
      <c r="F61" s="202"/>
      <c r="G61" s="202"/>
      <c r="H61" s="197"/>
      <c r="I61" s="197"/>
      <c r="J61" s="197"/>
      <c r="K61" s="198"/>
    </row>
    <row r="62" spans="1:11" ht="12.75">
      <c r="A62" s="201"/>
      <c r="B62" s="202"/>
      <c r="C62" s="202"/>
      <c r="D62" s="202"/>
      <c r="E62" s="202"/>
      <c r="F62" s="202"/>
      <c r="G62" s="202"/>
      <c r="H62" s="197"/>
      <c r="I62" s="197"/>
      <c r="J62" s="197"/>
      <c r="K62" s="197"/>
    </row>
    <row r="63" spans="1:11" ht="12.75">
      <c r="A63" s="201"/>
      <c r="B63" s="202"/>
      <c r="C63" s="202"/>
      <c r="D63" s="202"/>
      <c r="E63" s="202"/>
      <c r="F63" s="202"/>
      <c r="G63" s="202"/>
      <c r="H63" s="197"/>
      <c r="I63" s="197"/>
      <c r="J63" s="197"/>
      <c r="K63" s="197"/>
    </row>
  </sheetData>
  <mergeCells count="3">
    <mergeCell ref="A9:A11"/>
    <mergeCell ref="B9:F9"/>
    <mergeCell ref="G9:K9"/>
  </mergeCells>
  <pageMargins left="0.70866141732283472" right="0.70866141732283472" top="1.0236220472440944" bottom="0.62992125984251968" header="0.31496062992125984" footer="0.31496062992125984"/>
  <pageSetup paperSize="9" scale="95" orientation="portrait" r:id="rId1"/>
  <headerFooter>
    <oddHeader>&amp;R&amp;7Informe de la Operación Mensual-Octubre 2020
INFSGI-MES-10-2020
12/11/2020
Versión: 01</oddHeader>
    <oddFooter>&amp;L&amp;7COES, 2020&amp;C24&amp;R&amp;7Dirección Ejecutiva
Sub Dirección de Gestión de Información</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5B2F8-F897-4E02-8E9A-0462664AA305}">
  <sheetPr>
    <tabColor theme="4"/>
  </sheetPr>
  <dimension ref="A1:I133"/>
  <sheetViews>
    <sheetView showGridLines="0" view="pageBreakPreview" zoomScale="130" zoomScaleNormal="100" zoomScaleSheetLayoutView="130" workbookViewId="0">
      <selection activeCell="D6" sqref="D6"/>
    </sheetView>
  </sheetViews>
  <sheetFormatPr defaultColWidth="9.33203125" defaultRowHeight="9"/>
  <cols>
    <col min="1" max="1" width="16.1640625" style="808" customWidth="1"/>
    <col min="2" max="2" width="19.6640625" style="808" customWidth="1"/>
    <col min="3" max="3" width="12.83203125" style="808" bestFit="1" customWidth="1"/>
    <col min="4" max="4" width="57.5" style="808" customWidth="1"/>
    <col min="5" max="5" width="12.5" style="808" customWidth="1"/>
    <col min="6" max="6" width="10.5" style="808" customWidth="1"/>
    <col min="7" max="8" width="9.33203125" style="808" customWidth="1"/>
    <col min="9" max="16384" width="9.33203125" style="808"/>
  </cols>
  <sheetData>
    <row r="1" spans="1:9" ht="11.25" customHeight="1">
      <c r="A1" s="806" t="s">
        <v>365</v>
      </c>
      <c r="B1" s="807"/>
      <c r="C1" s="807"/>
      <c r="D1" s="807"/>
      <c r="E1" s="807"/>
      <c r="F1" s="807"/>
    </row>
    <row r="2" spans="1:9" ht="30" customHeight="1">
      <c r="A2" s="809" t="s">
        <v>250</v>
      </c>
      <c r="B2" s="810" t="s">
        <v>366</v>
      </c>
      <c r="C2" s="809" t="s">
        <v>355</v>
      </c>
      <c r="D2" s="811" t="s">
        <v>367</v>
      </c>
      <c r="E2" s="812" t="s">
        <v>368</v>
      </c>
      <c r="F2" s="812" t="s">
        <v>369</v>
      </c>
      <c r="G2" s="813"/>
      <c r="H2" s="814"/>
      <c r="I2" s="815"/>
    </row>
    <row r="3" spans="1:9" ht="67.5" customHeight="1">
      <c r="A3" s="818" t="s">
        <v>591</v>
      </c>
      <c r="B3" s="818" t="s">
        <v>592</v>
      </c>
      <c r="C3" s="816">
        <v>44107.374305555553</v>
      </c>
      <c r="D3" s="817" t="s">
        <v>593</v>
      </c>
      <c r="E3" s="818"/>
      <c r="F3" s="818">
        <v>2</v>
      </c>
      <c r="H3" s="813"/>
      <c r="I3" s="815"/>
    </row>
    <row r="4" spans="1:9" ht="96" customHeight="1">
      <c r="A4" s="818" t="s">
        <v>594</v>
      </c>
      <c r="B4" s="818" t="s">
        <v>595</v>
      </c>
      <c r="C4" s="816">
        <v>44107.709027777775</v>
      </c>
      <c r="D4" s="817" t="s">
        <v>596</v>
      </c>
      <c r="E4" s="818">
        <v>15.26</v>
      </c>
      <c r="F4" s="818"/>
      <c r="G4" s="819"/>
      <c r="H4" s="819"/>
      <c r="I4" s="820"/>
    </row>
    <row r="5" spans="1:9" ht="67.5" customHeight="1">
      <c r="A5" s="818" t="s">
        <v>579</v>
      </c>
      <c r="B5" s="818" t="s">
        <v>597</v>
      </c>
      <c r="C5" s="816">
        <v>44109.645833333336</v>
      </c>
      <c r="D5" s="817" t="s">
        <v>598</v>
      </c>
      <c r="E5" s="818">
        <v>5.62</v>
      </c>
      <c r="F5" s="818"/>
      <c r="G5" s="819"/>
      <c r="H5" s="819"/>
      <c r="I5" s="821"/>
    </row>
    <row r="6" spans="1:9" ht="61.5" customHeight="1">
      <c r="A6" s="818" t="s">
        <v>599</v>
      </c>
      <c r="B6" s="818" t="s">
        <v>600</v>
      </c>
      <c r="C6" s="816">
        <v>44109.67083333333</v>
      </c>
      <c r="D6" s="817" t="s">
        <v>601</v>
      </c>
      <c r="E6" s="818">
        <v>11.85</v>
      </c>
      <c r="F6" s="818">
        <v>7</v>
      </c>
      <c r="G6" s="819"/>
      <c r="H6" s="819"/>
      <c r="I6" s="822"/>
    </row>
    <row r="7" spans="1:9" ht="67.5" customHeight="1">
      <c r="A7" s="818" t="s">
        <v>591</v>
      </c>
      <c r="B7" s="818" t="s">
        <v>602</v>
      </c>
      <c r="C7" s="816">
        <v>44110.631944444445</v>
      </c>
      <c r="D7" s="817" t="s">
        <v>603</v>
      </c>
      <c r="E7" s="818"/>
      <c r="F7" s="818">
        <v>11</v>
      </c>
      <c r="G7" s="819"/>
      <c r="H7" s="819"/>
      <c r="I7" s="823"/>
    </row>
    <row r="8" spans="1:9" ht="61.5" customHeight="1">
      <c r="A8" s="818" t="s">
        <v>579</v>
      </c>
      <c r="B8" s="818" t="s">
        <v>604</v>
      </c>
      <c r="C8" s="816">
        <v>44110.640277777777</v>
      </c>
      <c r="D8" s="817" t="s">
        <v>605</v>
      </c>
      <c r="E8" s="818">
        <v>3.5</v>
      </c>
      <c r="F8" s="818"/>
      <c r="G8" s="819"/>
      <c r="H8" s="819"/>
      <c r="I8" s="822"/>
    </row>
    <row r="9" spans="1:9" ht="56.25" customHeight="1">
      <c r="A9" s="818" t="s">
        <v>579</v>
      </c>
      <c r="B9" s="818" t="s">
        <v>604</v>
      </c>
      <c r="C9" s="816">
        <v>44110.691666666666</v>
      </c>
      <c r="D9" s="817" t="s">
        <v>606</v>
      </c>
      <c r="E9" s="824">
        <v>2.68</v>
      </c>
      <c r="F9" s="824"/>
      <c r="G9" s="819"/>
      <c r="H9" s="819"/>
      <c r="I9" s="822"/>
    </row>
    <row r="10" spans="1:9" ht="62.25" customHeight="1">
      <c r="A10" s="818" t="s">
        <v>579</v>
      </c>
      <c r="B10" s="818" t="s">
        <v>604</v>
      </c>
      <c r="C10" s="816">
        <v>44110.704861111109</v>
      </c>
      <c r="D10" s="817" t="s">
        <v>607</v>
      </c>
      <c r="E10" s="824">
        <v>1.1299999999999999</v>
      </c>
      <c r="F10" s="824"/>
    </row>
    <row r="11" spans="1:9" ht="73.5" customHeight="1">
      <c r="A11" s="818" t="s">
        <v>579</v>
      </c>
      <c r="B11" s="818" t="s">
        <v>604</v>
      </c>
      <c r="C11" s="816">
        <v>44110.743750000001</v>
      </c>
      <c r="D11" s="817" t="s">
        <v>608</v>
      </c>
      <c r="E11" s="818">
        <v>4.95</v>
      </c>
      <c r="F11" s="818"/>
    </row>
    <row r="12" spans="1:9" ht="59.25" customHeight="1">
      <c r="A12" s="818" t="s">
        <v>579</v>
      </c>
      <c r="B12" s="818" t="s">
        <v>604</v>
      </c>
      <c r="C12" s="816">
        <v>44111.195138888892</v>
      </c>
      <c r="D12" s="817" t="s">
        <v>609</v>
      </c>
      <c r="E12" s="818">
        <v>3.51</v>
      </c>
      <c r="F12" s="818"/>
    </row>
    <row r="13" spans="1:9" ht="50.25" customHeight="1">
      <c r="A13" s="818" t="s">
        <v>101</v>
      </c>
      <c r="B13" s="818" t="s">
        <v>610</v>
      </c>
      <c r="C13" s="816">
        <v>44111.332638888889</v>
      </c>
      <c r="D13" s="817" t="s">
        <v>611</v>
      </c>
      <c r="E13" s="818">
        <v>0.9</v>
      </c>
      <c r="F13" s="818"/>
    </row>
    <row r="14" spans="1:9" ht="79.5" customHeight="1">
      <c r="A14" s="818" t="s">
        <v>612</v>
      </c>
      <c r="B14" s="818" t="s">
        <v>613</v>
      </c>
      <c r="C14" s="816">
        <v>44111.405555555553</v>
      </c>
      <c r="D14" s="817" t="s">
        <v>614</v>
      </c>
      <c r="E14" s="818">
        <v>26.8</v>
      </c>
      <c r="F14" s="818"/>
    </row>
    <row r="15" spans="1:9" ht="99.75" customHeight="1">
      <c r="A15" s="818" t="s">
        <v>594</v>
      </c>
      <c r="B15" s="818" t="s">
        <v>595</v>
      </c>
      <c r="C15" s="816">
        <v>44111.781944444447</v>
      </c>
      <c r="D15" s="817" t="s">
        <v>615</v>
      </c>
      <c r="E15" s="818">
        <v>20.5</v>
      </c>
      <c r="F15" s="818"/>
    </row>
    <row r="16" spans="1:9">
      <c r="C16" s="825"/>
      <c r="E16" s="826"/>
      <c r="F16" s="826"/>
    </row>
    <row r="17" spans="3:6">
      <c r="C17" s="825"/>
      <c r="E17" s="826"/>
      <c r="F17" s="826"/>
    </row>
    <row r="18" spans="3:6">
      <c r="C18" s="825"/>
      <c r="E18" s="826"/>
      <c r="F18" s="826"/>
    </row>
    <row r="19" spans="3:6">
      <c r="C19" s="825"/>
      <c r="E19" s="826"/>
      <c r="F19" s="826"/>
    </row>
    <row r="20" spans="3:6">
      <c r="C20" s="825"/>
      <c r="E20" s="826"/>
      <c r="F20" s="826"/>
    </row>
    <row r="21" spans="3:6">
      <c r="C21" s="825"/>
      <c r="E21" s="826"/>
      <c r="F21" s="826"/>
    </row>
    <row r="22" spans="3:6">
      <c r="C22" s="825"/>
      <c r="E22" s="826"/>
      <c r="F22" s="826"/>
    </row>
    <row r="23" spans="3:6">
      <c r="C23" s="825"/>
      <c r="E23" s="826"/>
      <c r="F23" s="826"/>
    </row>
    <row r="24" spans="3:6">
      <c r="C24" s="825"/>
      <c r="E24" s="826"/>
      <c r="F24" s="826"/>
    </row>
    <row r="25" spans="3:6">
      <c r="C25" s="825"/>
      <c r="E25" s="826"/>
      <c r="F25" s="826"/>
    </row>
    <row r="26" spans="3:6">
      <c r="C26" s="825"/>
      <c r="E26" s="826"/>
      <c r="F26" s="826"/>
    </row>
    <row r="27" spans="3:6">
      <c r="C27" s="825"/>
      <c r="E27" s="826"/>
      <c r="F27" s="826"/>
    </row>
    <row r="28" spans="3:6">
      <c r="C28" s="825"/>
      <c r="E28" s="826"/>
      <c r="F28" s="826"/>
    </row>
    <row r="29" spans="3:6">
      <c r="C29" s="825"/>
      <c r="E29" s="826"/>
      <c r="F29" s="826"/>
    </row>
    <row r="30" spans="3:6">
      <c r="C30" s="825"/>
      <c r="E30" s="826"/>
      <c r="F30" s="826"/>
    </row>
    <row r="31" spans="3:6">
      <c r="C31" s="825"/>
      <c r="E31" s="826"/>
      <c r="F31" s="826"/>
    </row>
    <row r="32" spans="3:6">
      <c r="C32" s="825"/>
      <c r="E32" s="826"/>
      <c r="F32" s="826"/>
    </row>
    <row r="33" spans="3:6">
      <c r="C33" s="825"/>
      <c r="E33" s="826"/>
      <c r="F33" s="826"/>
    </row>
    <row r="34" spans="3:6">
      <c r="C34" s="825"/>
      <c r="E34" s="826"/>
      <c r="F34" s="826"/>
    </row>
    <row r="35" spans="3:6">
      <c r="C35" s="825"/>
      <c r="E35" s="826"/>
      <c r="F35" s="826"/>
    </row>
    <row r="36" spans="3:6">
      <c r="C36" s="825"/>
      <c r="E36" s="826"/>
      <c r="F36" s="826"/>
    </row>
    <row r="37" spans="3:6">
      <c r="C37" s="825"/>
      <c r="E37" s="826"/>
      <c r="F37" s="826"/>
    </row>
    <row r="38" spans="3:6">
      <c r="C38" s="825"/>
      <c r="E38" s="826"/>
      <c r="F38" s="826"/>
    </row>
    <row r="39" spans="3:6">
      <c r="C39" s="825"/>
      <c r="E39" s="826"/>
      <c r="F39" s="826"/>
    </row>
    <row r="40" spans="3:6">
      <c r="C40" s="825"/>
      <c r="E40" s="826"/>
      <c r="F40" s="826"/>
    </row>
    <row r="41" spans="3:6">
      <c r="E41" s="826"/>
      <c r="F41" s="826"/>
    </row>
    <row r="42" spans="3:6">
      <c r="E42" s="826"/>
      <c r="F42" s="826"/>
    </row>
    <row r="43" spans="3:6">
      <c r="E43" s="826"/>
      <c r="F43" s="826"/>
    </row>
    <row r="44" spans="3:6">
      <c r="E44" s="826"/>
      <c r="F44" s="826"/>
    </row>
    <row r="45" spans="3:6">
      <c r="E45" s="826"/>
      <c r="F45" s="826"/>
    </row>
    <row r="46" spans="3:6">
      <c r="E46" s="826"/>
      <c r="F46" s="826"/>
    </row>
    <row r="47" spans="3:6">
      <c r="E47" s="826"/>
      <c r="F47" s="826"/>
    </row>
    <row r="48" spans="3:6">
      <c r="E48" s="826"/>
      <c r="F48" s="826"/>
    </row>
    <row r="49" spans="5:6">
      <c r="E49" s="826"/>
      <c r="F49" s="826"/>
    </row>
    <row r="50" spans="5:6">
      <c r="E50" s="826"/>
      <c r="F50" s="826"/>
    </row>
    <row r="51" spans="5:6">
      <c r="E51" s="826"/>
      <c r="F51" s="826"/>
    </row>
    <row r="52" spans="5:6">
      <c r="E52" s="826"/>
      <c r="F52" s="826"/>
    </row>
    <row r="53" spans="5:6">
      <c r="E53" s="826"/>
      <c r="F53" s="826"/>
    </row>
    <row r="54" spans="5:6">
      <c r="E54" s="826"/>
      <c r="F54" s="826"/>
    </row>
    <row r="55" spans="5:6">
      <c r="E55" s="826"/>
      <c r="F55" s="826"/>
    </row>
    <row r="56" spans="5:6">
      <c r="E56" s="826"/>
      <c r="F56" s="826"/>
    </row>
    <row r="57" spans="5:6">
      <c r="E57" s="826"/>
      <c r="F57" s="826"/>
    </row>
    <row r="58" spans="5:6">
      <c r="E58" s="826"/>
      <c r="F58" s="826"/>
    </row>
    <row r="59" spans="5:6">
      <c r="E59" s="826"/>
      <c r="F59" s="826"/>
    </row>
    <row r="60" spans="5:6">
      <c r="E60" s="826"/>
      <c r="F60" s="826"/>
    </row>
    <row r="61" spans="5:6">
      <c r="E61" s="826"/>
      <c r="F61" s="826"/>
    </row>
    <row r="62" spans="5:6">
      <c r="E62" s="826"/>
      <c r="F62" s="826"/>
    </row>
    <row r="63" spans="5:6">
      <c r="E63" s="826"/>
      <c r="F63" s="826"/>
    </row>
    <row r="64" spans="5:6">
      <c r="E64" s="826"/>
      <c r="F64" s="826"/>
    </row>
    <row r="65" spans="5:6">
      <c r="E65" s="826"/>
      <c r="F65" s="826"/>
    </row>
    <row r="66" spans="5:6">
      <c r="E66" s="826"/>
      <c r="F66" s="826"/>
    </row>
    <row r="67" spans="5:6">
      <c r="E67" s="826"/>
      <c r="F67" s="826"/>
    </row>
    <row r="68" spans="5:6">
      <c r="E68" s="826"/>
      <c r="F68" s="826"/>
    </row>
    <row r="69" spans="5:6">
      <c r="E69" s="826"/>
      <c r="F69" s="826"/>
    </row>
    <row r="70" spans="5:6">
      <c r="E70" s="826"/>
      <c r="F70" s="826"/>
    </row>
    <row r="71" spans="5:6">
      <c r="E71" s="826"/>
      <c r="F71" s="826"/>
    </row>
    <row r="72" spans="5:6">
      <c r="E72" s="826"/>
      <c r="F72" s="826"/>
    </row>
    <row r="73" spans="5:6">
      <c r="E73" s="826"/>
      <c r="F73" s="826"/>
    </row>
    <row r="74" spans="5:6">
      <c r="E74" s="826"/>
      <c r="F74" s="826"/>
    </row>
    <row r="75" spans="5:6">
      <c r="E75" s="826"/>
      <c r="F75" s="826"/>
    </row>
    <row r="76" spans="5:6">
      <c r="E76" s="826"/>
      <c r="F76" s="826"/>
    </row>
    <row r="77" spans="5:6">
      <c r="E77" s="826"/>
      <c r="F77" s="826"/>
    </row>
    <row r="78" spans="5:6">
      <c r="E78" s="826"/>
      <c r="F78" s="826"/>
    </row>
    <row r="79" spans="5:6">
      <c r="E79" s="826"/>
      <c r="F79" s="826"/>
    </row>
    <row r="80" spans="5:6">
      <c r="E80" s="826"/>
      <c r="F80" s="826"/>
    </row>
    <row r="81" spans="5:6">
      <c r="E81" s="826"/>
      <c r="F81" s="826"/>
    </row>
    <row r="82" spans="5:6">
      <c r="E82" s="826"/>
      <c r="F82" s="826"/>
    </row>
    <row r="83" spans="5:6">
      <c r="E83" s="826"/>
      <c r="F83" s="826"/>
    </row>
    <row r="84" spans="5:6">
      <c r="E84" s="826"/>
      <c r="F84" s="826"/>
    </row>
    <row r="85" spans="5:6">
      <c r="E85" s="826"/>
      <c r="F85" s="826"/>
    </row>
    <row r="86" spans="5:6">
      <c r="E86" s="826"/>
      <c r="F86" s="826"/>
    </row>
    <row r="87" spans="5:6">
      <c r="E87" s="826"/>
      <c r="F87" s="826"/>
    </row>
    <row r="88" spans="5:6">
      <c r="E88" s="826"/>
      <c r="F88" s="826"/>
    </row>
    <row r="89" spans="5:6">
      <c r="E89" s="826"/>
      <c r="F89" s="826"/>
    </row>
    <row r="90" spans="5:6">
      <c r="E90" s="826"/>
      <c r="F90" s="826"/>
    </row>
    <row r="91" spans="5:6">
      <c r="E91" s="826"/>
      <c r="F91" s="826"/>
    </row>
    <row r="92" spans="5:6">
      <c r="E92" s="826"/>
      <c r="F92" s="826"/>
    </row>
    <row r="93" spans="5:6">
      <c r="E93" s="826"/>
      <c r="F93" s="826"/>
    </row>
    <row r="94" spans="5:6">
      <c r="E94" s="826"/>
      <c r="F94" s="826"/>
    </row>
    <row r="95" spans="5:6">
      <c r="E95" s="826"/>
      <c r="F95" s="826"/>
    </row>
    <row r="96" spans="5:6">
      <c r="E96" s="826"/>
      <c r="F96" s="826"/>
    </row>
    <row r="97" spans="5:6">
      <c r="E97" s="826"/>
      <c r="F97" s="826"/>
    </row>
    <row r="98" spans="5:6">
      <c r="E98" s="826"/>
      <c r="F98" s="826"/>
    </row>
    <row r="99" spans="5:6">
      <c r="E99" s="826"/>
      <c r="F99" s="826"/>
    </row>
    <row r="100" spans="5:6">
      <c r="E100" s="826"/>
      <c r="F100" s="826"/>
    </row>
    <row r="101" spans="5:6">
      <c r="E101" s="826"/>
      <c r="F101" s="826"/>
    </row>
    <row r="102" spans="5:6">
      <c r="E102" s="826"/>
      <c r="F102" s="826"/>
    </row>
    <row r="103" spans="5:6">
      <c r="E103" s="826"/>
      <c r="F103" s="826"/>
    </row>
    <row r="104" spans="5:6">
      <c r="E104" s="826"/>
      <c r="F104" s="826"/>
    </row>
    <row r="105" spans="5:6">
      <c r="E105" s="826"/>
      <c r="F105" s="826"/>
    </row>
    <row r="106" spans="5:6">
      <c r="E106" s="826"/>
      <c r="F106" s="826"/>
    </row>
    <row r="107" spans="5:6">
      <c r="E107" s="826"/>
      <c r="F107" s="826"/>
    </row>
    <row r="108" spans="5:6">
      <c r="E108" s="826"/>
      <c r="F108" s="826"/>
    </row>
    <row r="109" spans="5:6">
      <c r="E109" s="826"/>
      <c r="F109" s="826"/>
    </row>
    <row r="110" spans="5:6">
      <c r="E110" s="826"/>
      <c r="F110" s="826"/>
    </row>
    <row r="111" spans="5:6">
      <c r="E111" s="826"/>
      <c r="F111" s="826"/>
    </row>
    <row r="112" spans="5:6">
      <c r="E112" s="826"/>
      <c r="F112" s="826"/>
    </row>
    <row r="113" spans="5:6">
      <c r="E113" s="826"/>
      <c r="F113" s="826"/>
    </row>
    <row r="114" spans="5:6">
      <c r="E114" s="826"/>
      <c r="F114" s="826"/>
    </row>
    <row r="115" spans="5:6">
      <c r="E115" s="826"/>
      <c r="F115" s="826"/>
    </row>
    <row r="116" spans="5:6">
      <c r="E116" s="826"/>
      <c r="F116" s="826"/>
    </row>
    <row r="117" spans="5:6">
      <c r="E117" s="826"/>
      <c r="F117" s="826"/>
    </row>
    <row r="118" spans="5:6">
      <c r="E118" s="826"/>
      <c r="F118" s="826"/>
    </row>
    <row r="119" spans="5:6">
      <c r="E119" s="826"/>
      <c r="F119" s="826"/>
    </row>
    <row r="120" spans="5:6">
      <c r="E120" s="826"/>
      <c r="F120" s="826"/>
    </row>
    <row r="121" spans="5:6">
      <c r="E121" s="826"/>
      <c r="F121" s="826"/>
    </row>
    <row r="122" spans="5:6">
      <c r="E122" s="826"/>
      <c r="F122" s="826"/>
    </row>
    <row r="123" spans="5:6">
      <c r="E123" s="826"/>
      <c r="F123" s="826"/>
    </row>
    <row r="124" spans="5:6">
      <c r="E124" s="826"/>
      <c r="F124" s="826"/>
    </row>
    <row r="125" spans="5:6">
      <c r="E125" s="826"/>
      <c r="F125" s="826"/>
    </row>
    <row r="126" spans="5:6">
      <c r="E126" s="826"/>
      <c r="F126" s="826"/>
    </row>
    <row r="127" spans="5:6">
      <c r="E127" s="826"/>
      <c r="F127" s="826"/>
    </row>
    <row r="128" spans="5:6">
      <c r="E128" s="826"/>
      <c r="F128" s="826"/>
    </row>
    <row r="129" spans="5:6">
      <c r="E129" s="826"/>
      <c r="F129" s="826"/>
    </row>
    <row r="130" spans="5:6">
      <c r="E130" s="826"/>
      <c r="F130" s="826"/>
    </row>
    <row r="131" spans="5:6">
      <c r="E131" s="826"/>
      <c r="F131" s="826"/>
    </row>
    <row r="132" spans="5:6">
      <c r="E132" s="826"/>
      <c r="F132" s="826"/>
    </row>
    <row r="133" spans="5:6">
      <c r="E133" s="826"/>
      <c r="F133" s="826"/>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Mensual-Octubre 2020
INFSGI-MES-10-2020
12/11/2020
Versión: 01</oddHeader>
    <oddFooter>&amp;L&amp;7COES, 2020&amp;C25&amp;R&amp;7Dirección Ejecutiva
Sub Dirección de Gestión de Información</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E14F0-72A2-4AF9-BC6F-EED7D13BA507}">
  <sheetPr>
    <tabColor theme="4"/>
  </sheetPr>
  <dimension ref="A1:I104"/>
  <sheetViews>
    <sheetView showGridLines="0" view="pageBreakPreview" zoomScale="130" zoomScaleNormal="100" zoomScaleSheetLayoutView="130" workbookViewId="0">
      <selection activeCell="D3" sqref="D3:D14"/>
    </sheetView>
  </sheetViews>
  <sheetFormatPr defaultColWidth="9.33203125" defaultRowHeight="9"/>
  <cols>
    <col min="1" max="1" width="16.1640625" style="808" customWidth="1"/>
    <col min="2" max="2" width="19.6640625" style="808" customWidth="1"/>
    <col min="3" max="3" width="12.83203125" style="808" bestFit="1" customWidth="1"/>
    <col min="4" max="4" width="59.83203125" style="808" customWidth="1"/>
    <col min="5" max="5" width="11.6640625" style="808" customWidth="1"/>
    <col min="6" max="6" width="10.5" style="808" customWidth="1"/>
    <col min="7" max="8" width="9.33203125" style="808" customWidth="1"/>
    <col min="9" max="16384" width="9.33203125" style="808"/>
  </cols>
  <sheetData>
    <row r="1" spans="1:9" ht="11.25" customHeight="1">
      <c r="A1" s="806" t="s">
        <v>365</v>
      </c>
      <c r="B1" s="807"/>
      <c r="C1" s="807"/>
      <c r="D1" s="807"/>
      <c r="E1" s="807"/>
      <c r="F1" s="807"/>
    </row>
    <row r="2" spans="1:9" ht="30" customHeight="1">
      <c r="A2" s="809" t="s">
        <v>250</v>
      </c>
      <c r="B2" s="810" t="s">
        <v>366</v>
      </c>
      <c r="C2" s="809" t="s">
        <v>355</v>
      </c>
      <c r="D2" s="811" t="s">
        <v>367</v>
      </c>
      <c r="E2" s="812" t="s">
        <v>368</v>
      </c>
      <c r="F2" s="812" t="s">
        <v>369</v>
      </c>
      <c r="G2" s="813"/>
      <c r="H2" s="814"/>
      <c r="I2" s="815"/>
    </row>
    <row r="3" spans="1:9" ht="53.25" customHeight="1">
      <c r="A3" s="818" t="s">
        <v>599</v>
      </c>
      <c r="B3" s="818" t="s">
        <v>616</v>
      </c>
      <c r="C3" s="816">
        <v>44113.32708333333</v>
      </c>
      <c r="D3" s="817" t="s">
        <v>617</v>
      </c>
      <c r="E3" s="818">
        <v>85.6</v>
      </c>
      <c r="F3" s="818"/>
      <c r="G3" s="819"/>
      <c r="H3" s="819"/>
      <c r="I3" s="821"/>
    </row>
    <row r="4" spans="1:9" ht="86.25" customHeight="1">
      <c r="A4" s="818" t="s">
        <v>618</v>
      </c>
      <c r="B4" s="818" t="s">
        <v>619</v>
      </c>
      <c r="C4" s="816">
        <v>44113.32708333333</v>
      </c>
      <c r="D4" s="817" t="s">
        <v>620</v>
      </c>
      <c r="E4" s="818"/>
      <c r="F4" s="818">
        <v>2.2000000000000002</v>
      </c>
      <c r="G4" s="819"/>
      <c r="H4" s="819"/>
      <c r="I4" s="822"/>
    </row>
    <row r="5" spans="1:9" ht="45" customHeight="1">
      <c r="A5" s="818" t="s">
        <v>599</v>
      </c>
      <c r="B5" s="818" t="s">
        <v>600</v>
      </c>
      <c r="C5" s="816">
        <v>44114.411805555559</v>
      </c>
      <c r="D5" s="817" t="s">
        <v>621</v>
      </c>
      <c r="E5" s="818">
        <v>9.82</v>
      </c>
      <c r="F5" s="818"/>
      <c r="G5" s="819"/>
      <c r="H5" s="819"/>
      <c r="I5" s="823"/>
    </row>
    <row r="6" spans="1:9" ht="59.25" customHeight="1">
      <c r="A6" s="818" t="s">
        <v>579</v>
      </c>
      <c r="B6" s="818" t="s">
        <v>622</v>
      </c>
      <c r="C6" s="816">
        <v>44115.177083333336</v>
      </c>
      <c r="D6" s="817" t="s">
        <v>623</v>
      </c>
      <c r="E6" s="818"/>
      <c r="F6" s="818">
        <v>3.49</v>
      </c>
      <c r="G6" s="819"/>
      <c r="H6" s="819"/>
      <c r="I6" s="822"/>
    </row>
    <row r="7" spans="1:9" ht="60" customHeight="1">
      <c r="A7" s="818" t="s">
        <v>624</v>
      </c>
      <c r="B7" s="818" t="s">
        <v>625</v>
      </c>
      <c r="C7" s="816">
        <v>44115.436805555553</v>
      </c>
      <c r="D7" s="817" t="s">
        <v>626</v>
      </c>
      <c r="E7" s="818">
        <v>8.2799999999999994</v>
      </c>
      <c r="F7" s="818"/>
      <c r="G7" s="819"/>
      <c r="H7" s="819"/>
      <c r="I7" s="822"/>
    </row>
    <row r="8" spans="1:9" ht="54.75" customHeight="1">
      <c r="A8" s="818" t="s">
        <v>594</v>
      </c>
      <c r="B8" s="818" t="s">
        <v>627</v>
      </c>
      <c r="C8" s="816">
        <v>44115.491666666669</v>
      </c>
      <c r="D8" s="817" t="s">
        <v>628</v>
      </c>
      <c r="E8" s="818">
        <v>0.28999999999999998</v>
      </c>
      <c r="F8" s="818"/>
      <c r="G8" s="819"/>
      <c r="H8" s="819"/>
      <c r="I8" s="822"/>
    </row>
    <row r="9" spans="1:9" ht="96.75" customHeight="1">
      <c r="A9" s="818" t="s">
        <v>580</v>
      </c>
      <c r="B9" s="818" t="s">
        <v>629</v>
      </c>
      <c r="C9" s="816">
        <v>44115.609027777777</v>
      </c>
      <c r="D9" s="817" t="s">
        <v>630</v>
      </c>
      <c r="E9" s="818">
        <v>17.36</v>
      </c>
      <c r="F9" s="818">
        <v>14.27</v>
      </c>
      <c r="G9" s="819"/>
      <c r="H9" s="819"/>
      <c r="I9" s="822"/>
    </row>
    <row r="10" spans="1:9" ht="165.75" customHeight="1">
      <c r="A10" s="818" t="s">
        <v>580</v>
      </c>
      <c r="B10" s="818" t="s">
        <v>629</v>
      </c>
      <c r="C10" s="816">
        <v>44116.458333333336</v>
      </c>
      <c r="D10" s="817" t="s">
        <v>631</v>
      </c>
      <c r="E10" s="818">
        <v>69.31</v>
      </c>
      <c r="F10" s="818"/>
      <c r="G10" s="819"/>
      <c r="H10" s="819"/>
      <c r="I10" s="822"/>
    </row>
    <row r="11" spans="1:9" ht="54" customHeight="1">
      <c r="A11" s="818" t="s">
        <v>632</v>
      </c>
      <c r="B11" s="818" t="s">
        <v>633</v>
      </c>
      <c r="C11" s="816">
        <v>44116.533333333333</v>
      </c>
      <c r="D11" s="817" t="s">
        <v>634</v>
      </c>
      <c r="E11" s="818">
        <v>1.93</v>
      </c>
      <c r="F11" s="818"/>
      <c r="G11" s="819"/>
      <c r="H11" s="819"/>
      <c r="I11" s="822"/>
    </row>
    <row r="12" spans="1:9" ht="54" customHeight="1">
      <c r="A12" s="818" t="s">
        <v>624</v>
      </c>
      <c r="B12" s="818" t="s">
        <v>625</v>
      </c>
      <c r="C12" s="816">
        <v>44118.509027777778</v>
      </c>
      <c r="D12" s="817" t="s">
        <v>635</v>
      </c>
      <c r="E12" s="818">
        <v>9.18</v>
      </c>
      <c r="F12" s="818"/>
      <c r="G12" s="819"/>
      <c r="H12" s="819"/>
      <c r="I12" s="822"/>
    </row>
    <row r="13" spans="1:9" ht="54" customHeight="1">
      <c r="A13" s="818" t="s">
        <v>624</v>
      </c>
      <c r="B13" s="818" t="s">
        <v>636</v>
      </c>
      <c r="C13" s="816">
        <v>44118.510416666664</v>
      </c>
      <c r="D13" s="817" t="s">
        <v>637</v>
      </c>
      <c r="E13" s="818">
        <v>9.08</v>
      </c>
      <c r="F13" s="818"/>
      <c r="G13" s="819"/>
      <c r="H13" s="819"/>
      <c r="I13" s="822"/>
    </row>
    <row r="14" spans="1:9" ht="62.25" customHeight="1">
      <c r="A14" s="818" t="s">
        <v>638</v>
      </c>
      <c r="B14" s="818" t="s">
        <v>639</v>
      </c>
      <c r="C14" s="816">
        <v>44119.423611111109</v>
      </c>
      <c r="D14" s="817" t="s">
        <v>640</v>
      </c>
      <c r="E14" s="818">
        <v>9.59</v>
      </c>
      <c r="F14" s="818"/>
      <c r="G14" s="819"/>
      <c r="H14" s="819"/>
      <c r="I14" s="822"/>
    </row>
    <row r="15" spans="1:9">
      <c r="E15" s="826"/>
      <c r="F15" s="826"/>
    </row>
    <row r="16" spans="1:9">
      <c r="E16" s="826"/>
      <c r="F16" s="826"/>
    </row>
    <row r="17" spans="5:6">
      <c r="E17" s="826"/>
      <c r="F17" s="826"/>
    </row>
    <row r="18" spans="5:6">
      <c r="E18" s="826"/>
      <c r="F18" s="826"/>
    </row>
    <row r="19" spans="5:6">
      <c r="E19" s="826"/>
      <c r="F19" s="826"/>
    </row>
    <row r="20" spans="5:6">
      <c r="E20" s="826"/>
      <c r="F20" s="826"/>
    </row>
    <row r="21" spans="5:6">
      <c r="E21" s="826"/>
      <c r="F21" s="826"/>
    </row>
    <row r="22" spans="5:6">
      <c r="E22" s="826"/>
      <c r="F22" s="826"/>
    </row>
    <row r="23" spans="5:6">
      <c r="E23" s="826"/>
      <c r="F23" s="826"/>
    </row>
    <row r="24" spans="5:6">
      <c r="E24" s="826"/>
      <c r="F24" s="826"/>
    </row>
    <row r="25" spans="5:6">
      <c r="E25" s="826"/>
      <c r="F25" s="826"/>
    </row>
    <row r="26" spans="5:6">
      <c r="E26" s="826"/>
      <c r="F26" s="826"/>
    </row>
    <row r="27" spans="5:6">
      <c r="E27" s="826"/>
      <c r="F27" s="826"/>
    </row>
    <row r="28" spans="5:6">
      <c r="E28" s="826"/>
      <c r="F28" s="826"/>
    </row>
    <row r="29" spans="5:6">
      <c r="E29" s="826"/>
      <c r="F29" s="826"/>
    </row>
    <row r="30" spans="5:6">
      <c r="E30" s="826"/>
      <c r="F30" s="826"/>
    </row>
    <row r="31" spans="5:6">
      <c r="E31" s="826"/>
      <c r="F31" s="826"/>
    </row>
    <row r="32" spans="5:6">
      <c r="E32" s="826"/>
      <c r="F32" s="826"/>
    </row>
    <row r="33" spans="5:6">
      <c r="E33" s="826"/>
      <c r="F33" s="826"/>
    </row>
    <row r="34" spans="5:6">
      <c r="E34" s="826"/>
      <c r="F34" s="826"/>
    </row>
    <row r="35" spans="5:6">
      <c r="E35" s="826"/>
      <c r="F35" s="826"/>
    </row>
    <row r="36" spans="5:6">
      <c r="E36" s="826"/>
      <c r="F36" s="826"/>
    </row>
    <row r="37" spans="5:6">
      <c r="E37" s="826"/>
      <c r="F37" s="826"/>
    </row>
    <row r="38" spans="5:6">
      <c r="E38" s="826"/>
      <c r="F38" s="826"/>
    </row>
    <row r="39" spans="5:6">
      <c r="E39" s="826"/>
      <c r="F39" s="826"/>
    </row>
    <row r="40" spans="5:6">
      <c r="E40" s="826"/>
      <c r="F40" s="826"/>
    </row>
    <row r="41" spans="5:6">
      <c r="E41" s="826"/>
      <c r="F41" s="826"/>
    </row>
    <row r="42" spans="5:6">
      <c r="E42" s="826"/>
      <c r="F42" s="826"/>
    </row>
    <row r="43" spans="5:6">
      <c r="E43" s="826"/>
      <c r="F43" s="826"/>
    </row>
    <row r="44" spans="5:6">
      <c r="E44" s="826"/>
      <c r="F44" s="826"/>
    </row>
    <row r="45" spans="5:6">
      <c r="E45" s="826"/>
      <c r="F45" s="826"/>
    </row>
    <row r="46" spans="5:6">
      <c r="E46" s="826"/>
      <c r="F46" s="826"/>
    </row>
    <row r="47" spans="5:6">
      <c r="E47" s="826"/>
      <c r="F47" s="826"/>
    </row>
    <row r="48" spans="5:6">
      <c r="E48" s="826"/>
      <c r="F48" s="826"/>
    </row>
    <row r="49" spans="5:6">
      <c r="E49" s="826"/>
      <c r="F49" s="826"/>
    </row>
    <row r="50" spans="5:6">
      <c r="E50" s="826"/>
      <c r="F50" s="826"/>
    </row>
    <row r="51" spans="5:6">
      <c r="E51" s="826"/>
      <c r="F51" s="826"/>
    </row>
    <row r="52" spans="5:6">
      <c r="E52" s="826"/>
      <c r="F52" s="826"/>
    </row>
    <row r="53" spans="5:6">
      <c r="E53" s="826"/>
      <c r="F53" s="826"/>
    </row>
    <row r="54" spans="5:6">
      <c r="E54" s="826"/>
      <c r="F54" s="826"/>
    </row>
    <row r="55" spans="5:6">
      <c r="E55" s="826"/>
      <c r="F55" s="826"/>
    </row>
    <row r="56" spans="5:6">
      <c r="E56" s="826"/>
      <c r="F56" s="826"/>
    </row>
    <row r="57" spans="5:6">
      <c r="E57" s="826"/>
      <c r="F57" s="826"/>
    </row>
    <row r="58" spans="5:6">
      <c r="E58" s="826"/>
      <c r="F58" s="826"/>
    </row>
    <row r="59" spans="5:6">
      <c r="E59" s="826"/>
      <c r="F59" s="826"/>
    </row>
    <row r="60" spans="5:6">
      <c r="E60" s="826"/>
      <c r="F60" s="826"/>
    </row>
    <row r="61" spans="5:6">
      <c r="E61" s="826"/>
      <c r="F61" s="826"/>
    </row>
    <row r="62" spans="5:6">
      <c r="E62" s="826"/>
      <c r="F62" s="826"/>
    </row>
    <row r="63" spans="5:6">
      <c r="E63" s="826"/>
      <c r="F63" s="826"/>
    </row>
    <row r="64" spans="5:6">
      <c r="E64" s="826"/>
      <c r="F64" s="826"/>
    </row>
    <row r="65" spans="5:6">
      <c r="E65" s="826"/>
      <c r="F65" s="826"/>
    </row>
    <row r="66" spans="5:6">
      <c r="E66" s="826"/>
      <c r="F66" s="826"/>
    </row>
    <row r="67" spans="5:6">
      <c r="E67" s="826"/>
      <c r="F67" s="826"/>
    </row>
    <row r="68" spans="5:6">
      <c r="E68" s="826"/>
      <c r="F68" s="826"/>
    </row>
    <row r="69" spans="5:6">
      <c r="E69" s="826"/>
      <c r="F69" s="826"/>
    </row>
    <row r="70" spans="5:6">
      <c r="E70" s="826"/>
      <c r="F70" s="826"/>
    </row>
    <row r="71" spans="5:6">
      <c r="E71" s="826"/>
      <c r="F71" s="826"/>
    </row>
    <row r="72" spans="5:6">
      <c r="E72" s="826"/>
      <c r="F72" s="826"/>
    </row>
    <row r="73" spans="5:6">
      <c r="E73" s="826"/>
      <c r="F73" s="826"/>
    </row>
    <row r="74" spans="5:6">
      <c r="E74" s="826"/>
      <c r="F74" s="826"/>
    </row>
    <row r="75" spans="5:6">
      <c r="E75" s="826"/>
      <c r="F75" s="826"/>
    </row>
    <row r="76" spans="5:6">
      <c r="E76" s="826"/>
      <c r="F76" s="826"/>
    </row>
    <row r="77" spans="5:6">
      <c r="E77" s="826"/>
      <c r="F77" s="826"/>
    </row>
    <row r="78" spans="5:6">
      <c r="E78" s="826"/>
      <c r="F78" s="826"/>
    </row>
    <row r="79" spans="5:6">
      <c r="E79" s="826"/>
      <c r="F79" s="826"/>
    </row>
    <row r="80" spans="5:6">
      <c r="E80" s="826"/>
      <c r="F80" s="826"/>
    </row>
    <row r="81" spans="5:6">
      <c r="E81" s="826"/>
      <c r="F81" s="826"/>
    </row>
    <row r="82" spans="5:6">
      <c r="E82" s="826"/>
      <c r="F82" s="826"/>
    </row>
    <row r="83" spans="5:6">
      <c r="E83" s="826"/>
      <c r="F83" s="826"/>
    </row>
    <row r="84" spans="5:6">
      <c r="E84" s="826"/>
      <c r="F84" s="826"/>
    </row>
    <row r="85" spans="5:6">
      <c r="E85" s="826"/>
      <c r="F85" s="826"/>
    </row>
    <row r="86" spans="5:6">
      <c r="E86" s="826"/>
      <c r="F86" s="826"/>
    </row>
    <row r="87" spans="5:6">
      <c r="E87" s="826"/>
      <c r="F87" s="826"/>
    </row>
    <row r="88" spans="5:6">
      <c r="E88" s="826"/>
      <c r="F88" s="826"/>
    </row>
    <row r="89" spans="5:6">
      <c r="E89" s="826"/>
      <c r="F89" s="826"/>
    </row>
    <row r="90" spans="5:6">
      <c r="E90" s="826"/>
      <c r="F90" s="826"/>
    </row>
    <row r="91" spans="5:6">
      <c r="E91" s="826"/>
      <c r="F91" s="826"/>
    </row>
    <row r="92" spans="5:6">
      <c r="E92" s="826"/>
      <c r="F92" s="826"/>
    </row>
    <row r="93" spans="5:6">
      <c r="E93" s="826"/>
      <c r="F93" s="826"/>
    </row>
    <row r="94" spans="5:6">
      <c r="E94" s="826"/>
      <c r="F94" s="826"/>
    </row>
    <row r="95" spans="5:6">
      <c r="E95" s="826"/>
      <c r="F95" s="826"/>
    </row>
    <row r="96" spans="5:6">
      <c r="E96" s="826"/>
      <c r="F96" s="826"/>
    </row>
    <row r="97" spans="5:6">
      <c r="E97" s="826"/>
      <c r="F97" s="826"/>
    </row>
    <row r="98" spans="5:6">
      <c r="E98" s="826"/>
      <c r="F98" s="826"/>
    </row>
    <row r="99" spans="5:6">
      <c r="E99" s="826"/>
      <c r="F99" s="826"/>
    </row>
    <row r="100" spans="5:6">
      <c r="E100" s="826"/>
      <c r="F100" s="826"/>
    </row>
    <row r="101" spans="5:6">
      <c r="E101" s="826"/>
      <c r="F101" s="826"/>
    </row>
    <row r="102" spans="5:6">
      <c r="E102" s="826"/>
      <c r="F102" s="826"/>
    </row>
    <row r="103" spans="5:6">
      <c r="E103" s="826"/>
      <c r="F103" s="826"/>
    </row>
    <row r="104" spans="5:6">
      <c r="E104" s="826"/>
      <c r="F104" s="826"/>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Mensual-Octubre 2020
INFSGI-MES-10-2020
12/11/2020
Versión: 01</oddHeader>
    <oddFooter>&amp;L&amp;7COES, 2020&amp;C26&amp;R&amp;7Dirección Ejecutiva
Sub Dirección de Gestión de Información</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79899-51B7-4462-AB58-73438E7CEEFD}">
  <sheetPr>
    <tabColor theme="4"/>
  </sheetPr>
  <dimension ref="A1:I106"/>
  <sheetViews>
    <sheetView showGridLines="0" view="pageBreakPreview" zoomScale="130" zoomScaleNormal="100" zoomScaleSheetLayoutView="130" workbookViewId="0">
      <selection activeCell="D6" sqref="D6"/>
    </sheetView>
  </sheetViews>
  <sheetFormatPr defaultColWidth="9.33203125" defaultRowHeight="9"/>
  <cols>
    <col min="1" max="1" width="16.1640625" style="808" customWidth="1"/>
    <col min="2" max="2" width="19.6640625" style="808" customWidth="1"/>
    <col min="3" max="3" width="12.83203125" style="808" bestFit="1" customWidth="1"/>
    <col min="4" max="4" width="59.83203125" style="808" customWidth="1"/>
    <col min="5" max="5" width="11.6640625" style="808" customWidth="1"/>
    <col min="6" max="6" width="10.5" style="808" customWidth="1"/>
    <col min="7" max="8" width="9.33203125" style="808" customWidth="1"/>
    <col min="9" max="16384" width="9.33203125" style="808"/>
  </cols>
  <sheetData>
    <row r="1" spans="1:9" ht="11.25" customHeight="1">
      <c r="A1" s="806" t="s">
        <v>365</v>
      </c>
      <c r="B1" s="807"/>
      <c r="C1" s="807"/>
      <c r="D1" s="807"/>
      <c r="E1" s="807"/>
      <c r="F1" s="807"/>
    </row>
    <row r="2" spans="1:9" ht="30" customHeight="1">
      <c r="A2" s="809" t="s">
        <v>250</v>
      </c>
      <c r="B2" s="810" t="s">
        <v>366</v>
      </c>
      <c r="C2" s="809" t="s">
        <v>355</v>
      </c>
      <c r="D2" s="811" t="s">
        <v>367</v>
      </c>
      <c r="E2" s="812" t="s">
        <v>368</v>
      </c>
      <c r="F2" s="812" t="s">
        <v>369</v>
      </c>
      <c r="G2" s="813"/>
      <c r="H2" s="814"/>
      <c r="I2" s="815"/>
    </row>
    <row r="3" spans="1:9" ht="126" customHeight="1">
      <c r="A3" s="818" t="s">
        <v>641</v>
      </c>
      <c r="B3" s="818" t="s">
        <v>642</v>
      </c>
      <c r="C3" s="816">
        <v>44120.466666666667</v>
      </c>
      <c r="D3" s="817" t="s">
        <v>643</v>
      </c>
      <c r="E3" s="818">
        <v>16.87</v>
      </c>
      <c r="F3" s="818"/>
      <c r="G3" s="819"/>
      <c r="H3" s="819"/>
      <c r="I3" s="821"/>
    </row>
    <row r="4" spans="1:9" ht="50.25" customHeight="1">
      <c r="A4" s="818" t="s">
        <v>624</v>
      </c>
      <c r="B4" s="818" t="s">
        <v>644</v>
      </c>
      <c r="C4" s="816">
        <v>44120.679861111108</v>
      </c>
      <c r="D4" s="817" t="s">
        <v>645</v>
      </c>
      <c r="E4" s="818">
        <v>3.02</v>
      </c>
      <c r="F4" s="818"/>
      <c r="G4" s="819"/>
      <c r="H4" s="819"/>
      <c r="I4" s="822"/>
    </row>
    <row r="5" spans="1:9" ht="54" customHeight="1">
      <c r="A5" s="818" t="s">
        <v>646</v>
      </c>
      <c r="B5" s="818" t="s">
        <v>647</v>
      </c>
      <c r="C5" s="816">
        <v>44121.53402777778</v>
      </c>
      <c r="D5" s="817" t="s">
        <v>648</v>
      </c>
      <c r="E5" s="818">
        <v>9</v>
      </c>
      <c r="F5" s="818"/>
      <c r="G5" s="819"/>
      <c r="H5" s="819"/>
      <c r="I5" s="823"/>
    </row>
    <row r="6" spans="1:9" ht="51.75" customHeight="1">
      <c r="A6" s="818" t="s">
        <v>624</v>
      </c>
      <c r="B6" s="818" t="s">
        <v>649</v>
      </c>
      <c r="C6" s="816">
        <v>44123.18472222222</v>
      </c>
      <c r="D6" s="817" t="s">
        <v>650</v>
      </c>
      <c r="E6" s="818">
        <v>0.71</v>
      </c>
      <c r="F6" s="818"/>
      <c r="G6" s="819"/>
      <c r="H6" s="819"/>
      <c r="I6" s="822"/>
    </row>
    <row r="7" spans="1:9" ht="64.5" customHeight="1">
      <c r="A7" s="818" t="s">
        <v>638</v>
      </c>
      <c r="B7" s="818" t="s">
        <v>651</v>
      </c>
      <c r="C7" s="816">
        <v>44125.356944444444</v>
      </c>
      <c r="D7" s="817" t="s">
        <v>652</v>
      </c>
      <c r="E7" s="818">
        <v>3.08</v>
      </c>
      <c r="F7" s="818"/>
      <c r="G7" s="819"/>
      <c r="H7" s="819"/>
      <c r="I7" s="822"/>
    </row>
    <row r="8" spans="1:9" ht="46.5" customHeight="1">
      <c r="A8" s="818" t="s">
        <v>624</v>
      </c>
      <c r="B8" s="818" t="s">
        <v>649</v>
      </c>
      <c r="C8" s="816">
        <v>44126.853472222225</v>
      </c>
      <c r="D8" s="817" t="s">
        <v>653</v>
      </c>
      <c r="E8" s="818">
        <v>0.99</v>
      </c>
      <c r="F8" s="818"/>
      <c r="G8" s="819"/>
      <c r="H8" s="819"/>
      <c r="I8" s="822"/>
    </row>
    <row r="9" spans="1:9" ht="74.25" customHeight="1">
      <c r="A9" s="818" t="s">
        <v>91</v>
      </c>
      <c r="B9" s="818" t="s">
        <v>654</v>
      </c>
      <c r="C9" s="816">
        <v>44127.384722222225</v>
      </c>
      <c r="D9" s="817" t="s">
        <v>655</v>
      </c>
      <c r="E9" s="818">
        <v>4.37</v>
      </c>
      <c r="F9" s="818"/>
      <c r="G9" s="819"/>
      <c r="H9" s="819"/>
      <c r="I9" s="822"/>
    </row>
    <row r="10" spans="1:9" ht="61.5" customHeight="1">
      <c r="A10" s="818" t="s">
        <v>656</v>
      </c>
      <c r="B10" s="818" t="s">
        <v>657</v>
      </c>
      <c r="C10" s="816">
        <v>44127.630555555559</v>
      </c>
      <c r="D10" s="817" t="s">
        <v>658</v>
      </c>
      <c r="E10" s="818">
        <v>3.4</v>
      </c>
      <c r="F10" s="818"/>
      <c r="G10" s="819"/>
      <c r="H10" s="819"/>
      <c r="I10" s="822"/>
    </row>
    <row r="11" spans="1:9" ht="60" customHeight="1">
      <c r="A11" s="818" t="s">
        <v>659</v>
      </c>
      <c r="B11" s="818" t="s">
        <v>660</v>
      </c>
      <c r="C11" s="816">
        <v>44127.638194444444</v>
      </c>
      <c r="D11" s="817" t="s">
        <v>661</v>
      </c>
      <c r="E11" s="818"/>
      <c r="F11" s="818">
        <v>15</v>
      </c>
      <c r="G11" s="819"/>
      <c r="H11" s="819"/>
      <c r="I11" s="822"/>
    </row>
    <row r="12" spans="1:9" ht="54" customHeight="1">
      <c r="A12" s="818" t="s">
        <v>618</v>
      </c>
      <c r="B12" s="818" t="s">
        <v>619</v>
      </c>
      <c r="C12" s="816">
        <v>44128.190972222219</v>
      </c>
      <c r="D12" s="817" t="s">
        <v>662</v>
      </c>
      <c r="E12" s="818">
        <v>11</v>
      </c>
      <c r="F12" s="818"/>
      <c r="G12" s="819"/>
      <c r="H12" s="819"/>
      <c r="I12" s="822"/>
    </row>
    <row r="13" spans="1:9" ht="54" customHeight="1">
      <c r="A13" s="818" t="s">
        <v>624</v>
      </c>
      <c r="B13" s="818" t="s">
        <v>625</v>
      </c>
      <c r="C13" s="816">
        <v>44128.586805555555</v>
      </c>
      <c r="D13" s="817" t="s">
        <v>663</v>
      </c>
      <c r="E13" s="818">
        <v>7.32</v>
      </c>
      <c r="F13" s="818"/>
      <c r="G13" s="819"/>
      <c r="H13" s="819"/>
      <c r="I13" s="822"/>
    </row>
    <row r="14" spans="1:9" ht="54" customHeight="1">
      <c r="A14" s="818" t="s">
        <v>624</v>
      </c>
      <c r="B14" s="818" t="s">
        <v>625</v>
      </c>
      <c r="C14" s="816">
        <v>44129.598611111112</v>
      </c>
      <c r="D14" s="817" t="s">
        <v>664</v>
      </c>
      <c r="E14" s="818">
        <v>9.2799999999999994</v>
      </c>
      <c r="F14" s="818"/>
      <c r="G14" s="819"/>
      <c r="H14" s="819"/>
      <c r="I14" s="822"/>
    </row>
    <row r="15" spans="1:9" ht="61.5" customHeight="1">
      <c r="A15" s="818" t="s">
        <v>579</v>
      </c>
      <c r="B15" s="818" t="s">
        <v>665</v>
      </c>
      <c r="C15" s="816">
        <v>44129.713888888888</v>
      </c>
      <c r="D15" s="817" t="s">
        <v>666</v>
      </c>
      <c r="E15" s="818">
        <v>5.38</v>
      </c>
      <c r="F15" s="818"/>
      <c r="G15" s="819"/>
      <c r="H15" s="819"/>
      <c r="I15" s="822"/>
    </row>
    <row r="16" spans="1:9" ht="73.5" customHeight="1">
      <c r="A16" s="818" t="s">
        <v>599</v>
      </c>
      <c r="B16" s="818" t="s">
        <v>667</v>
      </c>
      <c r="C16" s="816">
        <v>44129.897916666669</v>
      </c>
      <c r="D16" s="817" t="s">
        <v>668</v>
      </c>
      <c r="E16" s="818">
        <v>2.54</v>
      </c>
      <c r="F16" s="818"/>
      <c r="G16" s="819"/>
      <c r="H16" s="819"/>
      <c r="I16" s="822"/>
    </row>
    <row r="17" spans="5:6">
      <c r="E17" s="826"/>
      <c r="F17" s="826"/>
    </row>
    <row r="18" spans="5:6">
      <c r="E18" s="826"/>
      <c r="F18" s="826"/>
    </row>
    <row r="19" spans="5:6">
      <c r="E19" s="826"/>
      <c r="F19" s="826"/>
    </row>
    <row r="20" spans="5:6">
      <c r="E20" s="826"/>
      <c r="F20" s="826"/>
    </row>
    <row r="21" spans="5:6">
      <c r="E21" s="826"/>
      <c r="F21" s="826"/>
    </row>
    <row r="22" spans="5:6">
      <c r="E22" s="826"/>
      <c r="F22" s="826"/>
    </row>
    <row r="23" spans="5:6">
      <c r="E23" s="826"/>
      <c r="F23" s="826"/>
    </row>
    <row r="24" spans="5:6">
      <c r="E24" s="826"/>
      <c r="F24" s="826"/>
    </row>
    <row r="25" spans="5:6">
      <c r="E25" s="826"/>
      <c r="F25" s="826"/>
    </row>
    <row r="26" spans="5:6">
      <c r="E26" s="826"/>
      <c r="F26" s="826"/>
    </row>
    <row r="27" spans="5:6">
      <c r="E27" s="826"/>
      <c r="F27" s="826"/>
    </row>
    <row r="28" spans="5:6">
      <c r="E28" s="826"/>
      <c r="F28" s="826"/>
    </row>
    <row r="29" spans="5:6">
      <c r="E29" s="826"/>
      <c r="F29" s="826"/>
    </row>
    <row r="30" spans="5:6">
      <c r="E30" s="826"/>
      <c r="F30" s="826"/>
    </row>
    <row r="31" spans="5:6">
      <c r="E31" s="826"/>
      <c r="F31" s="826"/>
    </row>
    <row r="32" spans="5:6">
      <c r="E32" s="826"/>
      <c r="F32" s="826"/>
    </row>
    <row r="33" spans="5:6">
      <c r="E33" s="826"/>
      <c r="F33" s="826"/>
    </row>
    <row r="34" spans="5:6">
      <c r="E34" s="826"/>
      <c r="F34" s="826"/>
    </row>
    <row r="35" spans="5:6">
      <c r="E35" s="826"/>
      <c r="F35" s="826"/>
    </row>
    <row r="36" spans="5:6">
      <c r="E36" s="826"/>
      <c r="F36" s="826"/>
    </row>
    <row r="37" spans="5:6">
      <c r="E37" s="826"/>
      <c r="F37" s="826"/>
    </row>
    <row r="38" spans="5:6">
      <c r="E38" s="826"/>
      <c r="F38" s="826"/>
    </row>
    <row r="39" spans="5:6">
      <c r="E39" s="826"/>
      <c r="F39" s="826"/>
    </row>
    <row r="40" spans="5:6">
      <c r="E40" s="826"/>
      <c r="F40" s="826"/>
    </row>
    <row r="41" spans="5:6">
      <c r="E41" s="826"/>
      <c r="F41" s="826"/>
    </row>
    <row r="42" spans="5:6">
      <c r="E42" s="826"/>
      <c r="F42" s="826"/>
    </row>
    <row r="43" spans="5:6">
      <c r="E43" s="826"/>
      <c r="F43" s="826"/>
    </row>
    <row r="44" spans="5:6">
      <c r="E44" s="826"/>
      <c r="F44" s="826"/>
    </row>
    <row r="45" spans="5:6">
      <c r="E45" s="826"/>
      <c r="F45" s="826"/>
    </row>
    <row r="46" spans="5:6">
      <c r="E46" s="826"/>
      <c r="F46" s="826"/>
    </row>
    <row r="47" spans="5:6">
      <c r="E47" s="826"/>
      <c r="F47" s="826"/>
    </row>
    <row r="48" spans="5:6">
      <c r="E48" s="826"/>
      <c r="F48" s="826"/>
    </row>
    <row r="49" spans="5:6">
      <c r="E49" s="826"/>
      <c r="F49" s="826"/>
    </row>
    <row r="50" spans="5:6">
      <c r="E50" s="826"/>
      <c r="F50" s="826"/>
    </row>
    <row r="51" spans="5:6">
      <c r="E51" s="826"/>
      <c r="F51" s="826"/>
    </row>
    <row r="52" spans="5:6">
      <c r="E52" s="826"/>
      <c r="F52" s="826"/>
    </row>
    <row r="53" spans="5:6">
      <c r="E53" s="826"/>
      <c r="F53" s="826"/>
    </row>
    <row r="54" spans="5:6">
      <c r="E54" s="826"/>
      <c r="F54" s="826"/>
    </row>
    <row r="55" spans="5:6">
      <c r="E55" s="826"/>
      <c r="F55" s="826"/>
    </row>
    <row r="56" spans="5:6">
      <c r="E56" s="826"/>
      <c r="F56" s="826"/>
    </row>
    <row r="57" spans="5:6">
      <c r="E57" s="826"/>
      <c r="F57" s="826"/>
    </row>
    <row r="58" spans="5:6">
      <c r="E58" s="826"/>
      <c r="F58" s="826"/>
    </row>
    <row r="59" spans="5:6">
      <c r="E59" s="826"/>
      <c r="F59" s="826"/>
    </row>
    <row r="60" spans="5:6">
      <c r="E60" s="826"/>
      <c r="F60" s="826"/>
    </row>
    <row r="61" spans="5:6">
      <c r="E61" s="826"/>
      <c r="F61" s="826"/>
    </row>
    <row r="62" spans="5:6">
      <c r="E62" s="826"/>
      <c r="F62" s="826"/>
    </row>
    <row r="63" spans="5:6">
      <c r="E63" s="826"/>
      <c r="F63" s="826"/>
    </row>
    <row r="64" spans="5:6">
      <c r="E64" s="826"/>
      <c r="F64" s="826"/>
    </row>
    <row r="65" spans="5:6">
      <c r="E65" s="826"/>
      <c r="F65" s="826"/>
    </row>
    <row r="66" spans="5:6">
      <c r="E66" s="826"/>
      <c r="F66" s="826"/>
    </row>
    <row r="67" spans="5:6">
      <c r="E67" s="826"/>
      <c r="F67" s="826"/>
    </row>
    <row r="68" spans="5:6">
      <c r="E68" s="826"/>
      <c r="F68" s="826"/>
    </row>
    <row r="69" spans="5:6">
      <c r="E69" s="826"/>
      <c r="F69" s="826"/>
    </row>
    <row r="70" spans="5:6">
      <c r="E70" s="826"/>
      <c r="F70" s="826"/>
    </row>
    <row r="71" spans="5:6">
      <c r="E71" s="826"/>
      <c r="F71" s="826"/>
    </row>
    <row r="72" spans="5:6">
      <c r="E72" s="826"/>
      <c r="F72" s="826"/>
    </row>
    <row r="73" spans="5:6">
      <c r="E73" s="826"/>
      <c r="F73" s="826"/>
    </row>
    <row r="74" spans="5:6">
      <c r="E74" s="826"/>
      <c r="F74" s="826"/>
    </row>
    <row r="75" spans="5:6">
      <c r="E75" s="826"/>
      <c r="F75" s="826"/>
    </row>
    <row r="76" spans="5:6">
      <c r="E76" s="826"/>
      <c r="F76" s="826"/>
    </row>
    <row r="77" spans="5:6">
      <c r="E77" s="826"/>
      <c r="F77" s="826"/>
    </row>
    <row r="78" spans="5:6">
      <c r="E78" s="826"/>
      <c r="F78" s="826"/>
    </row>
    <row r="79" spans="5:6">
      <c r="E79" s="826"/>
      <c r="F79" s="826"/>
    </row>
    <row r="80" spans="5:6">
      <c r="E80" s="826"/>
      <c r="F80" s="826"/>
    </row>
    <row r="81" spans="5:6">
      <c r="E81" s="826"/>
      <c r="F81" s="826"/>
    </row>
    <row r="82" spans="5:6">
      <c r="E82" s="826"/>
      <c r="F82" s="826"/>
    </row>
    <row r="83" spans="5:6">
      <c r="E83" s="826"/>
      <c r="F83" s="826"/>
    </row>
    <row r="84" spans="5:6">
      <c r="E84" s="826"/>
      <c r="F84" s="826"/>
    </row>
    <row r="85" spans="5:6">
      <c r="E85" s="826"/>
      <c r="F85" s="826"/>
    </row>
    <row r="86" spans="5:6">
      <c r="E86" s="826"/>
      <c r="F86" s="826"/>
    </row>
    <row r="87" spans="5:6">
      <c r="E87" s="826"/>
      <c r="F87" s="826"/>
    </row>
    <row r="88" spans="5:6">
      <c r="E88" s="826"/>
      <c r="F88" s="826"/>
    </row>
    <row r="89" spans="5:6">
      <c r="E89" s="826"/>
      <c r="F89" s="826"/>
    </row>
    <row r="90" spans="5:6">
      <c r="E90" s="826"/>
      <c r="F90" s="826"/>
    </row>
    <row r="91" spans="5:6">
      <c r="E91" s="826"/>
      <c r="F91" s="826"/>
    </row>
    <row r="92" spans="5:6">
      <c r="E92" s="826"/>
      <c r="F92" s="826"/>
    </row>
    <row r="93" spans="5:6">
      <c r="E93" s="826"/>
      <c r="F93" s="826"/>
    </row>
    <row r="94" spans="5:6">
      <c r="E94" s="826"/>
      <c r="F94" s="826"/>
    </row>
    <row r="95" spans="5:6">
      <c r="E95" s="826"/>
      <c r="F95" s="826"/>
    </row>
    <row r="96" spans="5:6">
      <c r="E96" s="826"/>
      <c r="F96" s="826"/>
    </row>
    <row r="97" spans="5:6">
      <c r="E97" s="826"/>
      <c r="F97" s="826"/>
    </row>
    <row r="98" spans="5:6">
      <c r="E98" s="826"/>
      <c r="F98" s="826"/>
    </row>
    <row r="99" spans="5:6">
      <c r="E99" s="826"/>
      <c r="F99" s="826"/>
    </row>
    <row r="100" spans="5:6">
      <c r="E100" s="826"/>
      <c r="F100" s="826"/>
    </row>
    <row r="101" spans="5:6">
      <c r="E101" s="826"/>
      <c r="F101" s="826"/>
    </row>
    <row r="102" spans="5:6">
      <c r="E102" s="826"/>
      <c r="F102" s="826"/>
    </row>
    <row r="103" spans="5:6">
      <c r="E103" s="826"/>
      <c r="F103" s="826"/>
    </row>
    <row r="104" spans="5:6">
      <c r="E104" s="826"/>
      <c r="F104" s="826"/>
    </row>
    <row r="105" spans="5:6">
      <c r="E105" s="826"/>
      <c r="F105" s="826"/>
    </row>
    <row r="106" spans="5:6">
      <c r="E106" s="826"/>
      <c r="F106" s="826"/>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Mensual-Octubre 2020
INFSGI-MES-10-2020
12/11/2020
Versión: 01</oddHeader>
    <oddFooter>&amp;L&amp;7COES, 2020&amp;C27&amp;R&amp;7Dirección Ejecutiva
Sub Dirección de Gestión de Información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4"/>
    <pageSetUpPr fitToPage="1"/>
  </sheetPr>
  <dimension ref="A1:W69"/>
  <sheetViews>
    <sheetView showGridLines="0" view="pageBreakPreview" zoomScaleNormal="100" zoomScaleSheetLayoutView="100" zoomScalePageLayoutView="145" workbookViewId="0">
      <selection activeCell="O14" sqref="O14"/>
    </sheetView>
  </sheetViews>
  <sheetFormatPr defaultColWidth="9.33203125" defaultRowHeight="11.25"/>
  <cols>
    <col min="1" max="1" width="7.5" style="46" customWidth="1"/>
    <col min="2" max="9" width="9.33203125" style="46"/>
    <col min="10" max="11" width="9.33203125" style="46" customWidth="1"/>
    <col min="12" max="12" width="10.33203125" style="46" customWidth="1"/>
    <col min="13" max="13" width="9.33203125" style="46"/>
    <col min="14" max="14" width="9.33203125" style="281"/>
    <col min="15" max="16" width="10.1640625" style="307" bestFit="1" customWidth="1"/>
    <col min="17" max="17" width="11.5" style="307" customWidth="1"/>
    <col min="18" max="23" width="9.33203125" style="307"/>
    <col min="24" max="16384" width="9.33203125" style="46"/>
  </cols>
  <sheetData>
    <row r="1" spans="1:17" ht="27.75" customHeight="1">
      <c r="A1" s="882" t="s">
        <v>22</v>
      </c>
      <c r="B1" s="882"/>
      <c r="C1" s="882"/>
      <c r="D1" s="882"/>
      <c r="E1" s="882"/>
      <c r="F1" s="882"/>
      <c r="G1" s="882"/>
      <c r="H1" s="882"/>
      <c r="I1" s="882"/>
      <c r="J1" s="882"/>
      <c r="K1" s="882"/>
      <c r="L1" s="882"/>
      <c r="M1" s="882"/>
      <c r="N1" s="280"/>
      <c r="O1" s="306"/>
      <c r="P1" s="306"/>
      <c r="Q1" s="306"/>
    </row>
    <row r="2" spans="1:17" ht="11.25" customHeight="1">
      <c r="A2" s="41"/>
      <c r="B2" s="40"/>
      <c r="C2" s="65"/>
      <c r="D2" s="65"/>
      <c r="E2" s="65"/>
      <c r="F2" s="65"/>
      <c r="G2" s="65"/>
      <c r="H2" s="65"/>
      <c r="I2" s="65"/>
      <c r="J2" s="65"/>
      <c r="K2" s="40"/>
      <c r="L2" s="40"/>
      <c r="M2" s="40"/>
      <c r="N2" s="280"/>
      <c r="O2" s="306"/>
      <c r="P2" s="306"/>
      <c r="Q2" s="306"/>
    </row>
    <row r="3" spans="1:17" ht="21.75" customHeight="1">
      <c r="A3" s="40"/>
      <c r="B3" s="42"/>
      <c r="C3" s="889" t="str">
        <f>+UPPER(Q4)&amp;" "&amp;Q5</f>
        <v>OCTUBRE 2020</v>
      </c>
      <c r="D3" s="882"/>
      <c r="E3" s="882"/>
      <c r="F3" s="882"/>
      <c r="G3" s="882"/>
      <c r="H3" s="882"/>
      <c r="I3" s="882"/>
      <c r="J3" s="882"/>
      <c r="K3" s="40"/>
      <c r="L3" s="40"/>
      <c r="M3" s="40"/>
      <c r="N3" s="280"/>
      <c r="O3" s="306"/>
      <c r="P3" s="306"/>
      <c r="Q3" s="306"/>
    </row>
    <row r="4" spans="1:17" ht="11.25" customHeight="1">
      <c r="A4" s="40"/>
      <c r="B4" s="42"/>
      <c r="C4" s="40"/>
      <c r="D4" s="40"/>
      <c r="E4" s="40"/>
      <c r="F4" s="40"/>
      <c r="G4" s="40"/>
      <c r="H4" s="40"/>
      <c r="I4" s="40"/>
      <c r="J4" s="40"/>
      <c r="K4" s="40"/>
      <c r="L4" s="40"/>
      <c r="M4" s="40"/>
      <c r="N4" s="282"/>
      <c r="O4" s="308"/>
      <c r="P4" s="306" t="s">
        <v>212</v>
      </c>
      <c r="Q4" s="309" t="s">
        <v>590</v>
      </c>
    </row>
    <row r="5" spans="1:17" ht="11.25" customHeight="1">
      <c r="A5" s="47"/>
      <c r="B5" s="48"/>
      <c r="C5" s="49"/>
      <c r="D5" s="49"/>
      <c r="E5" s="49"/>
      <c r="F5" s="49"/>
      <c r="G5" s="49"/>
      <c r="H5" s="49"/>
      <c r="I5" s="49"/>
      <c r="J5" s="49"/>
      <c r="K5" s="49"/>
      <c r="L5" s="49"/>
      <c r="M5" s="40"/>
      <c r="N5" s="282"/>
      <c r="O5" s="308"/>
      <c r="P5" s="306" t="s">
        <v>213</v>
      </c>
      <c r="Q5" s="308">
        <v>2020</v>
      </c>
    </row>
    <row r="6" spans="1:17" ht="17.25" customHeight="1">
      <c r="A6" s="60" t="s">
        <v>401</v>
      </c>
      <c r="B6" s="40"/>
      <c r="C6" s="40"/>
      <c r="D6" s="40"/>
      <c r="E6" s="40"/>
      <c r="F6" s="40"/>
      <c r="G6" s="40"/>
      <c r="H6" s="40"/>
      <c r="I6" s="40"/>
      <c r="J6" s="40"/>
      <c r="K6" s="40"/>
      <c r="L6" s="40"/>
      <c r="M6" s="40"/>
      <c r="N6" s="280"/>
      <c r="O6" s="306"/>
      <c r="P6" s="306"/>
      <c r="Q6" s="315">
        <v>44105</v>
      </c>
    </row>
    <row r="7" spans="1:17" ht="11.25" customHeight="1">
      <c r="A7" s="40"/>
      <c r="B7" s="40"/>
      <c r="C7" s="40"/>
      <c r="D7" s="40"/>
      <c r="E7" s="40"/>
      <c r="F7" s="40"/>
      <c r="G7" s="40"/>
      <c r="H7" s="40"/>
      <c r="I7" s="40"/>
      <c r="J7" s="40"/>
      <c r="K7" s="40"/>
      <c r="L7" s="40"/>
      <c r="M7" s="40"/>
      <c r="N7" s="280"/>
      <c r="O7" s="306"/>
      <c r="P7" s="306"/>
      <c r="Q7" s="306">
        <v>31</v>
      </c>
    </row>
    <row r="8" spans="1:17" ht="11.25" customHeight="1">
      <c r="A8" s="43"/>
      <c r="B8" s="43"/>
      <c r="C8" s="43"/>
      <c r="D8" s="43"/>
      <c r="E8" s="43"/>
      <c r="F8" s="43"/>
      <c r="G8" s="43"/>
      <c r="H8" s="43"/>
      <c r="I8" s="43"/>
      <c r="J8" s="43"/>
      <c r="K8" s="43"/>
      <c r="L8" s="43"/>
      <c r="M8" s="43"/>
      <c r="N8" s="283"/>
      <c r="O8" s="310"/>
      <c r="P8" s="310"/>
      <c r="Q8" s="310"/>
    </row>
    <row r="9" spans="1:17" ht="14.25" customHeight="1">
      <c r="A9" s="40" t="str">
        <f>"1.1. Producción de energía eléctrica en "&amp;LOWER(Q4)&amp;" "&amp;Q5&amp;" en comparación al mismo mes del año anterior"</f>
        <v>1.1. Producción de energía eléctrica en octubre 2020 en comparación al mismo mes del año anterior</v>
      </c>
      <c r="B9" s="40"/>
      <c r="C9" s="40"/>
      <c r="D9" s="40"/>
      <c r="E9" s="40"/>
      <c r="F9" s="40"/>
      <c r="G9" s="40"/>
      <c r="H9" s="40"/>
      <c r="I9" s="40"/>
      <c r="J9" s="40"/>
      <c r="K9" s="40"/>
      <c r="L9" s="40"/>
      <c r="M9" s="40"/>
      <c r="N9" s="280"/>
      <c r="O9" s="306"/>
      <c r="P9" s="306"/>
      <c r="Q9" s="306"/>
    </row>
    <row r="10" spans="1:17" ht="11.25" customHeight="1">
      <c r="A10" s="47"/>
      <c r="B10" s="44"/>
      <c r="C10" s="44"/>
      <c r="D10" s="44"/>
      <c r="E10" s="44"/>
      <c r="F10" s="44"/>
      <c r="G10" s="44"/>
      <c r="H10" s="44"/>
      <c r="I10" s="44"/>
      <c r="J10" s="44"/>
      <c r="K10" s="44"/>
      <c r="L10" s="44"/>
      <c r="M10" s="44"/>
      <c r="N10" s="282"/>
      <c r="O10" s="308"/>
      <c r="P10" s="308"/>
      <c r="Q10" s="308"/>
    </row>
    <row r="11" spans="1:17" ht="11.25" customHeight="1">
      <c r="A11" s="50"/>
      <c r="B11" s="50"/>
      <c r="C11" s="50"/>
      <c r="D11" s="50"/>
      <c r="E11" s="50"/>
      <c r="F11" s="50"/>
      <c r="G11" s="50"/>
      <c r="H11" s="50"/>
      <c r="I11" s="50"/>
      <c r="J11" s="50"/>
      <c r="K11" s="50"/>
      <c r="L11" s="50"/>
      <c r="M11" s="50"/>
      <c r="N11" s="284"/>
      <c r="O11" s="311"/>
      <c r="P11" s="311"/>
      <c r="Q11" s="311"/>
    </row>
    <row r="12" spans="1:17" ht="26.25" customHeight="1">
      <c r="A12" s="62" t="s">
        <v>23</v>
      </c>
      <c r="B12" s="888" t="s">
        <v>687</v>
      </c>
      <c r="C12" s="888"/>
      <c r="D12" s="888"/>
      <c r="E12" s="888"/>
      <c r="F12" s="888"/>
      <c r="G12" s="888"/>
      <c r="H12" s="888"/>
      <c r="I12" s="888"/>
      <c r="J12" s="888"/>
      <c r="K12" s="888"/>
      <c r="L12" s="888"/>
      <c r="M12" s="888"/>
      <c r="N12" s="282"/>
      <c r="O12" s="308"/>
      <c r="P12" s="308"/>
      <c r="Q12" s="308"/>
    </row>
    <row r="13" spans="1:17" ht="12.75" customHeight="1">
      <c r="A13" s="40"/>
      <c r="B13" s="64"/>
      <c r="C13" s="64"/>
      <c r="D13" s="64"/>
      <c r="E13" s="64"/>
      <c r="F13" s="64"/>
      <c r="G13" s="64"/>
      <c r="H13" s="64"/>
      <c r="I13" s="64"/>
      <c r="J13" s="64"/>
      <c r="K13" s="64"/>
      <c r="L13" s="64"/>
      <c r="M13" s="44"/>
      <c r="N13" s="282"/>
      <c r="O13" s="308"/>
      <c r="P13" s="308"/>
      <c r="Q13" s="308"/>
    </row>
    <row r="14" spans="1:17" ht="28.5" customHeight="1">
      <c r="A14" s="62" t="s">
        <v>23</v>
      </c>
      <c r="B14" s="888" t="s">
        <v>688</v>
      </c>
      <c r="C14" s="888"/>
      <c r="D14" s="888"/>
      <c r="E14" s="888"/>
      <c r="F14" s="888"/>
      <c r="G14" s="888"/>
      <c r="H14" s="888"/>
      <c r="I14" s="888"/>
      <c r="J14" s="888"/>
      <c r="K14" s="888"/>
      <c r="L14" s="888"/>
      <c r="M14" s="888"/>
      <c r="N14" s="282"/>
      <c r="O14" s="308"/>
      <c r="P14" s="308"/>
      <c r="Q14" s="308"/>
    </row>
    <row r="15" spans="1:17" ht="15" customHeight="1">
      <c r="A15" s="63"/>
      <c r="B15" s="64"/>
      <c r="C15" s="64"/>
      <c r="D15" s="64"/>
      <c r="E15" s="64"/>
      <c r="F15" s="64"/>
      <c r="G15" s="64"/>
      <c r="H15" s="64"/>
      <c r="I15" s="64"/>
      <c r="J15" s="64"/>
      <c r="K15" s="64"/>
      <c r="L15" s="64"/>
      <c r="M15" s="44"/>
      <c r="N15" s="282"/>
      <c r="O15" s="308"/>
      <c r="P15" s="308"/>
      <c r="Q15" s="308"/>
    </row>
    <row r="16" spans="1:17" ht="59.25" customHeight="1">
      <c r="A16" s="62" t="s">
        <v>23</v>
      </c>
      <c r="B16" s="888" t="s">
        <v>689</v>
      </c>
      <c r="C16" s="888"/>
      <c r="D16" s="888"/>
      <c r="E16" s="888"/>
      <c r="F16" s="888"/>
      <c r="G16" s="888"/>
      <c r="H16" s="888"/>
      <c r="I16" s="888"/>
      <c r="J16" s="888"/>
      <c r="K16" s="888"/>
      <c r="L16" s="888"/>
      <c r="M16" s="888"/>
      <c r="N16" s="282"/>
      <c r="O16" s="308"/>
      <c r="P16" s="308"/>
      <c r="Q16" s="308"/>
    </row>
    <row r="17" spans="1:18" ht="17.25" customHeight="1">
      <c r="A17" s="44"/>
      <c r="B17" s="44"/>
      <c r="C17" s="44"/>
      <c r="D17" s="44"/>
      <c r="E17" s="44"/>
      <c r="F17" s="44"/>
      <c r="G17" s="44"/>
      <c r="H17" s="44"/>
      <c r="I17" s="44"/>
      <c r="J17" s="44"/>
      <c r="K17" s="44"/>
      <c r="L17" s="44"/>
      <c r="M17" s="44"/>
      <c r="N17" s="282"/>
      <c r="O17" s="308"/>
      <c r="P17" s="308"/>
      <c r="Q17" s="308"/>
    </row>
    <row r="18" spans="1:18" ht="25.5" customHeight="1">
      <c r="A18" s="61" t="s">
        <v>23</v>
      </c>
      <c r="B18" s="887" t="s">
        <v>690</v>
      </c>
      <c r="C18" s="887"/>
      <c r="D18" s="887"/>
      <c r="E18" s="887"/>
      <c r="F18" s="887"/>
      <c r="G18" s="887"/>
      <c r="H18" s="887"/>
      <c r="I18" s="887"/>
      <c r="J18" s="887"/>
      <c r="K18" s="887"/>
      <c r="L18" s="887"/>
      <c r="M18" s="887"/>
      <c r="N18" s="282"/>
      <c r="O18" s="308"/>
      <c r="P18" s="308"/>
      <c r="Q18" s="308"/>
    </row>
    <row r="19" spans="1:18" ht="11.25" customHeight="1">
      <c r="A19" s="44"/>
      <c r="B19" s="44"/>
      <c r="C19" s="44"/>
      <c r="D19" s="44"/>
      <c r="E19" s="44"/>
      <c r="F19" s="44"/>
      <c r="G19" s="44"/>
      <c r="H19" s="44"/>
      <c r="I19" s="44"/>
      <c r="J19" s="44"/>
      <c r="K19" s="44"/>
      <c r="L19" s="44"/>
      <c r="M19" s="44"/>
      <c r="N19" s="282"/>
      <c r="O19" s="308"/>
      <c r="P19" s="308"/>
      <c r="Q19" s="308"/>
    </row>
    <row r="20" spans="1:18" ht="15.75" customHeight="1">
      <c r="A20" s="44"/>
      <c r="B20" s="44"/>
      <c r="C20" s="886" t="str">
        <f>+UPPER(Q4)&amp;" "&amp;Q5</f>
        <v>OCTUBRE 2020</v>
      </c>
      <c r="D20" s="886"/>
      <c r="E20" s="886"/>
      <c r="F20" s="40"/>
      <c r="G20" s="40"/>
      <c r="H20" s="40"/>
      <c r="I20" s="886" t="str">
        <f>+UPPER(Q4)&amp;" "&amp;Q5-1</f>
        <v>OCTUBRE 2019</v>
      </c>
      <c r="J20" s="886"/>
      <c r="K20" s="886"/>
      <c r="L20" s="44"/>
      <c r="M20" s="44"/>
      <c r="Q20" s="308"/>
    </row>
    <row r="21" spans="1:18" ht="11.25" customHeight="1">
      <c r="A21" s="44"/>
      <c r="B21" s="44"/>
      <c r="C21" s="44"/>
      <c r="D21" s="44"/>
      <c r="E21" s="44"/>
      <c r="F21" s="44"/>
      <c r="G21" s="44"/>
      <c r="H21" s="44"/>
      <c r="I21" s="44"/>
      <c r="J21" s="44"/>
      <c r="K21" s="44"/>
      <c r="L21" s="44"/>
      <c r="M21" s="44"/>
      <c r="Q21" s="308"/>
    </row>
    <row r="22" spans="1:18" ht="11.25" customHeight="1">
      <c r="A22" s="51"/>
      <c r="B22" s="52"/>
      <c r="C22" s="52"/>
      <c r="D22" s="52"/>
      <c r="E22" s="52"/>
      <c r="F22" s="52"/>
      <c r="G22" s="52"/>
      <c r="H22" s="52"/>
      <c r="I22" s="52"/>
      <c r="J22" s="52"/>
      <c r="K22" s="52"/>
      <c r="L22" s="52"/>
      <c r="M22" s="52"/>
      <c r="N22" s="340" t="s">
        <v>31</v>
      </c>
      <c r="O22" s="735"/>
      <c r="P22" s="735"/>
    </row>
    <row r="23" spans="1:18" ht="11.25" customHeight="1">
      <c r="A23" s="51"/>
      <c r="B23" s="52"/>
      <c r="C23" s="52"/>
      <c r="D23" s="52"/>
      <c r="E23" s="52"/>
      <c r="F23" s="52"/>
      <c r="G23" s="52"/>
      <c r="H23" s="52"/>
      <c r="I23" s="52"/>
      <c r="J23" s="52"/>
      <c r="K23" s="52"/>
      <c r="L23" s="52"/>
      <c r="M23" s="52"/>
      <c r="N23" s="340" t="s">
        <v>24</v>
      </c>
      <c r="O23" s="736">
        <v>2050.4873854824996</v>
      </c>
      <c r="P23" s="736">
        <v>2126.1102036450002</v>
      </c>
      <c r="Q23" s="313"/>
    </row>
    <row r="24" spans="1:18" ht="11.25" customHeight="1">
      <c r="A24" s="44"/>
      <c r="B24" s="44"/>
      <c r="C24" s="44"/>
      <c r="D24" s="44"/>
      <c r="E24" s="43"/>
      <c r="F24" s="44"/>
      <c r="G24" s="44"/>
      <c r="H24" s="44"/>
      <c r="I24" s="44"/>
      <c r="J24" s="44"/>
      <c r="K24" s="44"/>
      <c r="L24" s="44"/>
      <c r="M24" s="43"/>
      <c r="N24" s="341" t="s">
        <v>25</v>
      </c>
      <c r="O24" s="737">
        <v>2087.9096773200004</v>
      </c>
      <c r="P24" s="737">
        <v>2074.23717308</v>
      </c>
      <c r="Q24" s="312"/>
      <c r="R24" s="312"/>
    </row>
    <row r="25" spans="1:18" ht="11.25" customHeight="1">
      <c r="A25" s="44"/>
      <c r="B25" s="44"/>
      <c r="C25" s="44"/>
      <c r="D25" s="44"/>
      <c r="E25" s="44"/>
      <c r="F25" s="44"/>
      <c r="G25" s="44"/>
      <c r="H25" s="44"/>
      <c r="I25" s="44"/>
      <c r="J25" s="53"/>
      <c r="K25" s="53"/>
      <c r="L25" s="44"/>
      <c r="M25" s="44"/>
      <c r="N25" s="341" t="s">
        <v>26</v>
      </c>
      <c r="O25" s="737">
        <v>8.6402158400000015</v>
      </c>
      <c r="P25" s="737">
        <v>8.6008893574999998</v>
      </c>
      <c r="Q25" s="314"/>
    </row>
    <row r="26" spans="1:18" ht="11.25" customHeight="1">
      <c r="A26" s="44"/>
      <c r="B26" s="44"/>
      <c r="C26" s="44"/>
      <c r="D26" s="44"/>
      <c r="E26" s="44"/>
      <c r="F26" s="44"/>
      <c r="G26" s="44"/>
      <c r="H26" s="44"/>
      <c r="I26" s="44"/>
      <c r="J26" s="53"/>
      <c r="K26" s="53"/>
      <c r="L26" s="44"/>
      <c r="M26" s="44"/>
      <c r="N26" s="340" t="s">
        <v>27</v>
      </c>
      <c r="O26" s="736">
        <v>32.195152377499994</v>
      </c>
      <c r="P26" s="736">
        <v>8.3248968874999996</v>
      </c>
      <c r="Q26" s="314"/>
    </row>
    <row r="27" spans="1:18" ht="11.25" customHeight="1">
      <c r="A27" s="44"/>
      <c r="B27" s="44"/>
      <c r="C27" s="44"/>
      <c r="D27" s="44"/>
      <c r="E27" s="44"/>
      <c r="F27" s="44"/>
      <c r="G27" s="44"/>
      <c r="H27" s="44"/>
      <c r="I27" s="44"/>
      <c r="J27" s="53"/>
      <c r="K27" s="44"/>
      <c r="L27" s="44"/>
      <c r="M27" s="44"/>
      <c r="N27" s="340" t="s">
        <v>28</v>
      </c>
      <c r="O27" s="736">
        <v>37.041886327499995</v>
      </c>
      <c r="P27" s="736">
        <v>26.186359665000001</v>
      </c>
      <c r="Q27" s="314"/>
    </row>
    <row r="28" spans="1:18" ht="11.25" customHeight="1">
      <c r="A28" s="44"/>
      <c r="B28" s="44"/>
      <c r="C28" s="53"/>
      <c r="D28" s="53"/>
      <c r="E28" s="53"/>
      <c r="F28" s="53"/>
      <c r="G28" s="53"/>
      <c r="H28" s="53"/>
      <c r="I28" s="53"/>
      <c r="J28" s="53"/>
      <c r="K28" s="53"/>
      <c r="L28" s="44"/>
      <c r="M28" s="44"/>
      <c r="N28" s="340" t="s">
        <v>29</v>
      </c>
      <c r="O28" s="736">
        <v>172.07044422999999</v>
      </c>
      <c r="P28" s="736">
        <v>162.04094952</v>
      </c>
      <c r="Q28" s="314"/>
    </row>
    <row r="29" spans="1:18" ht="11.25" customHeight="1">
      <c r="A29" s="44"/>
      <c r="B29" s="44"/>
      <c r="C29" s="53"/>
      <c r="D29" s="53"/>
      <c r="E29" s="53"/>
      <c r="F29" s="53"/>
      <c r="G29" s="53"/>
      <c r="H29" s="53"/>
      <c r="I29" s="53"/>
      <c r="J29" s="53"/>
      <c r="K29" s="53"/>
      <c r="L29" s="44"/>
      <c r="M29" s="44"/>
      <c r="N29" s="340" t="s">
        <v>30</v>
      </c>
      <c r="O29" s="736">
        <v>76.332032090000013</v>
      </c>
      <c r="P29" s="736">
        <v>77.070130602500001</v>
      </c>
      <c r="Q29" s="314"/>
    </row>
    <row r="30" spans="1:18" ht="11.25" customHeight="1">
      <c r="A30" s="44"/>
      <c r="B30" s="44"/>
      <c r="C30" s="53"/>
      <c r="D30" s="53"/>
      <c r="E30" s="53"/>
      <c r="F30" s="53"/>
      <c r="G30" s="53"/>
      <c r="H30" s="53"/>
      <c r="I30" s="53"/>
      <c r="J30" s="53"/>
      <c r="K30" s="53"/>
      <c r="L30" s="44"/>
      <c r="M30" s="44"/>
      <c r="N30" s="340"/>
      <c r="O30" s="314"/>
      <c r="P30" s="314"/>
      <c r="Q30" s="314"/>
    </row>
    <row r="31" spans="1:18" ht="11.25" customHeight="1">
      <c r="A31" s="44"/>
      <c r="B31" s="44"/>
      <c r="C31" s="53"/>
      <c r="D31" s="53"/>
      <c r="E31" s="53"/>
      <c r="F31" s="53"/>
      <c r="G31" s="53"/>
      <c r="H31" s="53"/>
      <c r="I31" s="53"/>
      <c r="J31" s="53"/>
      <c r="K31" s="53"/>
      <c r="L31" s="44"/>
      <c r="M31" s="44"/>
      <c r="O31" s="362"/>
      <c r="P31" s="362"/>
      <c r="Q31" s="363"/>
    </row>
    <row r="32" spans="1:18" ht="11.25" customHeight="1">
      <c r="A32" s="44"/>
      <c r="B32" s="44"/>
      <c r="C32" s="53"/>
      <c r="D32" s="53"/>
      <c r="E32" s="53"/>
      <c r="F32" s="53"/>
      <c r="G32" s="53"/>
      <c r="H32" s="53"/>
      <c r="I32" s="53"/>
      <c r="J32" s="53"/>
      <c r="K32" s="53"/>
      <c r="L32" s="44"/>
      <c r="M32" s="44"/>
      <c r="Q32" s="308"/>
    </row>
    <row r="33" spans="1:17" ht="11.25" customHeight="1">
      <c r="A33" s="44"/>
      <c r="B33" s="44"/>
      <c r="C33" s="53"/>
      <c r="D33" s="53"/>
      <c r="E33" s="53"/>
      <c r="F33" s="53"/>
      <c r="G33" s="53"/>
      <c r="H33" s="53"/>
      <c r="I33" s="53"/>
      <c r="J33" s="53"/>
      <c r="K33" s="53"/>
      <c r="L33" s="44"/>
      <c r="M33" s="44"/>
      <c r="Q33" s="308"/>
    </row>
    <row r="34" spans="1:17" ht="11.25" customHeight="1">
      <c r="A34" s="44"/>
      <c r="B34" s="44"/>
      <c r="C34" s="53"/>
      <c r="D34" s="53"/>
      <c r="E34" s="53"/>
      <c r="F34" s="53"/>
      <c r="G34" s="53"/>
      <c r="H34" s="53"/>
      <c r="I34" s="53"/>
      <c r="J34" s="53"/>
      <c r="K34" s="53"/>
      <c r="L34" s="44"/>
      <c r="M34" s="44"/>
      <c r="Q34" s="308"/>
    </row>
    <row r="35" spans="1:17" ht="11.25" customHeight="1">
      <c r="A35" s="54"/>
      <c r="B35" s="54"/>
      <c r="C35" s="55"/>
      <c r="D35" s="55"/>
      <c r="E35" s="55"/>
      <c r="F35" s="55"/>
      <c r="G35" s="55"/>
      <c r="H35" s="55"/>
      <c r="I35" s="55"/>
      <c r="J35" s="54"/>
      <c r="K35" s="54"/>
      <c r="L35" s="54"/>
      <c r="M35" s="54"/>
      <c r="Q35" s="308"/>
    </row>
    <row r="36" spans="1:17" ht="11.25" customHeight="1">
      <c r="A36" s="54"/>
      <c r="B36" s="54"/>
      <c r="C36" s="55"/>
      <c r="D36" s="55"/>
      <c r="E36" s="55"/>
      <c r="F36" s="55"/>
      <c r="G36" s="55"/>
      <c r="H36" s="55"/>
      <c r="I36" s="55"/>
      <c r="J36" s="54"/>
      <c r="K36" s="54"/>
      <c r="L36" s="54"/>
      <c r="M36" s="54"/>
      <c r="Q36" s="308"/>
    </row>
    <row r="37" spans="1:17" ht="11.25" customHeight="1">
      <c r="A37" s="54"/>
      <c r="B37" s="54"/>
      <c r="C37" s="55"/>
      <c r="D37" s="55"/>
      <c r="E37" s="55"/>
      <c r="F37" s="55"/>
      <c r="G37" s="55"/>
      <c r="H37" s="55"/>
      <c r="I37" s="55"/>
      <c r="J37" s="54"/>
      <c r="K37" s="54"/>
      <c r="L37" s="54"/>
      <c r="M37" s="54"/>
      <c r="N37" s="282"/>
      <c r="O37" s="308"/>
      <c r="P37" s="308"/>
      <c r="Q37" s="308"/>
    </row>
    <row r="38" spans="1:17" ht="11.25" customHeight="1">
      <c r="A38" s="54"/>
      <c r="B38" s="54"/>
      <c r="C38" s="55"/>
      <c r="D38" s="55"/>
      <c r="E38" s="55"/>
      <c r="F38" s="55"/>
      <c r="G38" s="55"/>
      <c r="H38" s="55"/>
      <c r="I38" s="55"/>
      <c r="J38" s="54"/>
      <c r="K38" s="54"/>
      <c r="L38" s="54"/>
      <c r="M38" s="54"/>
      <c r="N38" s="282"/>
      <c r="O38" s="308"/>
      <c r="P38" s="308"/>
      <c r="Q38" s="308"/>
    </row>
    <row r="39" spans="1:17" ht="11.25" customHeight="1">
      <c r="A39" s="54"/>
      <c r="B39" s="54"/>
      <c r="C39" s="55"/>
      <c r="D39" s="55"/>
      <c r="E39" s="55"/>
      <c r="F39" s="55"/>
      <c r="G39" s="55"/>
      <c r="H39" s="55"/>
      <c r="I39" s="55"/>
      <c r="J39" s="54"/>
      <c r="K39" s="54"/>
      <c r="L39" s="54"/>
      <c r="M39" s="54"/>
      <c r="N39" s="282"/>
      <c r="O39" s="308"/>
      <c r="P39" s="308"/>
      <c r="Q39" s="308"/>
    </row>
    <row r="40" spans="1:17" ht="11.25" customHeight="1">
      <c r="A40" s="54"/>
      <c r="B40" s="54"/>
      <c r="C40" s="55"/>
      <c r="D40" s="55"/>
      <c r="E40" s="55"/>
      <c r="F40" s="55"/>
      <c r="G40" s="55"/>
      <c r="H40" s="55"/>
      <c r="I40" s="55"/>
      <c r="J40" s="54"/>
      <c r="K40" s="54"/>
      <c r="L40" s="54"/>
      <c r="M40" s="54"/>
      <c r="N40" s="282"/>
      <c r="O40" s="308"/>
      <c r="P40" s="308"/>
      <c r="Q40" s="308"/>
    </row>
    <row r="41" spans="1:17" ht="11.25" customHeight="1">
      <c r="A41" s="54"/>
      <c r="B41" s="54"/>
      <c r="C41" s="54"/>
      <c r="D41" s="55"/>
      <c r="E41" s="55"/>
      <c r="F41" s="55"/>
      <c r="G41" s="55"/>
      <c r="H41" s="54"/>
      <c r="I41" s="54"/>
      <c r="J41" s="54"/>
      <c r="K41" s="54"/>
      <c r="L41" s="54"/>
      <c r="M41" s="54"/>
      <c r="N41" s="282"/>
      <c r="O41" s="308"/>
      <c r="P41" s="308"/>
      <c r="Q41" s="308"/>
    </row>
    <row r="42" spans="1:17" ht="11.25" customHeight="1">
      <c r="A42" s="54"/>
      <c r="B42" s="54"/>
      <c r="C42" s="55"/>
      <c r="D42" s="55"/>
      <c r="E42" s="55"/>
      <c r="F42" s="55"/>
      <c r="G42" s="55"/>
      <c r="H42" s="55"/>
      <c r="I42" s="55"/>
      <c r="J42" s="54"/>
      <c r="K42" s="54"/>
      <c r="L42" s="54"/>
      <c r="M42" s="54"/>
      <c r="N42" s="282"/>
      <c r="O42" s="308"/>
      <c r="P42" s="308"/>
      <c r="Q42" s="308"/>
    </row>
    <row r="43" spans="1:17" ht="11.25" customHeight="1">
      <c r="A43" s="54"/>
      <c r="B43" s="54"/>
      <c r="C43" s="55"/>
      <c r="D43" s="55"/>
      <c r="E43" s="55"/>
      <c r="F43" s="55"/>
      <c r="G43" s="55"/>
      <c r="H43" s="55"/>
      <c r="I43" s="55"/>
      <c r="J43" s="54"/>
      <c r="K43" s="54"/>
      <c r="L43" s="54"/>
      <c r="M43" s="54"/>
      <c r="N43" s="282"/>
      <c r="O43" s="308"/>
      <c r="P43" s="308"/>
      <c r="Q43" s="308"/>
    </row>
    <row r="44" spans="1:17" ht="11.25" customHeight="1">
      <c r="A44" s="54"/>
      <c r="B44" s="54"/>
      <c r="C44" s="55"/>
      <c r="D44" s="55"/>
      <c r="E44" s="55"/>
      <c r="F44" s="55"/>
      <c r="G44" s="55"/>
      <c r="H44" s="55"/>
      <c r="I44" s="55"/>
      <c r="J44" s="54"/>
      <c r="K44" s="54"/>
      <c r="L44" s="54"/>
      <c r="M44" s="54"/>
      <c r="N44" s="282"/>
      <c r="O44" s="308"/>
      <c r="P44" s="308"/>
      <c r="Q44" s="308"/>
    </row>
    <row r="45" spans="1:17" ht="11.25" customHeight="1">
      <c r="A45" s="54"/>
      <c r="B45" s="54"/>
      <c r="C45" s="55"/>
      <c r="D45" s="55"/>
      <c r="E45" s="55"/>
      <c r="F45" s="55"/>
      <c r="G45" s="55"/>
      <c r="H45" s="55"/>
      <c r="I45" s="55"/>
      <c r="J45" s="54"/>
      <c r="K45" s="54"/>
      <c r="L45" s="54"/>
      <c r="M45" s="54"/>
      <c r="N45" s="282"/>
      <c r="O45" s="308"/>
      <c r="P45" s="308"/>
      <c r="Q45" s="308"/>
    </row>
    <row r="46" spans="1:17" ht="11.25" customHeight="1">
      <c r="A46" s="54"/>
      <c r="B46" s="54"/>
      <c r="C46" s="54"/>
      <c r="D46" s="54"/>
      <c r="E46" s="54"/>
      <c r="F46" s="54"/>
      <c r="G46" s="54"/>
      <c r="H46" s="54"/>
      <c r="I46" s="54"/>
      <c r="J46" s="54"/>
      <c r="K46" s="54"/>
      <c r="L46" s="54"/>
      <c r="M46" s="54"/>
      <c r="N46" s="282"/>
      <c r="O46" s="308"/>
      <c r="P46" s="308"/>
      <c r="Q46" s="308"/>
    </row>
    <row r="47" spans="1:17" ht="16.5" customHeight="1">
      <c r="A47" s="54"/>
      <c r="B47" s="885" t="str">
        <f>"Total = "&amp;TEXT(ROUND(SUM(O23:O29),2),"0 000,00")&amp;" GWh"</f>
        <v>Total = 4 464,68 GWh</v>
      </c>
      <c r="C47" s="885"/>
      <c r="D47" s="885"/>
      <c r="E47" s="885"/>
      <c r="F47" s="54"/>
      <c r="G47" s="54"/>
      <c r="H47" s="884" t="str">
        <f>"Total = "&amp;TEXT(ROUND(SUM(P23:P29),2),"0 000,00")&amp;" GWh"</f>
        <v>Total = 4 482,57 GWh</v>
      </c>
      <c r="I47" s="884"/>
      <c r="J47" s="884"/>
      <c r="K47" s="884"/>
      <c r="L47" s="54"/>
      <c r="M47" s="54"/>
      <c r="N47" s="282"/>
      <c r="O47" s="308"/>
      <c r="P47" s="308"/>
      <c r="Q47" s="308"/>
    </row>
    <row r="48" spans="1:17" ht="11.25" customHeight="1">
      <c r="H48" s="54"/>
      <c r="I48" s="54"/>
      <c r="J48" s="54"/>
      <c r="K48" s="54"/>
      <c r="L48" s="54"/>
      <c r="M48" s="54"/>
      <c r="N48" s="282"/>
      <c r="O48" s="308"/>
      <c r="P48" s="308"/>
      <c r="Q48" s="308"/>
    </row>
    <row r="49" spans="1:17" ht="11.25" customHeight="1">
      <c r="B49" s="883" t="str">
        <f>"Gráfico 1: Comparación de producción mensual de electricidad en "&amp;Q4&amp;" por tipo de recurso energético."</f>
        <v>Gráfico 1: Comparación de producción mensual de electricidad en octubre por tipo de recurso energético.</v>
      </c>
      <c r="C49" s="883"/>
      <c r="D49" s="883"/>
      <c r="E49" s="883"/>
      <c r="F49" s="883"/>
      <c r="G49" s="883"/>
      <c r="H49" s="883"/>
      <c r="I49" s="883"/>
      <c r="J49" s="883"/>
      <c r="K49" s="883"/>
      <c r="L49" s="883"/>
      <c r="M49" s="231"/>
      <c r="N49" s="285"/>
      <c r="O49" s="308"/>
      <c r="P49" s="308"/>
      <c r="Q49" s="308"/>
    </row>
    <row r="50" spans="1:17" ht="11.25" customHeight="1">
      <c r="B50" s="805"/>
      <c r="C50" s="805"/>
      <c r="D50" s="805"/>
      <c r="E50" s="805"/>
      <c r="F50" s="805"/>
      <c r="G50" s="805"/>
      <c r="H50" s="805"/>
      <c r="I50" s="805"/>
      <c r="J50" s="805"/>
      <c r="K50" s="805"/>
      <c r="L50" s="805"/>
      <c r="M50" s="231"/>
      <c r="N50" s="285"/>
      <c r="O50" s="308"/>
      <c r="P50" s="308"/>
      <c r="Q50" s="308"/>
    </row>
    <row r="51" spans="1:17" ht="21.75" customHeight="1">
      <c r="B51" s="880"/>
      <c r="C51" s="881"/>
      <c r="D51" s="881"/>
      <c r="E51" s="881"/>
      <c r="F51" s="881"/>
      <c r="G51" s="881"/>
      <c r="H51" s="881"/>
      <c r="I51" s="881"/>
      <c r="J51" s="881"/>
      <c r="K51" s="881"/>
      <c r="L51" s="881"/>
      <c r="M51" s="881"/>
      <c r="N51" s="285"/>
      <c r="O51" s="308"/>
      <c r="P51" s="308"/>
      <c r="Q51" s="308"/>
    </row>
    <row r="52" spans="1:17" ht="11.25" customHeight="1">
      <c r="A52" s="54"/>
      <c r="B52" s="54"/>
      <c r="C52" s="45"/>
      <c r="D52" s="45"/>
      <c r="E52" s="54"/>
      <c r="F52" s="54"/>
      <c r="G52" s="54"/>
      <c r="H52" s="54"/>
      <c r="I52" s="54"/>
      <c r="J52" s="54"/>
      <c r="K52" s="54"/>
      <c r="L52" s="54"/>
      <c r="M52" s="54"/>
      <c r="N52" s="282"/>
      <c r="O52" s="308"/>
      <c r="P52" s="308"/>
      <c r="Q52" s="308"/>
    </row>
    <row r="53" spans="1:17" ht="11.25" customHeight="1">
      <c r="A53" s="54"/>
      <c r="B53" s="54"/>
      <c r="C53" s="54"/>
      <c r="D53" s="54"/>
      <c r="E53" s="54"/>
      <c r="F53" s="54"/>
      <c r="G53" s="54"/>
      <c r="H53" s="54"/>
      <c r="I53" s="54"/>
      <c r="J53" s="54"/>
      <c r="K53" s="54"/>
      <c r="L53" s="54"/>
      <c r="M53" s="54"/>
      <c r="N53" s="282"/>
      <c r="O53" s="308"/>
      <c r="P53" s="308"/>
      <c r="Q53" s="308"/>
    </row>
    <row r="54" spans="1:17" ht="11.25" customHeight="1">
      <c r="A54" s="54"/>
      <c r="B54" s="54"/>
      <c r="C54" s="54"/>
      <c r="D54" s="54"/>
      <c r="E54" s="54"/>
      <c r="F54" s="54"/>
      <c r="G54" s="54"/>
      <c r="H54" s="54"/>
      <c r="I54" s="54"/>
      <c r="J54" s="54"/>
      <c r="K54" s="54"/>
      <c r="L54" s="54"/>
      <c r="M54" s="54"/>
      <c r="N54" s="282"/>
      <c r="O54" s="308"/>
      <c r="P54" s="308"/>
      <c r="Q54" s="308"/>
    </row>
    <row r="55" spans="1:17" ht="11.25" customHeight="1">
      <c r="A55" s="54"/>
      <c r="B55" s="54"/>
      <c r="C55" s="54"/>
      <c r="D55" s="54"/>
      <c r="E55" s="54"/>
      <c r="F55" s="54"/>
      <c r="G55" s="54"/>
      <c r="H55" s="54"/>
      <c r="I55" s="54"/>
      <c r="J55" s="54"/>
      <c r="K55" s="54"/>
      <c r="L55" s="54"/>
      <c r="M55" s="54"/>
      <c r="N55" s="282"/>
      <c r="O55" s="308"/>
      <c r="P55" s="308"/>
      <c r="Q55" s="308"/>
    </row>
    <row r="56" spans="1:17" ht="11.25" customHeight="1">
      <c r="A56" s="9"/>
      <c r="B56" s="56"/>
      <c r="C56" s="56"/>
      <c r="D56" s="56"/>
      <c r="E56" s="56"/>
      <c r="F56" s="56"/>
      <c r="G56" s="56"/>
      <c r="H56" s="56"/>
      <c r="I56" s="56"/>
      <c r="J56" s="56"/>
      <c r="K56" s="57"/>
      <c r="L56" s="58"/>
    </row>
    <row r="57" spans="1:17" ht="11.25" customHeight="1">
      <c r="A57" s="9"/>
      <c r="B57" s="56"/>
      <c r="C57" s="56"/>
      <c r="D57" s="56"/>
      <c r="E57" s="56"/>
      <c r="F57" s="56"/>
      <c r="G57" s="56"/>
      <c r="H57" s="56"/>
      <c r="I57" s="56"/>
      <c r="J57" s="56"/>
      <c r="K57" s="57"/>
      <c r="L57" s="58"/>
    </row>
    <row r="58" spans="1:17" ht="11.25" customHeight="1">
      <c r="A58" s="59"/>
      <c r="B58" s="59"/>
      <c r="C58" s="59"/>
      <c r="D58" s="59"/>
      <c r="E58" s="59"/>
      <c r="F58" s="59"/>
      <c r="G58" s="59"/>
      <c r="H58" s="59"/>
      <c r="I58" s="59"/>
      <c r="J58" s="59"/>
      <c r="K58" s="59"/>
      <c r="L58" s="59"/>
    </row>
    <row r="59" spans="1:17" ht="11.25" customHeight="1">
      <c r="A59" s="59"/>
      <c r="B59" s="59"/>
      <c r="C59" s="59"/>
      <c r="D59" s="59"/>
      <c r="E59" s="59"/>
      <c r="F59" s="59"/>
      <c r="G59" s="59"/>
      <c r="H59" s="59"/>
      <c r="I59" s="59"/>
      <c r="J59" s="59"/>
      <c r="K59" s="59"/>
      <c r="L59" s="59"/>
    </row>
    <row r="60" spans="1:17" ht="11.25" customHeight="1">
      <c r="A60" s="59"/>
      <c r="B60" s="59"/>
      <c r="C60" s="59"/>
      <c r="D60" s="59"/>
      <c r="E60" s="59"/>
      <c r="F60" s="59"/>
      <c r="G60" s="59"/>
      <c r="H60" s="59"/>
      <c r="I60" s="59"/>
      <c r="J60" s="59"/>
      <c r="K60" s="59"/>
      <c r="L60" s="59"/>
    </row>
    <row r="61" spans="1:17" ht="11.25" customHeight="1">
      <c r="A61" s="59"/>
      <c r="B61" s="59"/>
      <c r="C61" s="59"/>
      <c r="D61" s="59"/>
      <c r="E61" s="59"/>
      <c r="F61" s="59"/>
      <c r="G61" s="59"/>
      <c r="H61" s="59"/>
      <c r="I61" s="59"/>
      <c r="J61" s="59"/>
      <c r="K61" s="59"/>
      <c r="L61" s="59"/>
    </row>
    <row r="62" spans="1:17" ht="11.25" customHeight="1">
      <c r="A62" s="59"/>
      <c r="B62" s="59"/>
      <c r="C62" s="59"/>
      <c r="D62" s="59"/>
      <c r="E62" s="59"/>
      <c r="F62" s="59"/>
      <c r="G62" s="59"/>
      <c r="H62" s="59"/>
      <c r="I62" s="59"/>
      <c r="J62" s="59"/>
      <c r="K62" s="59"/>
      <c r="L62" s="59"/>
    </row>
    <row r="63" spans="1:17" ht="12">
      <c r="A63" s="59"/>
      <c r="B63" s="59"/>
      <c r="C63" s="59"/>
      <c r="D63" s="59"/>
      <c r="E63" s="59"/>
      <c r="F63" s="59"/>
      <c r="G63" s="59"/>
      <c r="H63" s="59"/>
      <c r="I63" s="59"/>
      <c r="J63" s="59"/>
      <c r="K63" s="59"/>
      <c r="L63" s="59"/>
    </row>
    <row r="64" spans="1:17" ht="12">
      <c r="A64" s="59"/>
      <c r="B64" s="59"/>
      <c r="C64" s="59"/>
      <c r="D64" s="59"/>
      <c r="E64" s="59"/>
      <c r="F64" s="59"/>
      <c r="G64" s="59"/>
      <c r="H64" s="59"/>
      <c r="I64" s="59"/>
      <c r="J64" s="59"/>
      <c r="K64" s="59"/>
      <c r="L64" s="59"/>
    </row>
    <row r="65" spans="1:12" ht="12">
      <c r="A65" s="59"/>
      <c r="B65" s="59"/>
      <c r="C65" s="59"/>
      <c r="D65" s="59"/>
      <c r="E65" s="59"/>
      <c r="F65" s="59"/>
      <c r="G65" s="59"/>
      <c r="H65" s="59"/>
      <c r="I65" s="59"/>
      <c r="J65" s="59"/>
      <c r="K65" s="59"/>
      <c r="L65" s="59"/>
    </row>
    <row r="66" spans="1:12" ht="12">
      <c r="A66" s="59"/>
      <c r="B66" s="59"/>
      <c r="C66" s="59"/>
      <c r="D66" s="59"/>
      <c r="E66" s="59"/>
      <c r="F66" s="59"/>
      <c r="G66" s="59"/>
      <c r="H66" s="59"/>
      <c r="I66" s="59"/>
      <c r="J66" s="59"/>
      <c r="K66" s="59"/>
      <c r="L66" s="59"/>
    </row>
    <row r="67" spans="1:12" ht="12">
      <c r="A67" s="59"/>
      <c r="B67" s="59"/>
      <c r="C67" s="59"/>
      <c r="D67" s="59"/>
      <c r="E67" s="59"/>
      <c r="F67" s="59"/>
      <c r="G67" s="59"/>
      <c r="H67" s="59"/>
      <c r="I67" s="59"/>
      <c r="J67" s="59"/>
      <c r="K67" s="59"/>
      <c r="L67" s="59"/>
    </row>
    <row r="68" spans="1:12" ht="12">
      <c r="A68" s="59"/>
      <c r="B68" s="59"/>
      <c r="C68" s="59"/>
      <c r="D68" s="59"/>
      <c r="E68" s="59"/>
      <c r="F68" s="59"/>
      <c r="G68" s="59"/>
      <c r="H68" s="59"/>
      <c r="I68" s="59"/>
      <c r="J68" s="59"/>
      <c r="K68" s="59"/>
      <c r="L68" s="59"/>
    </row>
    <row r="69" spans="1:12" ht="12">
      <c r="A69" s="59"/>
      <c r="B69" s="59"/>
      <c r="C69" s="59"/>
      <c r="D69" s="59"/>
      <c r="E69" s="59"/>
      <c r="F69" s="59"/>
      <c r="G69" s="59"/>
      <c r="H69" s="59"/>
      <c r="I69" s="59"/>
      <c r="J69" s="59"/>
      <c r="K69" s="59"/>
      <c r="L69" s="59"/>
    </row>
  </sheetData>
  <mergeCells count="12">
    <mergeCell ref="B51:M51"/>
    <mergeCell ref="A1:M1"/>
    <mergeCell ref="B49:L49"/>
    <mergeCell ref="H47:K47"/>
    <mergeCell ref="B47:E47"/>
    <mergeCell ref="I20:K20"/>
    <mergeCell ref="B18:M18"/>
    <mergeCell ref="B12:M12"/>
    <mergeCell ref="B14:M14"/>
    <mergeCell ref="B16:M16"/>
    <mergeCell ref="C3:J3"/>
    <mergeCell ref="C20:E20"/>
  </mergeCells>
  <pageMargins left="0.59055118110236227" right="0.39370078740157483" top="1.0236220472440944" bottom="0.62992125984251968" header="0.31496062992125984" footer="0.31496062992125984"/>
  <pageSetup paperSize="9" scale="97" orientation="portrait" r:id="rId1"/>
  <headerFooter>
    <oddHeader>&amp;R&amp;7Informe de la Operación Mensual-Octubre 2020
INFSGI-MES-10-2020
12/11/2020
Versión: 01</oddHeader>
    <oddFooter>&amp;LCOES, 2020&amp;C1&amp;RDirección Ejecutiva
Sub Dirección de Gestión de Información</oddFooter>
  </headerFooter>
  <ignoredErrors>
    <ignoredError sqref="C47:G47 I47:K47" formulaRange="1"/>
  </ignoredErrors>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1A85D0-8A49-429D-8201-476FACEE1259}">
  <sheetPr>
    <tabColor theme="4"/>
  </sheetPr>
  <dimension ref="A1:I72"/>
  <sheetViews>
    <sheetView showGridLines="0" view="pageBreakPreview" zoomScale="130" zoomScaleNormal="100" zoomScaleSheetLayoutView="130" workbookViewId="0">
      <selection activeCell="K10" sqref="K10"/>
    </sheetView>
  </sheetViews>
  <sheetFormatPr defaultColWidth="9.33203125" defaultRowHeight="9"/>
  <cols>
    <col min="1" max="1" width="16.1640625" style="808" customWidth="1"/>
    <col min="2" max="2" width="19.6640625" style="808" customWidth="1"/>
    <col min="3" max="3" width="12.83203125" style="808" bestFit="1" customWidth="1"/>
    <col min="4" max="4" width="59.83203125" style="808" customWidth="1"/>
    <col min="5" max="5" width="11.6640625" style="808" customWidth="1"/>
    <col min="6" max="6" width="10.5" style="808" customWidth="1"/>
    <col min="7" max="8" width="9.33203125" style="808" customWidth="1"/>
    <col min="9" max="16384" width="9.33203125" style="808"/>
  </cols>
  <sheetData>
    <row r="1" spans="1:9" ht="11.25" customHeight="1">
      <c r="A1" s="806" t="s">
        <v>365</v>
      </c>
      <c r="B1" s="807"/>
      <c r="C1" s="807"/>
      <c r="D1" s="807"/>
      <c r="E1" s="807"/>
      <c r="F1" s="807"/>
    </row>
    <row r="2" spans="1:9" ht="30" customHeight="1">
      <c r="A2" s="809" t="s">
        <v>250</v>
      </c>
      <c r="B2" s="810" t="s">
        <v>366</v>
      </c>
      <c r="C2" s="809" t="s">
        <v>355</v>
      </c>
      <c r="D2" s="811" t="s">
        <v>367</v>
      </c>
      <c r="E2" s="812" t="s">
        <v>368</v>
      </c>
      <c r="F2" s="812" t="s">
        <v>369</v>
      </c>
      <c r="G2" s="813"/>
      <c r="H2" s="814"/>
      <c r="I2" s="815"/>
    </row>
    <row r="3" spans="1:9" ht="71.25" customHeight="1">
      <c r="A3" s="818" t="s">
        <v>87</v>
      </c>
      <c r="B3" s="818" t="s">
        <v>669</v>
      </c>
      <c r="C3" s="816">
        <v>44132.417361111111</v>
      </c>
      <c r="D3" s="817" t="s">
        <v>670</v>
      </c>
      <c r="E3" s="818"/>
      <c r="F3" s="818">
        <v>140.19999999999999</v>
      </c>
      <c r="G3" s="819"/>
      <c r="H3" s="819"/>
      <c r="I3" s="821"/>
    </row>
    <row r="4" spans="1:9" ht="115.5" customHeight="1">
      <c r="A4" s="818" t="s">
        <v>119</v>
      </c>
      <c r="B4" s="818" t="s">
        <v>671</v>
      </c>
      <c r="C4" s="816">
        <v>44132.42291666667</v>
      </c>
      <c r="D4" s="817" t="s">
        <v>672</v>
      </c>
      <c r="E4" s="818">
        <v>11</v>
      </c>
      <c r="F4" s="818"/>
      <c r="G4" s="819"/>
      <c r="H4" s="819"/>
      <c r="I4" s="822"/>
    </row>
    <row r="5" spans="1:9" ht="63" customHeight="1">
      <c r="A5" s="818" t="s">
        <v>624</v>
      </c>
      <c r="B5" s="818" t="s">
        <v>644</v>
      </c>
      <c r="C5" s="816">
        <v>44132.85833333333</v>
      </c>
      <c r="D5" s="817" t="s">
        <v>673</v>
      </c>
      <c r="E5" s="818">
        <v>6.33</v>
      </c>
      <c r="F5" s="818"/>
      <c r="G5" s="819"/>
      <c r="H5" s="819"/>
      <c r="I5" s="823"/>
    </row>
    <row r="6" spans="1:9" ht="56.25" customHeight="1">
      <c r="A6" s="818" t="s">
        <v>624</v>
      </c>
      <c r="B6" s="818" t="s">
        <v>644</v>
      </c>
      <c r="C6" s="816">
        <v>44132.895833333336</v>
      </c>
      <c r="D6" s="817" t="s">
        <v>674</v>
      </c>
      <c r="E6" s="818">
        <v>4.4800000000000004</v>
      </c>
      <c r="F6" s="818"/>
      <c r="G6" s="819"/>
      <c r="H6" s="819"/>
      <c r="I6" s="822"/>
    </row>
    <row r="7" spans="1:9" ht="64.5" customHeight="1">
      <c r="A7" s="818" t="s">
        <v>624</v>
      </c>
      <c r="B7" s="818" t="s">
        <v>644</v>
      </c>
      <c r="C7" s="816">
        <v>44132.902777777781</v>
      </c>
      <c r="D7" s="817" t="s">
        <v>675</v>
      </c>
      <c r="E7" s="818">
        <v>3.91</v>
      </c>
      <c r="F7" s="818"/>
      <c r="G7" s="819"/>
      <c r="H7" s="819"/>
      <c r="I7" s="822"/>
    </row>
    <row r="8" spans="1:9">
      <c r="E8" s="826"/>
      <c r="F8" s="826"/>
    </row>
    <row r="9" spans="1:9">
      <c r="E9" s="826"/>
      <c r="F9" s="826"/>
    </row>
    <row r="10" spans="1:9">
      <c r="E10" s="826"/>
      <c r="F10" s="826"/>
    </row>
    <row r="11" spans="1:9">
      <c r="E11" s="826"/>
      <c r="F11" s="826"/>
    </row>
    <row r="12" spans="1:9">
      <c r="E12" s="826"/>
      <c r="F12" s="826"/>
    </row>
    <row r="13" spans="1:9">
      <c r="E13" s="826"/>
      <c r="F13" s="826"/>
    </row>
    <row r="14" spans="1:9">
      <c r="E14" s="826"/>
      <c r="F14" s="826"/>
    </row>
    <row r="15" spans="1:9">
      <c r="E15" s="826"/>
      <c r="F15" s="826"/>
    </row>
    <row r="16" spans="1:9">
      <c r="E16" s="826"/>
      <c r="F16" s="826"/>
    </row>
    <row r="17" spans="5:6">
      <c r="E17" s="826"/>
      <c r="F17" s="826"/>
    </row>
    <row r="18" spans="5:6">
      <c r="E18" s="826"/>
      <c r="F18" s="826"/>
    </row>
    <row r="19" spans="5:6">
      <c r="E19" s="826"/>
      <c r="F19" s="826"/>
    </row>
    <row r="20" spans="5:6">
      <c r="E20" s="826"/>
      <c r="F20" s="826"/>
    </row>
    <row r="21" spans="5:6">
      <c r="E21" s="826"/>
      <c r="F21" s="826"/>
    </row>
    <row r="22" spans="5:6">
      <c r="E22" s="826"/>
      <c r="F22" s="826"/>
    </row>
    <row r="23" spans="5:6">
      <c r="E23" s="826"/>
      <c r="F23" s="826"/>
    </row>
    <row r="24" spans="5:6">
      <c r="E24" s="826"/>
      <c r="F24" s="826"/>
    </row>
    <row r="25" spans="5:6">
      <c r="E25" s="826"/>
      <c r="F25" s="826"/>
    </row>
    <row r="26" spans="5:6">
      <c r="E26" s="826"/>
      <c r="F26" s="826"/>
    </row>
    <row r="27" spans="5:6">
      <c r="E27" s="826"/>
      <c r="F27" s="826"/>
    </row>
    <row r="28" spans="5:6">
      <c r="E28" s="826"/>
      <c r="F28" s="826"/>
    </row>
    <row r="29" spans="5:6">
      <c r="E29" s="826"/>
      <c r="F29" s="826"/>
    </row>
    <row r="30" spans="5:6">
      <c r="E30" s="826"/>
      <c r="F30" s="826"/>
    </row>
    <row r="31" spans="5:6">
      <c r="E31" s="826"/>
      <c r="F31" s="826"/>
    </row>
    <row r="32" spans="5:6">
      <c r="E32" s="826"/>
      <c r="F32" s="826"/>
    </row>
    <row r="33" spans="5:6">
      <c r="E33" s="826"/>
      <c r="F33" s="826"/>
    </row>
    <row r="34" spans="5:6">
      <c r="E34" s="826"/>
      <c r="F34" s="826"/>
    </row>
    <row r="35" spans="5:6">
      <c r="E35" s="826"/>
      <c r="F35" s="826"/>
    </row>
    <row r="36" spans="5:6">
      <c r="E36" s="826"/>
      <c r="F36" s="826"/>
    </row>
    <row r="37" spans="5:6">
      <c r="E37" s="826"/>
      <c r="F37" s="826"/>
    </row>
    <row r="38" spans="5:6">
      <c r="E38" s="826"/>
      <c r="F38" s="826"/>
    </row>
    <row r="39" spans="5:6">
      <c r="E39" s="826"/>
      <c r="F39" s="826"/>
    </row>
    <row r="40" spans="5:6">
      <c r="E40" s="826"/>
      <c r="F40" s="826"/>
    </row>
    <row r="41" spans="5:6">
      <c r="E41" s="826"/>
      <c r="F41" s="826"/>
    </row>
    <row r="42" spans="5:6">
      <c r="E42" s="826"/>
      <c r="F42" s="826"/>
    </row>
    <row r="43" spans="5:6">
      <c r="E43" s="826"/>
      <c r="F43" s="826"/>
    </row>
    <row r="44" spans="5:6">
      <c r="E44" s="826"/>
      <c r="F44" s="826"/>
    </row>
    <row r="45" spans="5:6">
      <c r="E45" s="826"/>
      <c r="F45" s="826"/>
    </row>
    <row r="46" spans="5:6">
      <c r="E46" s="826"/>
      <c r="F46" s="826"/>
    </row>
    <row r="47" spans="5:6">
      <c r="E47" s="826"/>
      <c r="F47" s="826"/>
    </row>
    <row r="48" spans="5:6">
      <c r="E48" s="826"/>
      <c r="F48" s="826"/>
    </row>
    <row r="49" spans="5:6">
      <c r="E49" s="826"/>
      <c r="F49" s="826"/>
    </row>
    <row r="50" spans="5:6">
      <c r="E50" s="826"/>
      <c r="F50" s="826"/>
    </row>
    <row r="51" spans="5:6">
      <c r="E51" s="826"/>
      <c r="F51" s="826"/>
    </row>
    <row r="52" spans="5:6">
      <c r="E52" s="826"/>
      <c r="F52" s="826"/>
    </row>
    <row r="53" spans="5:6">
      <c r="E53" s="826"/>
      <c r="F53" s="826"/>
    </row>
    <row r="54" spans="5:6">
      <c r="E54" s="826"/>
      <c r="F54" s="826"/>
    </row>
    <row r="55" spans="5:6">
      <c r="E55" s="826"/>
      <c r="F55" s="826"/>
    </row>
    <row r="56" spans="5:6">
      <c r="E56" s="826"/>
      <c r="F56" s="826"/>
    </row>
    <row r="57" spans="5:6">
      <c r="E57" s="826"/>
      <c r="F57" s="826"/>
    </row>
    <row r="58" spans="5:6">
      <c r="E58" s="826"/>
      <c r="F58" s="826"/>
    </row>
    <row r="59" spans="5:6">
      <c r="E59" s="826"/>
      <c r="F59" s="826"/>
    </row>
    <row r="60" spans="5:6">
      <c r="E60" s="826"/>
      <c r="F60" s="826"/>
    </row>
    <row r="61" spans="5:6">
      <c r="E61" s="826"/>
      <c r="F61" s="826"/>
    </row>
    <row r="62" spans="5:6">
      <c r="E62" s="826"/>
      <c r="F62" s="826"/>
    </row>
    <row r="63" spans="5:6">
      <c r="E63" s="826"/>
      <c r="F63" s="826"/>
    </row>
    <row r="64" spans="5:6">
      <c r="E64" s="826"/>
      <c r="F64" s="826"/>
    </row>
    <row r="65" spans="5:6">
      <c r="E65" s="826"/>
      <c r="F65" s="826"/>
    </row>
    <row r="66" spans="5:6">
      <c r="E66" s="826"/>
      <c r="F66" s="826"/>
    </row>
    <row r="67" spans="5:6">
      <c r="E67" s="826"/>
      <c r="F67" s="826"/>
    </row>
    <row r="68" spans="5:6">
      <c r="E68" s="826"/>
      <c r="F68" s="826"/>
    </row>
    <row r="69" spans="5:6">
      <c r="E69" s="826"/>
      <c r="F69" s="826"/>
    </row>
    <row r="70" spans="5:6">
      <c r="E70" s="826"/>
      <c r="F70" s="826"/>
    </row>
    <row r="71" spans="5:6">
      <c r="E71" s="826"/>
      <c r="F71" s="826"/>
    </row>
    <row r="72" spans="5:6">
      <c r="E72" s="826"/>
      <c r="F72" s="826"/>
    </row>
  </sheetData>
  <pageMargins left="0.70866141732283472" right="0.51181102362204722" top="1.0236220472440944" bottom="0.62992125984251968" header="0.31496062992125984" footer="0.31496062992125984"/>
  <pageSetup paperSize="9" scale="84" orientation="portrait" r:id="rId1"/>
  <headerFooter>
    <oddHeader>&amp;R&amp;7Informe de la Operación Mensual-Octubre 2020
INFSGI-MES-10-2020
12/11/2020
Versión: 01</oddHeader>
    <oddFooter>&amp;L&amp;7COES, 2020&amp;C28&amp;R&amp;7Dirección Ejecutiva
Sub Dirección de Gestión de Información</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0">
    <tabColor theme="4"/>
  </sheetPr>
  <dimension ref="B4:O65"/>
  <sheetViews>
    <sheetView showGridLines="0" view="pageBreakPreview" zoomScaleNormal="100" zoomScaleSheetLayoutView="100" workbookViewId="0">
      <selection activeCell="O14" sqref="O14"/>
    </sheetView>
  </sheetViews>
  <sheetFormatPr defaultColWidth="9.33203125" defaultRowHeight="11.25"/>
  <sheetData>
    <row r="4" spans="2:15">
      <c r="B4" s="25"/>
      <c r="C4" s="25"/>
      <c r="D4" s="25"/>
      <c r="E4" s="25"/>
      <c r="F4" s="25"/>
      <c r="G4" s="25"/>
      <c r="H4" s="25"/>
      <c r="I4" s="25"/>
      <c r="J4" s="25"/>
      <c r="K4" s="25"/>
      <c r="L4" s="25"/>
      <c r="M4" s="25"/>
      <c r="N4" s="25"/>
      <c r="O4" s="25"/>
    </row>
    <row r="5" spans="2:15">
      <c r="B5" s="25"/>
      <c r="C5" s="25"/>
      <c r="D5" s="25"/>
      <c r="E5" s="25"/>
      <c r="F5" s="25"/>
      <c r="G5" s="25"/>
      <c r="H5" s="25"/>
      <c r="I5" s="25"/>
      <c r="J5" s="25"/>
      <c r="K5" s="25"/>
      <c r="L5" s="25"/>
      <c r="M5" s="25"/>
      <c r="N5" s="25"/>
      <c r="O5" s="25"/>
    </row>
    <row r="6" spans="2:15">
      <c r="B6" s="25"/>
      <c r="C6" s="25"/>
      <c r="D6" s="25"/>
      <c r="E6" s="25"/>
      <c r="F6" s="25"/>
      <c r="G6" s="25"/>
      <c r="H6" s="25"/>
      <c r="I6" s="25"/>
      <c r="J6" s="25"/>
      <c r="K6" s="25"/>
      <c r="L6" s="25"/>
      <c r="M6" s="25"/>
      <c r="N6" s="25"/>
      <c r="O6" s="25"/>
    </row>
    <row r="7" spans="2:15">
      <c r="B7" s="218"/>
      <c r="C7" s="25"/>
      <c r="D7" s="25"/>
      <c r="E7" s="25"/>
      <c r="F7" s="25"/>
      <c r="G7" s="25"/>
      <c r="H7" s="25"/>
      <c r="I7" s="25"/>
      <c r="J7" s="25"/>
      <c r="K7" s="25"/>
      <c r="L7" s="25"/>
      <c r="M7" s="25"/>
      <c r="N7" s="25"/>
      <c r="O7" s="25"/>
    </row>
    <row r="8" spans="2:15">
      <c r="B8" s="218"/>
      <c r="C8" s="25"/>
      <c r="D8" s="25"/>
      <c r="E8" s="25"/>
      <c r="F8" s="25"/>
      <c r="G8" s="25"/>
      <c r="H8" s="25"/>
      <c r="I8" s="25"/>
      <c r="J8" s="25"/>
      <c r="K8" s="25"/>
      <c r="L8" s="25"/>
      <c r="M8" s="25"/>
      <c r="N8" s="25"/>
      <c r="O8" s="25"/>
    </row>
    <row r="9" spans="2:15">
      <c r="B9" s="218"/>
      <c r="C9" s="25"/>
      <c r="D9" s="25"/>
      <c r="E9" s="25"/>
      <c r="F9" s="25"/>
      <c r="G9" s="25"/>
      <c r="H9" s="25"/>
      <c r="I9" s="25"/>
      <c r="J9" s="25"/>
      <c r="K9" s="25"/>
      <c r="L9" s="25"/>
      <c r="M9" s="25"/>
      <c r="N9" s="25"/>
      <c r="O9" s="25"/>
    </row>
    <row r="10" spans="2:15">
      <c r="B10" s="25"/>
      <c r="C10" s="25"/>
      <c r="D10" s="25"/>
      <c r="E10" s="25"/>
      <c r="F10" s="25"/>
      <c r="G10" s="25"/>
      <c r="H10" s="25"/>
      <c r="I10" s="25"/>
      <c r="J10" s="25"/>
      <c r="K10" s="25"/>
      <c r="L10" s="25"/>
      <c r="M10" s="25"/>
      <c r="N10" s="25"/>
      <c r="O10" s="25"/>
    </row>
    <row r="11" spans="2:15">
      <c r="B11" s="25"/>
      <c r="C11" s="25"/>
      <c r="D11" s="25"/>
      <c r="E11" s="25"/>
      <c r="F11" s="25"/>
      <c r="G11" s="25"/>
      <c r="H11" s="25"/>
      <c r="I11" s="25"/>
      <c r="J11" s="25"/>
      <c r="K11" s="25"/>
      <c r="L11" s="25"/>
      <c r="M11" s="25"/>
      <c r="N11" s="25"/>
      <c r="O11" s="25"/>
    </row>
    <row r="12" spans="2:15">
      <c r="B12" s="25"/>
      <c r="C12" s="25"/>
      <c r="D12" s="25"/>
      <c r="E12" s="25"/>
      <c r="F12" s="25"/>
      <c r="G12" s="25"/>
      <c r="H12" s="25"/>
      <c r="I12" s="25"/>
      <c r="J12" s="25"/>
      <c r="K12" s="25"/>
      <c r="L12" s="25"/>
      <c r="M12" s="25"/>
      <c r="N12" s="25"/>
      <c r="O12" s="25"/>
    </row>
    <row r="13" spans="2:15" ht="12.75">
      <c r="B13" s="279"/>
      <c r="C13" s="25"/>
      <c r="D13" s="25"/>
      <c r="E13" s="25"/>
      <c r="F13" s="25"/>
      <c r="G13" s="25"/>
      <c r="H13" s="25"/>
      <c r="I13" s="25"/>
      <c r="J13" s="25"/>
      <c r="K13" s="25"/>
      <c r="L13" s="25"/>
      <c r="M13" s="25"/>
      <c r="N13" s="25"/>
      <c r="O13" s="25"/>
    </row>
    <row r="14" spans="2:15">
      <c r="B14" s="25"/>
      <c r="C14" s="25"/>
      <c r="D14" s="25"/>
      <c r="E14" s="25"/>
      <c r="F14" s="25"/>
      <c r="G14" s="25"/>
      <c r="H14" s="25"/>
      <c r="I14" s="25"/>
      <c r="J14" s="25"/>
      <c r="K14" s="25"/>
      <c r="L14" s="25"/>
      <c r="M14" s="25"/>
      <c r="N14" s="25"/>
      <c r="O14" s="25"/>
    </row>
    <row r="15" spans="2:15">
      <c r="B15" s="25"/>
      <c r="C15" s="25"/>
      <c r="D15" s="25"/>
      <c r="E15" s="25"/>
      <c r="F15" s="25"/>
      <c r="G15" s="25"/>
      <c r="H15" s="25"/>
      <c r="I15" s="25"/>
      <c r="J15" s="25"/>
      <c r="K15" s="25"/>
      <c r="L15" s="25"/>
      <c r="M15" s="25"/>
      <c r="N15" s="25"/>
      <c r="O15" s="25"/>
    </row>
    <row r="16" spans="2:15">
      <c r="B16" s="25"/>
      <c r="C16" s="25"/>
      <c r="D16" s="25"/>
      <c r="E16" s="25"/>
      <c r="F16" s="25"/>
      <c r="G16" s="25"/>
      <c r="H16" s="25"/>
      <c r="I16" s="25"/>
      <c r="J16" s="25"/>
      <c r="K16" s="25"/>
      <c r="L16" s="25"/>
      <c r="M16" s="25"/>
      <c r="N16" s="25"/>
      <c r="O16" s="25"/>
    </row>
    <row r="17" spans="2:15">
      <c r="B17" s="25"/>
      <c r="C17" s="25"/>
      <c r="D17" s="25"/>
      <c r="E17" s="25"/>
      <c r="F17" s="25"/>
      <c r="G17" s="25"/>
      <c r="H17" s="25"/>
      <c r="I17" s="25"/>
      <c r="J17" s="25"/>
      <c r="K17" s="25"/>
      <c r="L17" s="25"/>
      <c r="M17" s="25"/>
      <c r="N17" s="25"/>
      <c r="O17" s="25"/>
    </row>
    <row r="18" spans="2:15">
      <c r="B18" s="25"/>
      <c r="C18" s="25"/>
      <c r="D18" s="25"/>
      <c r="E18" s="25"/>
      <c r="F18" s="25"/>
      <c r="G18" s="25"/>
      <c r="H18" s="25"/>
      <c r="I18" s="25"/>
      <c r="J18" s="25"/>
      <c r="K18" s="25"/>
      <c r="L18" s="25"/>
      <c r="M18" s="25"/>
      <c r="N18" s="25"/>
      <c r="O18" s="25"/>
    </row>
    <row r="19" spans="2:15">
      <c r="B19" s="25"/>
      <c r="C19" s="25"/>
      <c r="D19" s="25"/>
      <c r="E19" s="25"/>
      <c r="F19" s="25"/>
      <c r="G19" s="25"/>
      <c r="H19" s="25"/>
      <c r="I19" s="25"/>
      <c r="J19" s="25" t="s">
        <v>8</v>
      </c>
      <c r="K19" s="25"/>
      <c r="L19" s="25"/>
      <c r="M19" s="25"/>
      <c r="N19" s="25"/>
      <c r="O19" s="25"/>
    </row>
    <row r="20" spans="2:15">
      <c r="B20" s="25"/>
      <c r="C20" s="25"/>
      <c r="D20" s="25"/>
      <c r="E20" s="25"/>
      <c r="F20" s="25"/>
      <c r="G20" s="25"/>
      <c r="H20" s="25"/>
      <c r="I20" s="25"/>
      <c r="J20" s="25"/>
      <c r="K20" s="25"/>
      <c r="L20" s="25"/>
      <c r="M20" s="25"/>
      <c r="N20" s="25"/>
      <c r="O20" s="25"/>
    </row>
    <row r="21" spans="2:15">
      <c r="B21" s="25"/>
      <c r="C21" s="25"/>
      <c r="D21" s="25"/>
      <c r="E21" s="25"/>
      <c r="F21" s="25"/>
      <c r="G21" s="25"/>
      <c r="H21" s="25"/>
      <c r="I21" s="25"/>
      <c r="J21" s="25"/>
      <c r="K21" s="25"/>
      <c r="L21" s="25"/>
      <c r="M21" s="25"/>
      <c r="N21" s="25"/>
      <c r="O21" s="25"/>
    </row>
    <row r="22" spans="2:15">
      <c r="B22" s="25"/>
      <c r="C22" s="25"/>
      <c r="D22" s="25"/>
      <c r="E22" s="25"/>
      <c r="F22" s="25"/>
      <c r="G22" s="25"/>
      <c r="H22" s="25"/>
      <c r="I22" s="25"/>
      <c r="J22" s="25"/>
      <c r="K22" s="25"/>
      <c r="L22" s="25"/>
      <c r="M22" s="25"/>
      <c r="N22" s="25"/>
      <c r="O22" s="25"/>
    </row>
    <row r="23" spans="2:15">
      <c r="B23" s="25"/>
      <c r="C23" s="25"/>
      <c r="D23" s="25"/>
      <c r="E23" s="25"/>
      <c r="F23" s="25"/>
      <c r="G23" s="25"/>
      <c r="H23" s="25"/>
      <c r="I23" s="25"/>
      <c r="J23" s="25"/>
      <c r="K23" s="25"/>
      <c r="L23" s="25"/>
      <c r="M23" s="25"/>
      <c r="N23" s="25"/>
      <c r="O23" s="25"/>
    </row>
    <row r="24" spans="2:15">
      <c r="B24" s="25"/>
      <c r="C24" s="25"/>
      <c r="D24" s="25"/>
      <c r="E24" s="25"/>
      <c r="F24" s="25"/>
      <c r="G24" s="25"/>
      <c r="H24" s="25"/>
      <c r="I24" s="25"/>
      <c r="J24" s="25"/>
      <c r="K24" s="25"/>
      <c r="L24" s="25"/>
      <c r="M24" s="25"/>
      <c r="N24" s="25"/>
      <c r="O24" s="25"/>
    </row>
    <row r="25" spans="2:15">
      <c r="B25" s="25"/>
      <c r="C25" s="25"/>
      <c r="D25" s="25"/>
      <c r="E25" s="25"/>
      <c r="F25" s="25"/>
      <c r="G25" s="25"/>
      <c r="H25" s="25"/>
      <c r="I25" s="25"/>
      <c r="J25" s="25"/>
      <c r="K25" s="25"/>
      <c r="L25" s="25"/>
      <c r="M25" s="25"/>
      <c r="N25" s="25"/>
      <c r="O25" s="25"/>
    </row>
    <row r="26" spans="2:15">
      <c r="B26" s="25"/>
      <c r="C26" s="25"/>
      <c r="D26" s="25"/>
      <c r="E26" s="25"/>
      <c r="F26" s="25"/>
      <c r="G26" s="25"/>
      <c r="H26" s="25"/>
      <c r="I26" s="25"/>
      <c r="J26" s="25"/>
      <c r="K26" s="25"/>
      <c r="L26" s="25"/>
      <c r="M26" s="25"/>
      <c r="N26" s="25"/>
      <c r="O26" s="25"/>
    </row>
    <row r="27" spans="2:15">
      <c r="B27" s="25"/>
      <c r="C27" s="25"/>
      <c r="D27" s="25"/>
      <c r="E27" s="25"/>
      <c r="F27" s="25"/>
      <c r="G27" s="25"/>
      <c r="H27" s="25"/>
      <c r="I27" s="25"/>
      <c r="J27" s="25"/>
      <c r="K27" s="25"/>
      <c r="L27" s="25"/>
      <c r="M27" s="25"/>
      <c r="N27" s="25"/>
      <c r="O27" s="25"/>
    </row>
    <row r="28" spans="2:15">
      <c r="B28" s="25"/>
      <c r="C28" s="25"/>
      <c r="D28" s="25"/>
      <c r="E28" s="25"/>
      <c r="F28" s="25"/>
      <c r="G28" s="25"/>
      <c r="H28" s="25"/>
      <c r="I28" s="25"/>
      <c r="J28" s="25"/>
      <c r="K28" s="25"/>
      <c r="L28" s="25"/>
      <c r="M28" s="25"/>
      <c r="N28" s="25"/>
      <c r="O28" s="25"/>
    </row>
    <row r="29" spans="2:15">
      <c r="B29" s="25"/>
      <c r="C29" s="25"/>
      <c r="D29" s="25"/>
      <c r="E29" s="25"/>
      <c r="F29" s="25"/>
      <c r="G29" s="25"/>
      <c r="H29" s="25"/>
      <c r="I29" s="25"/>
      <c r="J29" s="25"/>
      <c r="K29" s="25"/>
      <c r="L29" s="25"/>
      <c r="M29" s="25"/>
      <c r="N29" s="25"/>
      <c r="O29" s="25"/>
    </row>
    <row r="30" spans="2:15">
      <c r="B30" s="25"/>
      <c r="C30" s="25"/>
      <c r="D30" s="25"/>
      <c r="E30" s="25"/>
      <c r="F30" s="25"/>
      <c r="G30" s="25"/>
      <c r="H30" s="25"/>
      <c r="I30" s="25"/>
      <c r="J30" s="25"/>
      <c r="K30" s="25"/>
      <c r="L30" s="25"/>
      <c r="M30" s="25"/>
      <c r="N30" s="25"/>
      <c r="O30" s="25"/>
    </row>
    <row r="31" spans="2:15">
      <c r="B31" s="25"/>
      <c r="C31" s="25"/>
      <c r="D31" s="25"/>
      <c r="E31" s="25"/>
      <c r="F31" s="25"/>
      <c r="G31" s="25"/>
      <c r="H31" s="25"/>
      <c r="I31" s="25"/>
      <c r="J31" s="25"/>
      <c r="K31" s="25"/>
      <c r="L31" s="25"/>
      <c r="M31" s="25"/>
      <c r="N31" s="25"/>
      <c r="O31" s="25"/>
    </row>
    <row r="32" spans="2:15">
      <c r="B32" s="25"/>
      <c r="C32" s="25"/>
      <c r="D32" s="25"/>
      <c r="E32" s="25"/>
      <c r="F32" s="25"/>
      <c r="G32" s="25"/>
      <c r="H32" s="25"/>
      <c r="I32" s="25"/>
      <c r="J32" s="25"/>
      <c r="K32" s="25"/>
      <c r="L32" s="25"/>
      <c r="M32" s="25"/>
      <c r="N32" s="25"/>
      <c r="O32" s="25"/>
    </row>
    <row r="33" spans="2:15">
      <c r="B33" s="25"/>
      <c r="C33" s="25"/>
      <c r="D33" s="25"/>
      <c r="E33" s="25"/>
      <c r="F33" s="25"/>
      <c r="G33" s="25"/>
      <c r="H33" s="25"/>
      <c r="I33" s="25"/>
      <c r="J33" s="25"/>
      <c r="K33" s="25"/>
      <c r="L33" s="25"/>
      <c r="M33" s="25"/>
      <c r="N33" s="25"/>
      <c r="O33" s="25"/>
    </row>
    <row r="34" spans="2:15">
      <c r="B34" s="25"/>
      <c r="C34" s="25"/>
      <c r="D34" s="25"/>
      <c r="E34" s="25"/>
      <c r="F34" s="25"/>
      <c r="G34" s="25"/>
      <c r="H34" s="25"/>
      <c r="I34" s="25"/>
      <c r="J34" s="25"/>
      <c r="K34" s="25"/>
      <c r="L34" s="25"/>
      <c r="M34" s="25"/>
      <c r="N34" s="25"/>
      <c r="O34" s="25"/>
    </row>
    <row r="35" spans="2:15">
      <c r="B35" s="25"/>
      <c r="C35" s="25"/>
      <c r="D35" s="25"/>
      <c r="E35" s="25"/>
      <c r="F35" s="25"/>
      <c r="G35" s="25"/>
      <c r="H35" s="25"/>
      <c r="I35" s="25"/>
      <c r="J35" s="25"/>
      <c r="K35" s="25"/>
      <c r="L35" s="25"/>
      <c r="M35" s="25"/>
      <c r="N35" s="25"/>
      <c r="O35" s="25"/>
    </row>
    <row r="36" spans="2:15">
      <c r="B36" s="25"/>
      <c r="C36" s="25"/>
      <c r="D36" s="25"/>
      <c r="E36" s="25"/>
      <c r="F36" s="25"/>
      <c r="G36" s="25"/>
      <c r="H36" s="25"/>
      <c r="I36" s="25"/>
      <c r="J36" s="25"/>
      <c r="K36" s="25"/>
      <c r="L36" s="25"/>
      <c r="M36" s="25"/>
      <c r="N36" s="25"/>
      <c r="O36" s="25"/>
    </row>
    <row r="37" spans="2:15">
      <c r="B37" s="25"/>
      <c r="C37" s="25"/>
      <c r="D37" s="25"/>
      <c r="E37" s="25"/>
      <c r="F37" s="25"/>
      <c r="G37" s="25"/>
      <c r="H37" s="25"/>
      <c r="I37" s="25"/>
      <c r="J37" s="25"/>
      <c r="K37" s="25"/>
      <c r="L37" s="25"/>
      <c r="M37" s="25"/>
      <c r="N37" s="25"/>
      <c r="O37" s="25"/>
    </row>
    <row r="38" spans="2:15">
      <c r="B38" s="25"/>
      <c r="C38" s="25"/>
      <c r="D38" s="25"/>
      <c r="E38" s="25"/>
      <c r="F38" s="25"/>
      <c r="G38" s="25"/>
      <c r="H38" s="25"/>
      <c r="I38" s="25"/>
      <c r="J38" s="25"/>
      <c r="K38" s="25"/>
      <c r="L38" s="25"/>
      <c r="M38" s="25"/>
      <c r="N38" s="25"/>
      <c r="O38" s="25"/>
    </row>
    <row r="39" spans="2:15">
      <c r="B39" s="25"/>
      <c r="C39" s="25"/>
      <c r="D39" s="25"/>
      <c r="E39" s="25"/>
      <c r="F39" s="25"/>
      <c r="G39" s="25"/>
      <c r="H39" s="25"/>
      <c r="I39" s="25"/>
      <c r="J39" s="25"/>
      <c r="K39" s="25"/>
      <c r="L39" s="25"/>
      <c r="M39" s="25"/>
      <c r="N39" s="25"/>
      <c r="O39" s="25"/>
    </row>
    <row r="40" spans="2:15">
      <c r="B40" s="25"/>
      <c r="C40" s="25"/>
      <c r="D40" s="25"/>
      <c r="E40" s="25"/>
      <c r="F40" s="25"/>
      <c r="G40" s="25"/>
      <c r="H40" s="25"/>
      <c r="I40" s="25"/>
      <c r="J40" s="25"/>
      <c r="K40" s="25"/>
      <c r="L40" s="25"/>
      <c r="M40" s="25"/>
      <c r="N40" s="25"/>
      <c r="O40" s="25"/>
    </row>
    <row r="41" spans="2:15">
      <c r="B41" s="25"/>
      <c r="C41" s="25"/>
      <c r="D41" s="25"/>
      <c r="E41" s="25"/>
      <c r="F41" s="25"/>
      <c r="G41" s="25"/>
      <c r="H41" s="25"/>
      <c r="I41" s="25"/>
      <c r="J41" s="25"/>
      <c r="K41" s="25"/>
      <c r="L41" s="25"/>
      <c r="M41" s="25"/>
      <c r="N41" s="25"/>
      <c r="O41" s="25"/>
    </row>
    <row r="42" spans="2:15">
      <c r="B42" s="25"/>
      <c r="C42" s="25"/>
      <c r="D42" s="25"/>
      <c r="E42" s="25"/>
      <c r="F42" s="25"/>
      <c r="G42" s="25"/>
      <c r="H42" s="25"/>
      <c r="I42" s="25"/>
      <c r="J42" s="25"/>
      <c r="K42" s="25"/>
      <c r="L42" s="25"/>
      <c r="M42" s="25"/>
      <c r="N42" s="25"/>
      <c r="O42" s="25"/>
    </row>
    <row r="43" spans="2:15">
      <c r="B43" s="25"/>
      <c r="C43" s="25"/>
      <c r="D43" s="25"/>
      <c r="E43" s="25"/>
      <c r="F43" s="25"/>
      <c r="G43" s="25"/>
      <c r="H43" s="25"/>
      <c r="I43" s="25"/>
      <c r="J43" s="25"/>
      <c r="K43" s="25"/>
      <c r="L43" s="25"/>
      <c r="M43" s="25"/>
      <c r="N43" s="25"/>
      <c r="O43" s="25"/>
    </row>
    <row r="44" spans="2:15">
      <c r="B44" s="25"/>
      <c r="C44" s="25"/>
      <c r="D44" s="25"/>
      <c r="E44" s="25"/>
      <c r="F44" s="25"/>
      <c r="G44" s="25"/>
      <c r="H44" s="25"/>
      <c r="I44" s="25"/>
      <c r="J44" s="25"/>
      <c r="K44" s="25"/>
      <c r="L44" s="25"/>
      <c r="M44" s="25"/>
      <c r="N44" s="25"/>
      <c r="O44" s="25"/>
    </row>
    <row r="45" spans="2:15">
      <c r="B45" s="25"/>
      <c r="C45" s="25"/>
      <c r="D45" s="25"/>
      <c r="E45" s="25"/>
      <c r="F45" s="25"/>
      <c r="G45" s="25"/>
      <c r="H45" s="25"/>
      <c r="I45" s="25"/>
      <c r="J45" s="25"/>
      <c r="K45" s="25"/>
      <c r="L45" s="25"/>
      <c r="M45" s="25"/>
      <c r="N45" s="25"/>
      <c r="O45" s="25"/>
    </row>
    <row r="46" spans="2:15">
      <c r="B46" s="25"/>
      <c r="C46" s="25"/>
      <c r="D46" s="25"/>
      <c r="E46" s="25"/>
      <c r="F46" s="25"/>
      <c r="G46" s="25"/>
      <c r="H46" s="25"/>
      <c r="I46" s="25"/>
      <c r="J46" s="25"/>
      <c r="K46" s="25"/>
      <c r="L46" s="25"/>
      <c r="M46" s="25"/>
      <c r="N46" s="25"/>
      <c r="O46" s="25"/>
    </row>
    <row r="47" spans="2:15">
      <c r="B47" s="25"/>
      <c r="C47" s="25"/>
      <c r="D47" s="25"/>
      <c r="E47" s="25"/>
      <c r="F47" s="25"/>
      <c r="G47" s="25"/>
      <c r="H47" s="25"/>
      <c r="I47" s="25"/>
      <c r="J47" s="25"/>
      <c r="K47" s="25"/>
      <c r="L47" s="25"/>
      <c r="M47" s="25"/>
      <c r="N47" s="25"/>
      <c r="O47" s="25"/>
    </row>
    <row r="48" spans="2:15">
      <c r="B48" s="25"/>
      <c r="C48" s="25"/>
      <c r="D48" s="25"/>
      <c r="E48" s="25"/>
      <c r="F48" s="25"/>
      <c r="G48" s="25"/>
      <c r="H48" s="25"/>
      <c r="I48" s="25"/>
      <c r="J48" s="25"/>
      <c r="K48" s="25"/>
      <c r="L48" s="25"/>
      <c r="M48" s="25"/>
      <c r="N48" s="25"/>
      <c r="O48" s="25"/>
    </row>
    <row r="49" spans="2:15">
      <c r="B49" s="25"/>
      <c r="C49" s="25"/>
      <c r="D49" s="25"/>
      <c r="E49" s="25"/>
      <c r="F49" s="25"/>
      <c r="G49" s="25"/>
      <c r="H49" s="25"/>
      <c r="I49" s="25"/>
      <c r="J49" s="25"/>
      <c r="K49" s="25"/>
      <c r="L49" s="25"/>
      <c r="M49" s="25"/>
      <c r="N49" s="25"/>
      <c r="O49" s="25"/>
    </row>
    <row r="50" spans="2:15">
      <c r="B50" s="25"/>
      <c r="C50" s="25"/>
      <c r="D50" s="25"/>
      <c r="E50" s="25"/>
      <c r="F50" s="25"/>
      <c r="G50" s="25"/>
      <c r="H50" s="25"/>
      <c r="I50" s="25"/>
      <c r="J50" s="25"/>
      <c r="K50" s="25"/>
      <c r="L50" s="25"/>
      <c r="M50" s="25"/>
      <c r="N50" s="25"/>
      <c r="O50" s="25"/>
    </row>
    <row r="51" spans="2:15">
      <c r="B51" s="25"/>
      <c r="C51" s="25"/>
      <c r="D51" s="25"/>
      <c r="E51" s="25"/>
      <c r="F51" s="25"/>
      <c r="G51" s="25"/>
      <c r="H51" s="25"/>
      <c r="I51" s="25"/>
      <c r="J51" s="25"/>
      <c r="K51" s="25"/>
      <c r="L51" s="25"/>
      <c r="M51" s="25"/>
      <c r="N51" s="25"/>
      <c r="O51" s="25"/>
    </row>
    <row r="52" spans="2:15">
      <c r="B52" s="25"/>
      <c r="C52" s="25"/>
      <c r="D52" s="25"/>
      <c r="E52" s="25"/>
      <c r="F52" s="25"/>
      <c r="G52" s="25"/>
      <c r="H52" s="25"/>
      <c r="I52" s="25"/>
      <c r="J52" s="25"/>
      <c r="K52" s="25"/>
      <c r="L52" s="25"/>
      <c r="M52" s="25"/>
      <c r="N52" s="25"/>
      <c r="O52" s="25"/>
    </row>
    <row r="53" spans="2:15">
      <c r="B53" s="25"/>
      <c r="C53" s="25"/>
      <c r="D53" s="25"/>
      <c r="E53" s="25"/>
      <c r="F53" s="25"/>
      <c r="G53" s="25"/>
      <c r="H53" s="25"/>
      <c r="I53" s="25"/>
      <c r="J53" s="25"/>
      <c r="K53" s="25"/>
      <c r="L53" s="25"/>
      <c r="M53" s="25"/>
      <c r="N53" s="25"/>
      <c r="O53" s="25"/>
    </row>
    <row r="54" spans="2:15">
      <c r="B54" s="25"/>
      <c r="C54" s="25"/>
      <c r="D54" s="25"/>
      <c r="E54" s="25"/>
      <c r="F54" s="25"/>
      <c r="G54" s="25"/>
      <c r="H54" s="25"/>
      <c r="I54" s="25"/>
      <c r="J54" s="25"/>
      <c r="K54" s="25"/>
      <c r="L54" s="25"/>
      <c r="M54" s="25"/>
      <c r="N54" s="25"/>
      <c r="O54" s="25"/>
    </row>
    <row r="55" spans="2:15">
      <c r="B55" s="25"/>
      <c r="C55" s="25"/>
      <c r="D55" s="25"/>
      <c r="E55" s="25"/>
      <c r="F55" s="25"/>
      <c r="G55" s="25"/>
      <c r="H55" s="25"/>
      <c r="I55" s="25"/>
      <c r="J55" s="25"/>
      <c r="K55" s="25"/>
      <c r="L55" s="25"/>
      <c r="M55" s="25"/>
      <c r="N55" s="25"/>
      <c r="O55" s="25"/>
    </row>
    <row r="56" spans="2:15">
      <c r="B56" s="25"/>
      <c r="C56" s="25"/>
      <c r="D56" s="25"/>
      <c r="E56" s="25"/>
      <c r="F56" s="25"/>
      <c r="G56" s="25"/>
      <c r="H56" s="25"/>
      <c r="I56" s="25"/>
      <c r="J56" s="25"/>
      <c r="K56" s="25"/>
      <c r="L56" s="25"/>
      <c r="M56" s="25"/>
      <c r="N56" s="25"/>
      <c r="O56" s="25"/>
    </row>
    <row r="57" spans="2:15">
      <c r="B57" s="25"/>
      <c r="C57" s="25"/>
      <c r="D57" s="25"/>
      <c r="E57" s="25"/>
      <c r="F57" s="25"/>
      <c r="G57" s="25"/>
      <c r="H57" s="25"/>
      <c r="I57" s="25"/>
      <c r="J57" s="25"/>
      <c r="K57" s="25"/>
      <c r="L57" s="25"/>
      <c r="M57" s="25"/>
      <c r="N57" s="25"/>
      <c r="O57" s="25"/>
    </row>
    <row r="58" spans="2:15">
      <c r="B58" s="25"/>
      <c r="C58" s="25"/>
      <c r="D58" s="25"/>
      <c r="E58" s="25"/>
      <c r="F58" s="25"/>
      <c r="G58" s="25"/>
      <c r="H58" s="25"/>
      <c r="I58" s="25"/>
      <c r="J58" s="25"/>
      <c r="K58" s="25"/>
      <c r="L58" s="25"/>
      <c r="M58" s="25"/>
      <c r="N58" s="25"/>
      <c r="O58" s="25"/>
    </row>
    <row r="59" spans="2:15">
      <c r="B59" s="25"/>
      <c r="C59" s="25"/>
      <c r="D59" s="25"/>
      <c r="E59" s="25"/>
      <c r="F59" s="25"/>
      <c r="G59" s="25"/>
      <c r="H59" s="25"/>
      <c r="I59" s="25"/>
      <c r="J59" s="25"/>
      <c r="K59" s="25"/>
      <c r="L59" s="25"/>
      <c r="M59" s="25"/>
      <c r="N59" s="25"/>
      <c r="O59" s="25"/>
    </row>
    <row r="60" spans="2:15">
      <c r="B60" s="25"/>
      <c r="C60" s="25"/>
      <c r="D60" s="25"/>
      <c r="E60" s="25"/>
      <c r="F60" s="25"/>
      <c r="G60" s="25"/>
      <c r="H60" s="25"/>
      <c r="I60" s="25"/>
      <c r="J60" s="25"/>
      <c r="K60" s="25"/>
      <c r="L60" s="25"/>
      <c r="M60" s="25"/>
      <c r="N60" s="25"/>
      <c r="O60" s="25"/>
    </row>
    <row r="61" spans="2:15">
      <c r="B61" s="25"/>
      <c r="C61" s="25"/>
      <c r="D61" s="25"/>
      <c r="E61" s="25"/>
      <c r="F61" s="25"/>
      <c r="G61" s="25"/>
      <c r="H61" s="25"/>
      <c r="I61" s="25"/>
      <c r="J61" s="25"/>
      <c r="K61" s="25"/>
      <c r="L61" s="25"/>
      <c r="M61" s="25"/>
      <c r="N61" s="25"/>
      <c r="O61" s="25"/>
    </row>
    <row r="62" spans="2:15">
      <c r="B62" s="25"/>
      <c r="C62" s="25"/>
      <c r="D62" s="25"/>
      <c r="E62" s="25"/>
      <c r="F62" s="25"/>
      <c r="G62" s="25"/>
      <c r="H62" s="25"/>
      <c r="I62" s="25"/>
      <c r="J62" s="25"/>
      <c r="K62" s="25"/>
      <c r="L62" s="25"/>
      <c r="M62" s="25"/>
      <c r="N62" s="25"/>
      <c r="O62" s="25"/>
    </row>
    <row r="63" spans="2:15">
      <c r="B63" s="25"/>
      <c r="C63" s="25"/>
      <c r="D63" s="25"/>
      <c r="E63" s="25"/>
      <c r="F63" s="25"/>
      <c r="G63" s="25"/>
      <c r="H63" s="25"/>
      <c r="I63" s="25"/>
      <c r="J63" s="25"/>
      <c r="K63" s="25"/>
      <c r="L63" s="25"/>
      <c r="M63" s="25"/>
      <c r="N63" s="25"/>
      <c r="O63" s="25"/>
    </row>
    <row r="64" spans="2:15">
      <c r="B64" s="25"/>
      <c r="C64" s="25"/>
      <c r="D64" s="25"/>
      <c r="E64" s="25"/>
      <c r="F64" s="25"/>
      <c r="G64" s="25"/>
      <c r="H64" s="25"/>
      <c r="I64" s="25"/>
      <c r="J64" s="25"/>
      <c r="K64" s="25"/>
      <c r="L64" s="25"/>
      <c r="M64" s="25"/>
      <c r="N64" s="25"/>
      <c r="O64" s="25"/>
    </row>
    <row r="65" spans="2:15">
      <c r="B65" s="25"/>
      <c r="C65" s="25"/>
      <c r="D65" s="25"/>
      <c r="E65" s="25"/>
      <c r="F65" s="25"/>
      <c r="G65" s="25"/>
      <c r="H65" s="25"/>
      <c r="I65" s="25"/>
      <c r="J65" s="25"/>
      <c r="K65" s="25"/>
      <c r="L65" s="25"/>
      <c r="M65" s="25"/>
      <c r="N65" s="25"/>
      <c r="O65" s="25"/>
    </row>
  </sheetData>
  <pageMargins left="0.70866141732283472" right="0.70866141732283472" top="1.0208333333333333" bottom="0.74803149606299213"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4"/>
  </sheetPr>
  <dimension ref="A2:O49"/>
  <sheetViews>
    <sheetView showGridLines="0" view="pageBreakPreview" zoomScaleNormal="100" zoomScaleSheetLayoutView="100" zoomScalePageLayoutView="110" workbookViewId="0">
      <selection activeCell="H5" sqref="H5"/>
    </sheetView>
  </sheetViews>
  <sheetFormatPr defaultColWidth="9.33203125" defaultRowHeight="11.25"/>
  <cols>
    <col min="1" max="1" width="12" style="46" customWidth="1"/>
    <col min="2" max="3" width="11" style="46" customWidth="1"/>
    <col min="4" max="5" width="11.33203125" style="46" customWidth="1"/>
    <col min="6" max="6" width="12.33203125" style="46" customWidth="1"/>
    <col min="7" max="7" width="9.33203125" style="46"/>
    <col min="8" max="8" width="13.33203125" style="46" customWidth="1"/>
    <col min="9" max="9" width="13.1640625" style="46" customWidth="1"/>
    <col min="10" max="10" width="11.6640625" style="46" customWidth="1"/>
    <col min="11" max="11" width="9.33203125" style="46"/>
    <col min="12" max="12" width="18.6640625" style="46" bestFit="1" customWidth="1"/>
    <col min="13" max="16384" width="9.33203125" style="46"/>
  </cols>
  <sheetData>
    <row r="2" spans="1:13" ht="16.5" customHeight="1">
      <c r="A2" s="895" t="s">
        <v>468</v>
      </c>
      <c r="B2" s="895"/>
      <c r="C2" s="895"/>
      <c r="D2" s="895"/>
      <c r="E2" s="895"/>
      <c r="F2" s="895"/>
      <c r="G2" s="895"/>
      <c r="H2" s="895"/>
      <c r="I2" s="895"/>
      <c r="J2" s="895"/>
      <c r="K2" s="523"/>
    </row>
    <row r="3" spans="1:13" ht="12" customHeight="1">
      <c r="A3" s="137"/>
      <c r="B3" s="209"/>
      <c r="C3" s="219"/>
      <c r="D3" s="220"/>
      <c r="E3" s="220"/>
      <c r="F3" s="221"/>
      <c r="G3" s="222"/>
      <c r="H3" s="222"/>
      <c r="I3" s="172"/>
      <c r="J3" s="221"/>
    </row>
    <row r="4" spans="1:13" ht="11.25" customHeight="1">
      <c r="A4" s="187" t="s">
        <v>448</v>
      </c>
      <c r="B4" s="209"/>
      <c r="C4" s="219"/>
      <c r="D4" s="220"/>
      <c r="E4" s="220"/>
      <c r="F4" s="221"/>
      <c r="G4" s="222"/>
      <c r="H4" s="222"/>
      <c r="I4" s="172"/>
      <c r="J4" s="221"/>
      <c r="K4" s="329"/>
    </row>
    <row r="5" spans="1:13" ht="11.25" customHeight="1">
      <c r="A5" s="187"/>
      <c r="B5" s="209"/>
      <c r="C5" s="219"/>
      <c r="D5" s="220"/>
      <c r="E5" s="220"/>
      <c r="F5" s="221"/>
      <c r="G5" s="222"/>
      <c r="H5" s="222"/>
      <c r="I5" s="172"/>
      <c r="J5" s="221"/>
      <c r="K5" s="329"/>
    </row>
    <row r="6" spans="1:13" ht="15" customHeight="1">
      <c r="A6" s="137"/>
      <c r="B6" s="209"/>
      <c r="C6" s="219"/>
      <c r="D6" s="220"/>
      <c r="E6" s="220"/>
      <c r="F6" s="221"/>
      <c r="G6" s="222"/>
      <c r="H6" s="222"/>
      <c r="I6" s="172"/>
      <c r="J6" s="221"/>
      <c r="K6" s="329"/>
    </row>
    <row r="7" spans="1:13" ht="20.25" customHeight="1">
      <c r="A7" s="854" t="s">
        <v>551</v>
      </c>
      <c r="B7" s="855" t="s">
        <v>214</v>
      </c>
      <c r="C7" s="855" t="s">
        <v>552</v>
      </c>
      <c r="D7" s="855" t="s">
        <v>553</v>
      </c>
      <c r="E7" s="855" t="s">
        <v>554</v>
      </c>
      <c r="F7" s="856" t="s">
        <v>555</v>
      </c>
      <c r="G7" s="857" t="s">
        <v>556</v>
      </c>
      <c r="H7" s="856" t="s">
        <v>557</v>
      </c>
      <c r="I7" s="857" t="s">
        <v>558</v>
      </c>
      <c r="J7" s="858" t="s">
        <v>559</v>
      </c>
      <c r="K7" s="524"/>
    </row>
    <row r="8" spans="1:13" s="223" customFormat="1" ht="39" customHeight="1">
      <c r="A8" s="866" t="s">
        <v>411</v>
      </c>
      <c r="B8" s="867" t="s">
        <v>37</v>
      </c>
      <c r="C8" s="867" t="s">
        <v>49</v>
      </c>
      <c r="D8" s="867" t="s">
        <v>565</v>
      </c>
      <c r="E8" s="867" t="s">
        <v>730</v>
      </c>
      <c r="F8" s="868" t="s">
        <v>566</v>
      </c>
      <c r="G8" s="869">
        <v>0.48</v>
      </c>
      <c r="H8" s="870">
        <v>2.4</v>
      </c>
      <c r="I8" s="870">
        <v>2.4</v>
      </c>
      <c r="J8" s="871" t="s">
        <v>567</v>
      </c>
      <c r="K8" s="525"/>
    </row>
    <row r="9" spans="1:13" s="223" customFormat="1" ht="39" customHeight="1">
      <c r="A9" s="866" t="s">
        <v>568</v>
      </c>
      <c r="B9" s="867" t="s">
        <v>36</v>
      </c>
      <c r="C9" s="867" t="s">
        <v>44</v>
      </c>
      <c r="D9" s="867" t="s">
        <v>570</v>
      </c>
      <c r="E9" s="867" t="s">
        <v>731</v>
      </c>
      <c r="F9" s="868" t="s">
        <v>566</v>
      </c>
      <c r="G9" s="869">
        <v>6.3</v>
      </c>
      <c r="H9" s="870">
        <v>20</v>
      </c>
      <c r="I9" s="870">
        <v>20</v>
      </c>
      <c r="J9" s="871" t="s">
        <v>569</v>
      </c>
      <c r="K9" s="525"/>
      <c r="L9" s="873" t="s">
        <v>560</v>
      </c>
      <c r="M9" s="873"/>
    </row>
    <row r="10" spans="1:13" s="223" customFormat="1" ht="28.5" customHeight="1">
      <c r="A10" s="859" t="s">
        <v>42</v>
      </c>
      <c r="B10" s="860"/>
      <c r="C10" s="860"/>
      <c r="D10" s="860"/>
      <c r="E10" s="861"/>
      <c r="F10" s="862"/>
      <c r="G10" s="863"/>
      <c r="H10" s="864">
        <f>+H8+H9</f>
        <v>22.4</v>
      </c>
      <c r="I10" s="864">
        <f>+I8+I9</f>
        <v>22.4</v>
      </c>
      <c r="J10" s="865"/>
      <c r="K10" s="525"/>
      <c r="L10" s="873" t="s">
        <v>561</v>
      </c>
      <c r="M10" s="873">
        <v>20</v>
      </c>
    </row>
    <row r="11" spans="1:13" s="223" customFormat="1" ht="28.5" customHeight="1">
      <c r="A11" s="872" t="s">
        <v>732</v>
      </c>
      <c r="K11" s="525"/>
      <c r="L11" s="873" t="s">
        <v>562</v>
      </c>
      <c r="M11" s="873">
        <v>0</v>
      </c>
    </row>
    <row r="12" spans="1:13" s="223" customFormat="1" ht="36.75" customHeight="1">
      <c r="A12" s="772"/>
      <c r="B12" s="773"/>
      <c r="C12" s="773"/>
      <c r="D12" s="773"/>
      <c r="E12" s="773"/>
      <c r="F12" s="774"/>
      <c r="G12" s="775"/>
      <c r="H12" s="776"/>
      <c r="I12" s="776"/>
      <c r="J12" s="777"/>
      <c r="K12" s="525"/>
      <c r="L12" s="873" t="s">
        <v>563</v>
      </c>
      <c r="M12" s="873">
        <v>0</v>
      </c>
    </row>
    <row r="13" spans="1:13" s="223" customFormat="1" ht="24.75" customHeight="1">
      <c r="A13" s="772"/>
      <c r="B13" s="773"/>
      <c r="C13" s="773"/>
      <c r="D13" s="773"/>
      <c r="E13" s="773"/>
      <c r="F13" s="774"/>
      <c r="G13" s="775"/>
      <c r="H13" s="776"/>
      <c r="I13" s="776"/>
      <c r="J13" s="777"/>
      <c r="K13" s="525"/>
      <c r="L13" s="873" t="s">
        <v>564</v>
      </c>
      <c r="M13" s="873">
        <v>2.4</v>
      </c>
    </row>
    <row r="14" spans="1:13" s="223" customFormat="1" ht="24.75" customHeight="1">
      <c r="A14" s="772"/>
      <c r="B14" s="773"/>
      <c r="C14" s="773"/>
      <c r="D14" s="773"/>
      <c r="E14" s="773"/>
      <c r="F14" s="774"/>
      <c r="G14" s="775"/>
      <c r="H14" s="776"/>
      <c r="I14" s="776"/>
      <c r="J14" s="777"/>
      <c r="K14" s="525"/>
    </row>
    <row r="15" spans="1:13" s="223" customFormat="1" ht="30.75" customHeight="1">
      <c r="A15" s="772"/>
      <c r="B15" s="773"/>
      <c r="C15" s="773"/>
      <c r="D15" s="773"/>
      <c r="E15" s="773"/>
      <c r="F15" s="774"/>
      <c r="G15" s="775"/>
      <c r="H15" s="776"/>
      <c r="I15" s="776"/>
      <c r="J15" s="777"/>
      <c r="K15" s="525"/>
    </row>
    <row r="16" spans="1:13" s="223" customFormat="1" ht="30.75" customHeight="1">
      <c r="A16" s="772"/>
      <c r="B16" s="773"/>
      <c r="C16" s="773"/>
      <c r="D16" s="773"/>
      <c r="E16" s="773"/>
      <c r="F16" s="774"/>
      <c r="G16" s="775"/>
      <c r="H16" s="776"/>
      <c r="I16" s="776"/>
      <c r="J16" s="777"/>
      <c r="K16" s="525"/>
    </row>
    <row r="17" spans="1:15" ht="11.25" customHeight="1">
      <c r="A17" s="778"/>
      <c r="B17" s="779"/>
      <c r="C17" s="779"/>
      <c r="D17" s="779"/>
      <c r="E17" s="780"/>
      <c r="F17" s="781"/>
      <c r="G17" s="782"/>
      <c r="H17" s="783"/>
      <c r="I17" s="783"/>
      <c r="J17" s="784"/>
      <c r="K17" s="526"/>
      <c r="L17" s="527"/>
    </row>
    <row r="18" spans="1:15" ht="13.5" customHeight="1">
      <c r="A18" s="654"/>
      <c r="B18" s="132"/>
      <c r="C18" s="132"/>
      <c r="D18" s="132"/>
      <c r="E18" s="132"/>
      <c r="F18" s="132"/>
      <c r="G18" s="132"/>
      <c r="H18" s="132"/>
      <c r="I18" s="132"/>
      <c r="J18" s="132"/>
      <c r="K18" s="526"/>
    </row>
    <row r="19" spans="1:15" ht="11.25" customHeight="1">
      <c r="A19" s="904"/>
      <c r="B19" s="904"/>
      <c r="C19" s="904"/>
      <c r="D19" s="904"/>
      <c r="E19" s="904"/>
      <c r="F19" s="904"/>
      <c r="G19" s="904"/>
      <c r="H19" s="904"/>
      <c r="I19" s="904"/>
      <c r="J19" s="904"/>
      <c r="K19" s="526"/>
    </row>
    <row r="20" spans="1:15" ht="11.25" customHeight="1">
      <c r="A20" s="402"/>
      <c r="B20" s="402"/>
      <c r="C20" s="402"/>
      <c r="D20" s="402"/>
      <c r="E20" s="402"/>
      <c r="F20" s="402"/>
      <c r="G20" s="402"/>
      <c r="H20" s="402"/>
      <c r="I20" s="402"/>
      <c r="J20" s="402"/>
      <c r="K20" s="526"/>
      <c r="M20" s="527"/>
    </row>
    <row r="21" spans="1:15" ht="12.75" customHeight="1">
      <c r="A21" s="905"/>
      <c r="B21" s="905"/>
      <c r="C21" s="905"/>
      <c r="D21" s="905"/>
      <c r="E21" s="905"/>
      <c r="F21" s="905"/>
      <c r="G21" s="905"/>
      <c r="H21" s="905"/>
      <c r="I21" s="905"/>
      <c r="J21" s="905"/>
      <c r="K21" s="526"/>
      <c r="M21" s="527"/>
    </row>
    <row r="22" spans="1:15" ht="11.25" customHeight="1">
      <c r="A22" s="905"/>
      <c r="B22" s="905"/>
      <c r="C22" s="905"/>
      <c r="D22" s="905"/>
      <c r="E22" s="905"/>
      <c r="F22" s="905"/>
      <c r="G22" s="905"/>
      <c r="H22" s="905"/>
      <c r="I22" s="905"/>
      <c r="J22" s="905"/>
      <c r="K22" s="526"/>
      <c r="M22" s="527"/>
    </row>
    <row r="23" spans="1:15" ht="15" customHeight="1">
      <c r="A23" s="226"/>
      <c r="B23" s="224"/>
      <c r="C23" s="224"/>
      <c r="D23" s="224"/>
      <c r="E23" s="224"/>
      <c r="F23" s="224"/>
      <c r="G23" s="224"/>
      <c r="H23" s="227"/>
      <c r="I23" s="227"/>
      <c r="J23" s="227"/>
      <c r="K23" s="526"/>
    </row>
    <row r="24" spans="1:15" ht="11.25" customHeight="1">
      <c r="A24" s="17"/>
      <c r="B24" s="894"/>
      <c r="C24" s="894"/>
      <c r="D24" s="894"/>
      <c r="E24" s="894"/>
      <c r="F24" s="894"/>
      <c r="G24" s="894"/>
      <c r="H24" s="894"/>
      <c r="I24" s="894"/>
      <c r="J24" s="894"/>
      <c r="K24" s="894"/>
    </row>
    <row r="25" spans="1:15" ht="36" customHeight="1">
      <c r="B25" s="906"/>
      <c r="C25" s="906"/>
      <c r="D25" s="906"/>
      <c r="E25" s="906"/>
      <c r="F25" s="906"/>
      <c r="G25" s="906"/>
      <c r="H25" s="906"/>
    </row>
    <row r="26" spans="1:15" ht="11.25" customHeight="1">
      <c r="A26" s="17"/>
      <c r="B26" s="17"/>
      <c r="C26" s="17"/>
      <c r="D26" s="17"/>
      <c r="E26" s="17"/>
      <c r="F26" s="17"/>
      <c r="G26" s="17"/>
      <c r="H26" s="17"/>
      <c r="I26" s="17"/>
      <c r="J26" s="17"/>
      <c r="K26" s="526"/>
    </row>
    <row r="27" spans="1:15" ht="11.25" customHeight="1">
      <c r="A27" s="176" t="s">
        <v>382</v>
      </c>
      <c r="B27" s="132"/>
      <c r="C27" s="225"/>
      <c r="D27" s="132"/>
      <c r="E27" s="132"/>
      <c r="F27" s="132"/>
      <c r="G27" s="132"/>
      <c r="H27" s="132"/>
      <c r="I27" s="132"/>
      <c r="J27" s="132"/>
      <c r="K27" s="526"/>
    </row>
    <row r="28" spans="1:15" ht="11.25" customHeight="1">
      <c r="B28" s="132"/>
      <c r="C28" s="225"/>
      <c r="D28" s="132"/>
      <c r="E28" s="132"/>
      <c r="F28" s="132"/>
      <c r="G28" s="132"/>
      <c r="H28" s="132"/>
      <c r="I28" s="132"/>
      <c r="J28" s="132"/>
      <c r="K28" s="526"/>
    </row>
    <row r="29" spans="1:15" ht="21" customHeight="1">
      <c r="B29" s="892" t="s">
        <v>218</v>
      </c>
      <c r="C29" s="893"/>
      <c r="D29" s="469" t="str">
        <f>UPPER('1. Resumen'!Q4)&amp;" "&amp;'1. Resumen'!Q5</f>
        <v>OCTUBRE 2020</v>
      </c>
      <c r="E29" s="469" t="str">
        <f>UPPER('1. Resumen'!Q4)&amp;" "&amp;'1. Resumen'!Q5-1</f>
        <v>OCTUBRE 2019</v>
      </c>
      <c r="F29" s="470" t="s">
        <v>219</v>
      </c>
      <c r="G29" s="228"/>
      <c r="H29" s="228"/>
      <c r="I29" s="132"/>
      <c r="J29" s="132"/>
    </row>
    <row r="30" spans="1:15" ht="9.75" customHeight="1">
      <c r="B30" s="896" t="s">
        <v>215</v>
      </c>
      <c r="C30" s="897"/>
      <c r="D30" s="453">
        <f>5163.1192475+I9</f>
        <v>5183.1192474999998</v>
      </c>
      <c r="E30" s="454">
        <v>5122.3492474999994</v>
      </c>
      <c r="F30" s="455">
        <f>+D30/E30-1</f>
        <v>1.1863697117032723E-2</v>
      </c>
      <c r="G30" s="228"/>
      <c r="H30" s="228"/>
      <c r="I30" s="132"/>
      <c r="J30" s="132"/>
      <c r="K30" s="526"/>
    </row>
    <row r="31" spans="1:15" ht="9.75" customHeight="1">
      <c r="B31" s="898" t="s">
        <v>216</v>
      </c>
      <c r="C31" s="899"/>
      <c r="D31" s="456">
        <f>7395.9645+I8</f>
        <v>7398.3644999999997</v>
      </c>
      <c r="E31" s="457">
        <v>7431.6745000000001</v>
      </c>
      <c r="F31" s="458">
        <f>+D31/E31-1</f>
        <v>-4.4821661659160128E-3</v>
      </c>
      <c r="G31" s="229"/>
      <c r="H31" s="229"/>
      <c r="M31" s="528"/>
      <c r="N31" s="528"/>
      <c r="O31" s="529"/>
    </row>
    <row r="32" spans="1:15" ht="9.75" customHeight="1">
      <c r="B32" s="900" t="s">
        <v>217</v>
      </c>
      <c r="C32" s="901"/>
      <c r="D32" s="459">
        <v>375.46</v>
      </c>
      <c r="E32" s="460">
        <v>375.46</v>
      </c>
      <c r="F32" s="461">
        <f>+D32/E32-1</f>
        <v>0</v>
      </c>
      <c r="G32" s="229"/>
      <c r="H32" s="229"/>
    </row>
    <row r="33" spans="1:11" ht="9.75" customHeight="1">
      <c r="B33" s="902" t="s">
        <v>80</v>
      </c>
      <c r="C33" s="903"/>
      <c r="D33" s="462">
        <v>285.02</v>
      </c>
      <c r="E33" s="463">
        <v>285.02</v>
      </c>
      <c r="F33" s="464">
        <f>+D33/E33-1</f>
        <v>0</v>
      </c>
      <c r="G33" s="229"/>
      <c r="H33" s="229"/>
    </row>
    <row r="34" spans="1:11" ht="10.5" customHeight="1">
      <c r="B34" s="890" t="s">
        <v>199</v>
      </c>
      <c r="C34" s="891"/>
      <c r="D34" s="465">
        <f>+D30+D31+D32+D33</f>
        <v>13241.963747499998</v>
      </c>
      <c r="E34" s="466">
        <f>+E30+E31+E32+E33</f>
        <v>13214.503747499999</v>
      </c>
      <c r="F34" s="467">
        <f>+D34/E34-1</f>
        <v>2.0780197671210754E-3</v>
      </c>
      <c r="G34" s="401"/>
      <c r="H34" s="229"/>
    </row>
    <row r="35" spans="1:11" ht="11.25" customHeight="1">
      <c r="B35" s="271" t="str">
        <f>"Cuadro N° 2: Comparación de la potencia instalada en el SEIN al término de "&amp;'1. Resumen'!Q4&amp;" "&amp;'1. Resumen'!Q5-1&amp;" y "&amp;'1. Resumen'!Q4&amp;" "&amp;'1. Resumen'!Q5</f>
        <v>Cuadro N° 2: Comparación de la potencia instalada en el SEIN al término de octubre 2019 y octubre 2020</v>
      </c>
      <c r="C35" s="228"/>
      <c r="D35" s="228"/>
      <c r="E35" s="228"/>
      <c r="F35" s="228"/>
      <c r="G35" s="228"/>
      <c r="H35" s="228"/>
      <c r="I35" s="132"/>
      <c r="J35" s="132"/>
      <c r="K35" s="526"/>
    </row>
    <row r="36" spans="1:11" ht="9" customHeight="1">
      <c r="B36" s="271"/>
      <c r="C36" s="228"/>
      <c r="D36" s="228"/>
      <c r="E36" s="228"/>
      <c r="F36" s="228"/>
      <c r="G36" s="228"/>
      <c r="H36" s="228"/>
      <c r="I36" s="132"/>
      <c r="J36" s="132"/>
      <c r="K36" s="526"/>
    </row>
    <row r="37" spans="1:11" ht="25.5" customHeight="1">
      <c r="B37" s="271"/>
      <c r="C37" s="228"/>
      <c r="D37" s="228"/>
      <c r="E37" s="228"/>
      <c r="F37" s="228"/>
      <c r="G37" s="228"/>
      <c r="H37" s="228"/>
      <c r="I37" s="132"/>
      <c r="J37" s="132"/>
      <c r="K37" s="526"/>
    </row>
    <row r="38" spans="1:11" ht="11.25" customHeight="1">
      <c r="B38" s="271"/>
      <c r="C38" s="228"/>
      <c r="D38" s="228"/>
      <c r="E38" s="228"/>
      <c r="F38" s="228"/>
      <c r="G38" s="228"/>
      <c r="H38" s="228"/>
      <c r="I38" s="132"/>
      <c r="J38" s="132"/>
      <c r="K38" s="526"/>
    </row>
    <row r="39" spans="1:11" ht="11.25" customHeight="1">
      <c r="A39" s="132"/>
      <c r="C39" s="229"/>
      <c r="D39" s="228"/>
      <c r="E39" s="228"/>
      <c r="F39" s="228"/>
      <c r="G39" s="228"/>
      <c r="H39" s="228"/>
      <c r="I39" s="132"/>
      <c r="J39" s="132"/>
      <c r="K39" s="526"/>
    </row>
    <row r="40" spans="1:11" ht="11.25" customHeight="1">
      <c r="A40" s="132"/>
      <c r="B40" s="132"/>
      <c r="C40" s="132"/>
      <c r="D40" s="132"/>
      <c r="E40" s="132"/>
      <c r="F40" s="132"/>
      <c r="G40" s="132"/>
      <c r="H40" s="132"/>
      <c r="I40" s="132"/>
      <c r="J40" s="132"/>
      <c r="K40" s="526"/>
    </row>
    <row r="41" spans="1:11" ht="11.25" customHeight="1">
      <c r="A41" s="132"/>
      <c r="B41" s="132"/>
      <c r="C41" s="132"/>
      <c r="D41" s="132"/>
      <c r="E41" s="132"/>
      <c r="F41" s="132"/>
      <c r="G41" s="132"/>
      <c r="H41" s="132"/>
      <c r="I41" s="132"/>
      <c r="J41" s="132"/>
      <c r="K41" s="526"/>
    </row>
    <row r="42" spans="1:11">
      <c r="A42" s="137"/>
      <c r="B42" s="132"/>
      <c r="C42" s="132"/>
      <c r="D42" s="132"/>
      <c r="E42" s="132"/>
      <c r="F42" s="132"/>
      <c r="G42" s="132"/>
      <c r="H42" s="132"/>
      <c r="I42" s="132"/>
      <c r="J42" s="132"/>
    </row>
    <row r="43" spans="1:11">
      <c r="A43" s="132"/>
      <c r="B43" s="132"/>
      <c r="C43" s="132"/>
      <c r="D43" s="132"/>
      <c r="E43" s="132"/>
      <c r="F43" s="132"/>
      <c r="G43" s="132"/>
      <c r="H43" s="132"/>
      <c r="I43" s="132"/>
      <c r="J43" s="132"/>
    </row>
    <row r="44" spans="1:11">
      <c r="A44" s="132"/>
      <c r="B44" s="132"/>
      <c r="C44" s="132"/>
      <c r="D44" s="132"/>
      <c r="E44" s="132"/>
      <c r="F44" s="132"/>
      <c r="G44" s="132"/>
      <c r="H44" s="132"/>
      <c r="I44" s="132"/>
      <c r="J44" s="132"/>
    </row>
    <row r="45" spans="1:11">
      <c r="A45" s="132"/>
      <c r="B45" s="132"/>
      <c r="C45" s="132"/>
      <c r="D45" s="132"/>
      <c r="E45" s="132"/>
      <c r="F45" s="132"/>
      <c r="G45" s="132"/>
      <c r="H45" s="132"/>
      <c r="I45" s="132"/>
      <c r="J45" s="132"/>
    </row>
    <row r="46" spans="1:11">
      <c r="A46" s="132"/>
      <c r="B46" s="132"/>
      <c r="C46" s="132"/>
      <c r="D46" s="132"/>
      <c r="E46" s="132"/>
      <c r="F46" s="132"/>
      <c r="G46" s="132"/>
      <c r="H46" s="132"/>
      <c r="I46" s="132"/>
      <c r="J46" s="132"/>
    </row>
    <row r="47" spans="1:11" ht="13.5" customHeight="1">
      <c r="A47" s="132"/>
      <c r="B47" s="132"/>
      <c r="C47" s="132"/>
      <c r="D47" s="132"/>
      <c r="E47" s="132"/>
      <c r="F47" s="132"/>
      <c r="G47" s="132"/>
      <c r="H47" s="132"/>
      <c r="I47" s="132"/>
      <c r="J47" s="132"/>
    </row>
    <row r="48" spans="1:11" ht="19.5" customHeight="1">
      <c r="A48" s="132"/>
      <c r="B48" s="132"/>
      <c r="C48" s="132"/>
      <c r="D48" s="132"/>
      <c r="E48" s="132"/>
      <c r="F48" s="132"/>
      <c r="G48" s="132"/>
      <c r="H48" s="132"/>
      <c r="I48" s="132"/>
      <c r="J48" s="132"/>
    </row>
    <row r="49" spans="1:10" ht="24" customHeight="1">
      <c r="A49" s="400" t="str">
        <f>"Gráfico N° 3: Comparación de la potencia instalada en el SEIN al término de "&amp;'1. Resumen'!Q4&amp;" "&amp;'1. Resumen'!Q5-1&amp;" y "&amp;'1. Resumen'!Q4&amp;" "&amp;'1. Resumen'!Q5</f>
        <v>Gráfico N° 3: Comparación de la potencia instalada en el SEIN al término de octubre 2019 y octubre 2020</v>
      </c>
      <c r="C49" s="132"/>
      <c r="D49" s="132"/>
      <c r="E49" s="132"/>
      <c r="F49" s="132"/>
      <c r="G49" s="132"/>
      <c r="H49" s="132"/>
      <c r="I49" s="132"/>
      <c r="J49" s="132"/>
    </row>
  </sheetData>
  <mergeCells count="12">
    <mergeCell ref="B34:C34"/>
    <mergeCell ref="B29:C29"/>
    <mergeCell ref="B24:K24"/>
    <mergeCell ref="A2:J2"/>
    <mergeCell ref="B30:C30"/>
    <mergeCell ref="B31:C31"/>
    <mergeCell ref="B32:C32"/>
    <mergeCell ref="B33:C33"/>
    <mergeCell ref="A19:J19"/>
    <mergeCell ref="A21:J21"/>
    <mergeCell ref="B25:H25"/>
    <mergeCell ref="A22:J22"/>
  </mergeCells>
  <conditionalFormatting sqref="A23">
    <cfRule type="containsText" dxfId="1" priority="3" stopIfTrue="1" operator="containsText" text=" 0%">
      <formula>NOT(ISERROR(SEARCH(" 0%",A23)))</formula>
    </cfRule>
    <cfRule type="containsText" dxfId="0" priority="4" stopIfTrue="1" operator="containsText" text="0.0%">
      <formula>NOT(ISERROR(SEARCH("0.0%",A23)))</formula>
    </cfRule>
  </conditionalFormatting>
  <pageMargins left="0.70866141732283472" right="0.59055118110236227" top="1.0236220472440944" bottom="0.62992125984251968" header="0.31496062992125984" footer="0.31496062992125984"/>
  <pageSetup paperSize="9" scale="95" orientation="portrait" r:id="rId1"/>
  <headerFooter>
    <oddHeader>&amp;R&amp;7Informe de la Operación Mensual-Octubre 2020
INFSGI-MES-10-2020
12/11/2020
Versión: 01</oddHeader>
    <oddFooter>&amp;L&amp;7COES, 2020&amp;C2&amp;R&amp;7Dirección Ejecutiva
Sub Dirección de Gestión de Información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4"/>
  </sheetPr>
  <dimension ref="A1:K69"/>
  <sheetViews>
    <sheetView showGridLines="0" view="pageBreakPreview" zoomScaleNormal="100" zoomScaleSheetLayoutView="100" zoomScalePageLayoutView="130" workbookViewId="0">
      <selection activeCell="O14" sqref="O14"/>
    </sheetView>
  </sheetViews>
  <sheetFormatPr defaultColWidth="9.33203125" defaultRowHeight="11.25"/>
  <cols>
    <col min="1" max="1" width="21" style="46" customWidth="1"/>
    <col min="2" max="4" width="10.5" style="46" bestFit="1" customWidth="1"/>
    <col min="5" max="5" width="10" style="46" customWidth="1"/>
    <col min="6" max="6" width="8.6640625" style="46" customWidth="1"/>
    <col min="7" max="8" width="10.5" style="46" bestFit="1" customWidth="1"/>
    <col min="9" max="9" width="10.1640625" style="46" customWidth="1"/>
    <col min="10" max="10" width="10.33203125" style="46" customWidth="1"/>
    <col min="11" max="11" width="9.6640625" style="46" customWidth="1"/>
    <col min="12" max="16384" width="9.33203125" style="46"/>
  </cols>
  <sheetData>
    <row r="1" spans="1:11" ht="11.25" customHeight="1"/>
    <row r="2" spans="1:11" ht="16.5" customHeight="1">
      <c r="A2" s="911" t="s">
        <v>221</v>
      </c>
      <c r="B2" s="911"/>
      <c r="C2" s="911"/>
      <c r="D2" s="911"/>
      <c r="E2" s="911"/>
      <c r="F2" s="911"/>
      <c r="G2" s="911"/>
      <c r="H2" s="911"/>
      <c r="I2" s="911"/>
      <c r="J2" s="911"/>
      <c r="K2" s="911"/>
    </row>
    <row r="3" spans="1:11" ht="11.25" customHeight="1">
      <c r="A3" s="83"/>
      <c r="B3" s="84"/>
      <c r="C3" s="85"/>
      <c r="D3" s="86"/>
      <c r="E3" s="86"/>
      <c r="F3" s="86"/>
      <c r="G3" s="86"/>
      <c r="H3" s="83"/>
      <c r="I3" s="83"/>
      <c r="J3" s="83"/>
      <c r="K3" s="87"/>
    </row>
    <row r="4" spans="1:11" ht="11.25" customHeight="1">
      <c r="A4" s="912" t="str">
        <f>+"3.1. PRODUCCIÓN POR TIPO DE GENERACIÓN (GWh)"</f>
        <v>3.1. PRODUCCIÓN POR TIPO DE GENERACIÓN (GWh)</v>
      </c>
      <c r="B4" s="912"/>
      <c r="C4" s="912"/>
      <c r="D4" s="912"/>
      <c r="E4" s="912"/>
      <c r="F4" s="912"/>
      <c r="G4" s="912"/>
      <c r="H4" s="912"/>
      <c r="I4" s="912"/>
      <c r="J4" s="912"/>
      <c r="K4" s="912"/>
    </row>
    <row r="5" spans="1:11" ht="11.25" customHeight="1">
      <c r="A5" s="54"/>
      <c r="B5" s="88"/>
      <c r="C5" s="89"/>
      <c r="D5" s="90"/>
      <c r="E5" s="90"/>
      <c r="F5" s="90"/>
      <c r="G5" s="90"/>
      <c r="H5" s="91"/>
      <c r="I5" s="83"/>
      <c r="J5" s="83"/>
      <c r="K5" s="92"/>
    </row>
    <row r="6" spans="1:11" ht="18" customHeight="1">
      <c r="A6" s="909" t="s">
        <v>32</v>
      </c>
      <c r="B6" s="913" t="s">
        <v>33</v>
      </c>
      <c r="C6" s="914"/>
      <c r="D6" s="914"/>
      <c r="E6" s="914" t="s">
        <v>34</v>
      </c>
      <c r="F6" s="914"/>
      <c r="G6" s="915" t="str">
        <f>"Generación Acumulada a "&amp;'1. Resumen'!Q4</f>
        <v>Generación Acumulada a octubre</v>
      </c>
      <c r="H6" s="915"/>
      <c r="I6" s="915"/>
      <c r="J6" s="915"/>
      <c r="K6" s="916"/>
    </row>
    <row r="7" spans="1:11" ht="32.25" customHeight="1">
      <c r="A7" s="910"/>
      <c r="B7" s="471">
        <f>+C7-30</f>
        <v>44047</v>
      </c>
      <c r="C7" s="471">
        <f>+D7-28</f>
        <v>44077</v>
      </c>
      <c r="D7" s="471">
        <f>+'1. Resumen'!Q6</f>
        <v>44105</v>
      </c>
      <c r="E7" s="471">
        <f>+D7-365</f>
        <v>43740</v>
      </c>
      <c r="F7" s="472" t="s">
        <v>35</v>
      </c>
      <c r="G7" s="473">
        <v>2020</v>
      </c>
      <c r="H7" s="473">
        <v>2019</v>
      </c>
      <c r="I7" s="472" t="s">
        <v>476</v>
      </c>
      <c r="J7" s="473">
        <v>2018</v>
      </c>
      <c r="K7" s="474" t="s">
        <v>423</v>
      </c>
    </row>
    <row r="8" spans="1:11" ht="15" customHeight="1">
      <c r="A8" s="116" t="s">
        <v>36</v>
      </c>
      <c r="B8" s="346">
        <v>1903.0458479450001</v>
      </c>
      <c r="C8" s="342">
        <v>1834.2373591500002</v>
      </c>
      <c r="D8" s="347">
        <v>2050.4873854824996</v>
      </c>
      <c r="E8" s="346">
        <v>2126.1102036450002</v>
      </c>
      <c r="F8" s="237">
        <f>IF(E8=0,"",D8/E8-1)</f>
        <v>-3.55686257621326E-2</v>
      </c>
      <c r="G8" s="354">
        <v>24799.318567299997</v>
      </c>
      <c r="H8" s="342">
        <v>24502.641660175006</v>
      </c>
      <c r="I8" s="241">
        <f>IF(H8=0,"",G8/H8-1)</f>
        <v>1.210795600080905E-2</v>
      </c>
      <c r="J8" s="346">
        <v>24328.458695435002</v>
      </c>
      <c r="K8" s="237">
        <f t="shared" ref="K8:K15" si="0">IF(J8=0,"",H8/J8-1)</f>
        <v>7.1596383034608913E-3</v>
      </c>
    </row>
    <row r="9" spans="1:11" ht="15" customHeight="1">
      <c r="A9" s="117" t="s">
        <v>37</v>
      </c>
      <c r="B9" s="348">
        <v>2128.7743842650002</v>
      </c>
      <c r="C9" s="247">
        <v>2112.6813153449998</v>
      </c>
      <c r="D9" s="349">
        <v>2165.786931865</v>
      </c>
      <c r="E9" s="348">
        <v>2117.34931899</v>
      </c>
      <c r="F9" s="238">
        <f t="shared" ref="F9:F15" si="1">IF(E9=0,"",D9/E9-1)</f>
        <v>2.2876533617091299E-2</v>
      </c>
      <c r="G9" s="355">
        <v>13296.695786569999</v>
      </c>
      <c r="H9" s="247">
        <v>17401.832639089997</v>
      </c>
      <c r="I9" s="242">
        <f t="shared" ref="I9:I15" si="2">IF(H9=0,"",G9/H9-1)</f>
        <v>-0.23590255909590618</v>
      </c>
      <c r="J9" s="348">
        <v>15906.4315954875</v>
      </c>
      <c r="K9" s="238">
        <f t="shared" si="0"/>
        <v>9.4012351835513375E-2</v>
      </c>
    </row>
    <row r="10" spans="1:11" ht="15" customHeight="1">
      <c r="A10" s="118" t="s">
        <v>38</v>
      </c>
      <c r="B10" s="350">
        <v>183.26538812499999</v>
      </c>
      <c r="C10" s="248">
        <v>173.50573414250002</v>
      </c>
      <c r="D10" s="351">
        <v>172.07044422999999</v>
      </c>
      <c r="E10" s="350">
        <v>162.04094952</v>
      </c>
      <c r="F10" s="239">
        <f>IF(E10=0,"",D10/E10-1)</f>
        <v>6.189481572225719E-2</v>
      </c>
      <c r="G10" s="356">
        <v>1499.30211882</v>
      </c>
      <c r="H10" s="248">
        <v>1386.6491204849999</v>
      </c>
      <c r="I10" s="243">
        <f t="shared" si="2"/>
        <v>8.1241171014912572E-2</v>
      </c>
      <c r="J10" s="350">
        <v>1214.5383555075</v>
      </c>
      <c r="K10" s="239">
        <f t="shared" si="0"/>
        <v>0.14170879346629017</v>
      </c>
    </row>
    <row r="11" spans="1:11" ht="15" customHeight="1">
      <c r="A11" s="117" t="s">
        <v>30</v>
      </c>
      <c r="B11" s="348">
        <v>64.267350870000001</v>
      </c>
      <c r="C11" s="247">
        <v>70.43034175999999</v>
      </c>
      <c r="D11" s="349">
        <v>76.332032090000013</v>
      </c>
      <c r="E11" s="348">
        <v>77.070130602500001</v>
      </c>
      <c r="F11" s="238">
        <f>IF(E11=0,"",D11/E11-1)</f>
        <v>-9.5769723851492072E-3</v>
      </c>
      <c r="G11" s="355">
        <v>622.69887022499995</v>
      </c>
      <c r="H11" s="247">
        <v>609.06993416249986</v>
      </c>
      <c r="I11" s="242">
        <f t="shared" si="2"/>
        <v>2.2376635749128848E-2</v>
      </c>
      <c r="J11" s="348">
        <v>591.86199672000009</v>
      </c>
      <c r="K11" s="238">
        <f t="shared" si="0"/>
        <v>2.9074239498165566E-2</v>
      </c>
    </row>
    <row r="12" spans="1:11" ht="15" customHeight="1">
      <c r="A12" s="145" t="s">
        <v>42</v>
      </c>
      <c r="B12" s="352">
        <f>+SUM(B8:B11)</f>
        <v>4279.3529712050004</v>
      </c>
      <c r="C12" s="343">
        <f t="shared" ref="C12:E12" si="3">+SUM(C8:C11)</f>
        <v>4190.8547503975005</v>
      </c>
      <c r="D12" s="353">
        <f t="shared" si="3"/>
        <v>4464.6767936674996</v>
      </c>
      <c r="E12" s="352">
        <f t="shared" si="3"/>
        <v>4482.5706027575006</v>
      </c>
      <c r="F12" s="240">
        <f>IF(E12=0,"",D12/E12-1)</f>
        <v>-3.9918633024973449E-3</v>
      </c>
      <c r="G12" s="352">
        <f t="shared" ref="G12:J12" si="4">+SUM(G8:G11)</f>
        <v>40218.015342914994</v>
      </c>
      <c r="H12" s="343">
        <f t="shared" si="4"/>
        <v>43900.193353912502</v>
      </c>
      <c r="I12" s="244">
        <f>IF(H12=0,"",G12/H12-1)</f>
        <v>-8.3876122852414303E-2</v>
      </c>
      <c r="J12" s="352">
        <f t="shared" si="4"/>
        <v>42041.290643150001</v>
      </c>
      <c r="K12" s="240">
        <f t="shared" si="0"/>
        <v>4.4216119018348543E-2</v>
      </c>
    </row>
    <row r="13" spans="1:11" ht="15" customHeight="1">
      <c r="A13" s="112"/>
      <c r="B13" s="112"/>
      <c r="C13" s="112"/>
      <c r="D13" s="112"/>
      <c r="E13" s="112"/>
      <c r="F13" s="114"/>
      <c r="G13" s="112"/>
      <c r="H13" s="112"/>
      <c r="I13" s="832"/>
      <c r="J13" s="113"/>
      <c r="K13" s="114" t="str">
        <f t="shared" si="0"/>
        <v/>
      </c>
    </row>
    <row r="14" spans="1:11" ht="15" customHeight="1">
      <c r="A14" s="119" t="s">
        <v>39</v>
      </c>
      <c r="B14" s="235">
        <v>2.9197444899999985</v>
      </c>
      <c r="C14" s="236">
        <v>0.5068694199999999</v>
      </c>
      <c r="D14" s="345">
        <v>0</v>
      </c>
      <c r="E14" s="235">
        <v>0</v>
      </c>
      <c r="F14" s="120" t="str">
        <f t="shared" si="1"/>
        <v/>
      </c>
      <c r="G14" s="235">
        <v>37.447757109999998</v>
      </c>
      <c r="H14" s="236">
        <v>57.917815239999996</v>
      </c>
      <c r="I14" s="123">
        <f t="shared" si="2"/>
        <v>-0.35343284350723725</v>
      </c>
      <c r="J14" s="235">
        <v>21.20075765</v>
      </c>
      <c r="K14" s="120">
        <f t="shared" si="0"/>
        <v>1.7318747846730842</v>
      </c>
    </row>
    <row r="15" spans="1:11" ht="15" customHeight="1">
      <c r="A15" s="118" t="s">
        <v>40</v>
      </c>
      <c r="B15" s="232">
        <v>0</v>
      </c>
      <c r="C15" s="233">
        <v>0</v>
      </c>
      <c r="D15" s="234">
        <v>0</v>
      </c>
      <c r="E15" s="232">
        <v>0</v>
      </c>
      <c r="F15" s="121" t="str">
        <f t="shared" si="1"/>
        <v/>
      </c>
      <c r="G15" s="232">
        <v>0</v>
      </c>
      <c r="H15" s="233">
        <v>0</v>
      </c>
      <c r="I15" s="115" t="str">
        <f t="shared" si="2"/>
        <v/>
      </c>
      <c r="J15" s="232">
        <v>0</v>
      </c>
      <c r="K15" s="121" t="str">
        <f t="shared" si="0"/>
        <v/>
      </c>
    </row>
    <row r="16" spans="1:11" ht="23.25" customHeight="1">
      <c r="A16" s="125" t="s">
        <v>41</v>
      </c>
      <c r="B16" s="245">
        <f>+B15-B14</f>
        <v>-2.9197444899999985</v>
      </c>
      <c r="C16" s="246">
        <f t="shared" ref="C16:E16" si="5">+C15-C14</f>
        <v>-0.5068694199999999</v>
      </c>
      <c r="D16" s="406">
        <f t="shared" si="5"/>
        <v>0</v>
      </c>
      <c r="E16" s="245">
        <f t="shared" si="5"/>
        <v>0</v>
      </c>
      <c r="F16" s="122"/>
      <c r="G16" s="245">
        <f t="shared" ref="G16:H16" si="6">+G15-G14</f>
        <v>-37.447757109999998</v>
      </c>
      <c r="H16" s="246">
        <f t="shared" si="6"/>
        <v>-57.917815239999996</v>
      </c>
      <c r="I16" s="124"/>
      <c r="J16" s="245">
        <f>+J15-J14</f>
        <v>-21.20075765</v>
      </c>
      <c r="K16" s="122"/>
    </row>
    <row r="17" spans="1:11" ht="11.25" customHeight="1">
      <c r="A17" s="231" t="s">
        <v>220</v>
      </c>
      <c r="B17" s="110"/>
      <c r="C17" s="110"/>
      <c r="D17" s="110"/>
      <c r="E17" s="110"/>
      <c r="F17" s="110"/>
      <c r="G17" s="110"/>
      <c r="H17" s="110"/>
      <c r="I17" s="110"/>
      <c r="J17" s="110"/>
      <c r="K17" s="110"/>
    </row>
    <row r="18" spans="1:11" ht="11.25" customHeight="1">
      <c r="A18" s="31"/>
      <c r="B18" s="110"/>
      <c r="C18" s="110"/>
      <c r="D18" s="110"/>
      <c r="E18" s="110"/>
      <c r="F18" s="110"/>
      <c r="G18" s="110"/>
      <c r="H18" s="110"/>
      <c r="I18" s="110"/>
      <c r="J18" s="110"/>
      <c r="K18" s="110"/>
    </row>
    <row r="19" spans="1:11" ht="11.25" customHeight="1">
      <c r="A19" s="1"/>
      <c r="B19" s="95"/>
      <c r="C19" s="95"/>
      <c r="D19" s="95"/>
      <c r="E19" s="95"/>
      <c r="F19" s="95"/>
      <c r="G19" s="95"/>
      <c r="H19" s="95"/>
      <c r="I19" s="95"/>
      <c r="J19" s="95"/>
      <c r="K19" s="95"/>
    </row>
    <row r="20" spans="1:11" ht="11.25" customHeight="1">
      <c r="A20" s="1"/>
      <c r="B20" s="95"/>
      <c r="C20" s="95"/>
      <c r="D20" s="95"/>
      <c r="E20" s="95"/>
      <c r="F20" s="95"/>
      <c r="G20" s="95"/>
      <c r="H20" s="95"/>
      <c r="I20" s="95"/>
      <c r="J20" s="95"/>
      <c r="K20" s="95"/>
    </row>
    <row r="21" spans="1:11" ht="11.25" customHeight="1">
      <c r="A21" s="54"/>
      <c r="B21" s="54"/>
      <c r="C21" s="54"/>
      <c r="D21" s="54"/>
      <c r="E21" s="54"/>
      <c r="F21" s="54"/>
      <c r="G21" s="54"/>
      <c r="H21" s="54"/>
      <c r="I21" s="54"/>
      <c r="J21" s="54"/>
      <c r="K21" s="54"/>
    </row>
    <row r="22" spans="1:11" ht="11.25" customHeight="1">
      <c r="A22" s="1"/>
      <c r="B22" s="95"/>
      <c r="C22" s="95"/>
      <c r="D22" s="95"/>
      <c r="E22" s="95"/>
      <c r="F22" s="95"/>
      <c r="G22" s="95"/>
      <c r="H22" s="95"/>
      <c r="I22" s="95"/>
      <c r="J22" s="95"/>
      <c r="K22" s="95"/>
    </row>
    <row r="23" spans="1:11" ht="11.25" customHeight="1">
      <c r="A23" s="1"/>
      <c r="B23" s="95"/>
      <c r="C23" s="95"/>
      <c r="D23" s="95"/>
      <c r="E23" s="95"/>
      <c r="F23" s="95"/>
      <c r="G23" s="95"/>
      <c r="H23" s="95"/>
      <c r="I23" s="95"/>
      <c r="J23" s="95"/>
      <c r="K23" s="95"/>
    </row>
    <row r="24" spans="1:11" ht="11.25" customHeight="1">
      <c r="A24" s="1"/>
      <c r="B24" s="95"/>
      <c r="C24" s="95"/>
      <c r="D24" s="95"/>
      <c r="E24" s="95"/>
      <c r="F24" s="95"/>
      <c r="G24" s="95"/>
      <c r="H24" s="95"/>
      <c r="I24" s="95"/>
      <c r="J24" s="95"/>
      <c r="K24" s="95"/>
    </row>
    <row r="25" spans="1:11" ht="11.25" customHeight="1">
      <c r="A25" s="1"/>
      <c r="B25" s="95"/>
      <c r="C25" s="95"/>
      <c r="D25" s="95"/>
      <c r="E25" s="95"/>
      <c r="F25" s="95"/>
      <c r="G25" s="95"/>
      <c r="H25" s="95"/>
      <c r="I25" s="95"/>
      <c r="J25" s="95"/>
      <c r="K25" s="95"/>
    </row>
    <row r="26" spans="1:11" ht="11.25" customHeight="1">
      <c r="A26" s="1"/>
      <c r="B26" s="95"/>
      <c r="C26" s="95"/>
      <c r="D26" s="95"/>
      <c r="E26" s="95"/>
      <c r="F26" s="95"/>
      <c r="G26" s="95"/>
      <c r="H26" s="95"/>
      <c r="I26" s="95"/>
      <c r="J26" s="95"/>
      <c r="K26" s="95"/>
    </row>
    <row r="27" spans="1:11" ht="11.25" customHeight="1">
      <c r="A27" s="1"/>
      <c r="B27" s="95"/>
      <c r="C27" s="95"/>
      <c r="D27" s="95"/>
      <c r="E27" s="95"/>
      <c r="F27" s="95"/>
      <c r="G27" s="95"/>
      <c r="H27" s="95"/>
      <c r="I27" s="95"/>
      <c r="J27" s="95"/>
      <c r="K27" s="95"/>
    </row>
    <row r="28" spans="1:11" ht="11.25" customHeight="1">
      <c r="A28" s="1"/>
      <c r="B28" s="95"/>
      <c r="C28" s="95"/>
      <c r="D28" s="95"/>
      <c r="E28" s="95"/>
      <c r="F28" s="95"/>
      <c r="G28" s="95"/>
      <c r="H28" s="95"/>
      <c r="I28" s="95"/>
      <c r="J28" s="95"/>
      <c r="K28" s="95"/>
    </row>
    <row r="29" spans="1:11" ht="11.25" customHeight="1">
      <c r="A29" s="1"/>
      <c r="B29" s="95"/>
      <c r="C29" s="95"/>
      <c r="D29" s="95"/>
      <c r="E29" s="95"/>
      <c r="F29" s="95"/>
      <c r="G29" s="95"/>
      <c r="H29" s="95"/>
      <c r="I29" s="95"/>
      <c r="J29" s="95"/>
      <c r="K29" s="95"/>
    </row>
    <row r="30" spans="1:11" ht="11.25" customHeight="1">
      <c r="A30" s="1"/>
      <c r="B30" s="95"/>
      <c r="C30" s="95"/>
      <c r="D30" s="95"/>
      <c r="E30" s="95"/>
      <c r="F30" s="95"/>
      <c r="G30" s="95"/>
      <c r="H30" s="95"/>
      <c r="I30" s="95"/>
      <c r="J30" s="95"/>
      <c r="K30" s="95"/>
    </row>
    <row r="31" spans="1:11" ht="11.25" customHeight="1">
      <c r="A31" s="1"/>
      <c r="B31" s="95"/>
      <c r="C31" s="95"/>
      <c r="D31" s="95"/>
      <c r="E31" s="95"/>
      <c r="F31" s="95"/>
      <c r="G31" s="95"/>
      <c r="H31" s="95"/>
      <c r="I31" s="95"/>
      <c r="J31" s="95"/>
      <c r="K31" s="95"/>
    </row>
    <row r="32" spans="1:11" ht="11.25" customHeight="1">
      <c r="A32" s="1"/>
      <c r="B32" s="95"/>
      <c r="C32" s="95"/>
      <c r="D32" s="95"/>
      <c r="E32" s="95"/>
      <c r="F32" s="95"/>
      <c r="G32" s="95"/>
      <c r="H32" s="95"/>
      <c r="I32" s="95"/>
      <c r="J32" s="95"/>
      <c r="K32" s="95"/>
    </row>
    <row r="33" spans="1:11" ht="11.25" customHeight="1">
      <c r="A33" s="1"/>
      <c r="B33" s="95"/>
      <c r="C33" s="95"/>
      <c r="D33" s="95"/>
      <c r="E33" s="95"/>
      <c r="F33" s="95"/>
      <c r="G33" s="95"/>
      <c r="H33" s="95"/>
      <c r="I33" s="95"/>
      <c r="J33" s="95"/>
      <c r="K33" s="95"/>
    </row>
    <row r="34" spans="1:11" ht="11.25" customHeight="1">
      <c r="A34" s="1"/>
      <c r="B34" s="95"/>
      <c r="C34" s="95"/>
      <c r="D34" s="95"/>
      <c r="E34" s="95"/>
      <c r="F34" s="95"/>
      <c r="G34" s="95"/>
      <c r="H34" s="95"/>
      <c r="I34" s="95"/>
      <c r="J34" s="95"/>
      <c r="K34" s="95"/>
    </row>
    <row r="35" spans="1:11" ht="11.25" customHeight="1">
      <c r="A35" s="1"/>
      <c r="B35" s="95"/>
      <c r="C35" s="95"/>
      <c r="D35" s="95"/>
      <c r="E35" s="95"/>
      <c r="F35" s="95"/>
      <c r="G35" s="95"/>
      <c r="H35" s="95"/>
      <c r="I35" s="95"/>
      <c r="J35" s="95"/>
      <c r="K35" s="95"/>
    </row>
    <row r="36" spans="1:11" ht="11.25" customHeight="1">
      <c r="A36" s="1"/>
      <c r="B36" s="95"/>
      <c r="C36" s="95"/>
      <c r="D36" s="95"/>
      <c r="E36" s="95"/>
      <c r="F36" s="95"/>
      <c r="G36" s="95"/>
      <c r="H36" s="95"/>
      <c r="I36" s="95"/>
      <c r="J36" s="95"/>
      <c r="K36" s="95"/>
    </row>
    <row r="37" spans="1:11" ht="11.25" customHeight="1">
      <c r="A37" s="1"/>
      <c r="B37" s="95"/>
      <c r="C37" s="95"/>
      <c r="D37" s="95"/>
      <c r="E37" s="95"/>
      <c r="F37" s="95"/>
      <c r="G37" s="95"/>
      <c r="H37" s="95"/>
      <c r="I37" s="95"/>
      <c r="J37" s="95"/>
      <c r="K37" s="95"/>
    </row>
    <row r="38" spans="1:11" ht="11.25" customHeight="1">
      <c r="A38" s="1"/>
      <c r="B38" s="95"/>
      <c r="C38" s="95"/>
      <c r="D38" s="95"/>
      <c r="E38" s="95"/>
      <c r="F38" s="95"/>
      <c r="G38" s="95"/>
      <c r="H38" s="95"/>
      <c r="I38" s="95"/>
      <c r="J38" s="95"/>
      <c r="K38" s="95"/>
    </row>
    <row r="39" spans="1:11" ht="11.25" customHeight="1">
      <c r="A39" s="1"/>
      <c r="B39" s="95"/>
      <c r="C39" s="95"/>
      <c r="D39" s="95"/>
      <c r="E39" s="95"/>
      <c r="F39" s="95"/>
      <c r="G39" s="95"/>
      <c r="H39" s="95"/>
      <c r="I39" s="95"/>
      <c r="J39" s="95"/>
      <c r="K39" s="95"/>
    </row>
    <row r="40" spans="1:11" ht="11.25" customHeight="1">
      <c r="A40" s="1"/>
      <c r="B40" s="95"/>
      <c r="C40" s="95"/>
      <c r="D40" s="95"/>
      <c r="E40" s="95"/>
      <c r="F40" s="95"/>
      <c r="G40" s="95"/>
      <c r="H40" s="95"/>
      <c r="I40" s="95"/>
      <c r="J40" s="95"/>
      <c r="K40" s="95"/>
    </row>
    <row r="41" spans="1:11" ht="11.25" customHeight="1">
      <c r="A41" s="1"/>
      <c r="B41" s="95"/>
      <c r="C41" s="95"/>
      <c r="D41" s="95"/>
      <c r="E41" s="95"/>
      <c r="F41" s="95"/>
      <c r="G41" s="95"/>
      <c r="H41" s="95"/>
      <c r="I41" s="95"/>
      <c r="J41" s="95"/>
      <c r="K41" s="95"/>
    </row>
    <row r="42" spans="1:11" ht="11.25" customHeight="1">
      <c r="A42" s="96"/>
      <c r="B42" s="907"/>
      <c r="C42" s="907"/>
      <c r="D42" s="907"/>
      <c r="E42" s="93"/>
      <c r="F42" s="93"/>
      <c r="G42" s="908"/>
      <c r="H42" s="908"/>
      <c r="I42" s="908"/>
      <c r="J42" s="908"/>
      <c r="K42" s="908"/>
    </row>
    <row r="43" spans="1:11" ht="11.25" customHeight="1">
      <c r="A43" s="97"/>
      <c r="B43" s="98"/>
      <c r="C43" s="98"/>
      <c r="D43" s="98"/>
      <c r="E43" s="98"/>
      <c r="F43" s="98"/>
      <c r="G43" s="99"/>
      <c r="H43" s="99"/>
      <c r="I43" s="100"/>
      <c r="J43" s="99"/>
      <c r="K43" s="99"/>
    </row>
    <row r="44" spans="1:11" ht="11.25" customHeight="1">
      <c r="A44" s="96"/>
      <c r="B44" s="101"/>
      <c r="C44" s="94"/>
      <c r="D44" s="94"/>
      <c r="E44" s="94"/>
      <c r="F44" s="94"/>
      <c r="G44" s="94"/>
      <c r="H44" s="94"/>
      <c r="I44" s="94"/>
      <c r="J44" s="94"/>
      <c r="K44" s="94"/>
    </row>
    <row r="45" spans="1:11" ht="11.25" customHeight="1">
      <c r="A45" s="1"/>
      <c r="B45" s="72"/>
      <c r="C45" s="72"/>
      <c r="D45" s="72"/>
      <c r="E45" s="72"/>
      <c r="F45" s="72"/>
      <c r="G45" s="72"/>
      <c r="H45" s="72"/>
      <c r="I45" s="102"/>
      <c r="J45" s="72"/>
      <c r="K45" s="103"/>
    </row>
    <row r="46" spans="1:11" ht="11.25" customHeight="1">
      <c r="A46" s="1"/>
      <c r="B46" s="72"/>
      <c r="C46" s="72"/>
      <c r="D46" s="72"/>
      <c r="E46" s="72"/>
      <c r="F46" s="72"/>
      <c r="G46" s="72"/>
      <c r="H46" s="72"/>
      <c r="I46" s="102"/>
      <c r="J46" s="72"/>
      <c r="K46" s="103"/>
    </row>
    <row r="47" spans="1:11" ht="11.25" customHeight="1">
      <c r="A47" s="1"/>
      <c r="B47" s="72"/>
      <c r="C47" s="72"/>
      <c r="D47" s="72"/>
      <c r="E47" s="72"/>
      <c r="F47" s="72"/>
      <c r="G47" s="72"/>
      <c r="H47" s="72"/>
      <c r="I47" s="102"/>
      <c r="J47" s="72"/>
      <c r="K47" s="103"/>
    </row>
    <row r="48" spans="1:11" ht="11.25" customHeight="1">
      <c r="A48" s="1"/>
      <c r="B48" s="72"/>
      <c r="C48" s="72"/>
      <c r="D48" s="72"/>
      <c r="E48" s="72"/>
      <c r="F48" s="72"/>
      <c r="G48" s="72"/>
      <c r="H48" s="72"/>
      <c r="I48" s="102"/>
      <c r="J48" s="72"/>
      <c r="K48" s="103"/>
    </row>
    <row r="49" spans="1:11" ht="11.25" customHeight="1">
      <c r="A49" s="1"/>
      <c r="B49" s="72"/>
      <c r="C49" s="72"/>
      <c r="D49" s="72"/>
      <c r="E49" s="72"/>
      <c r="F49" s="72"/>
      <c r="G49" s="72"/>
      <c r="H49" s="72"/>
      <c r="I49" s="102"/>
      <c r="J49" s="72"/>
      <c r="K49" s="103"/>
    </row>
    <row r="50" spans="1:11" ht="11.25" customHeight="1">
      <c r="A50" s="1"/>
      <c r="B50" s="72"/>
      <c r="C50" s="72"/>
      <c r="D50" s="72"/>
      <c r="E50" s="72"/>
      <c r="F50" s="72"/>
      <c r="G50" s="72"/>
      <c r="H50" s="72"/>
      <c r="I50" s="102"/>
      <c r="J50" s="72"/>
      <c r="K50" s="103"/>
    </row>
    <row r="51" spans="1:11" ht="11.25" customHeight="1">
      <c r="A51" s="1"/>
      <c r="B51" s="72"/>
      <c r="C51" s="72"/>
      <c r="D51" s="72"/>
      <c r="E51" s="72"/>
      <c r="F51" s="72"/>
      <c r="G51" s="72"/>
      <c r="H51" s="72"/>
      <c r="I51" s="102"/>
      <c r="J51" s="72"/>
      <c r="K51" s="103"/>
    </row>
    <row r="52" spans="1:11" ht="11.25" customHeight="1">
      <c r="A52" s="1"/>
      <c r="B52" s="72"/>
      <c r="C52" s="72"/>
      <c r="D52" s="72"/>
      <c r="E52" s="72"/>
      <c r="F52" s="72"/>
      <c r="G52" s="72"/>
      <c r="H52" s="72"/>
      <c r="I52" s="102"/>
      <c r="J52" s="72"/>
      <c r="K52" s="103"/>
    </row>
    <row r="53" spans="1:11" ht="12.75">
      <c r="A53" s="1"/>
      <c r="B53" s="72"/>
      <c r="C53" s="72"/>
      <c r="D53" s="72"/>
      <c r="E53" s="72"/>
      <c r="F53" s="72"/>
      <c r="G53" s="72"/>
      <c r="H53" s="72"/>
      <c r="I53" s="102"/>
      <c r="J53" s="72"/>
      <c r="K53" s="103"/>
    </row>
    <row r="54" spans="1:11" ht="12.75">
      <c r="A54" s="1"/>
      <c r="B54" s="72"/>
      <c r="C54" s="72"/>
      <c r="D54" s="72"/>
      <c r="E54" s="72"/>
      <c r="F54" s="72"/>
      <c r="G54" s="72"/>
      <c r="H54" s="72"/>
      <c r="I54" s="102"/>
      <c r="J54" s="72"/>
      <c r="K54" s="103"/>
    </row>
    <row r="55" spans="1:11" ht="12.75">
      <c r="A55" s="1"/>
      <c r="B55" s="72"/>
      <c r="C55" s="72"/>
      <c r="D55" s="72"/>
      <c r="E55" s="72"/>
      <c r="F55" s="72"/>
      <c r="G55" s="72"/>
      <c r="H55" s="72"/>
      <c r="I55" s="102"/>
      <c r="J55" s="72"/>
      <c r="K55" s="103"/>
    </row>
    <row r="56" spans="1:11" ht="12.75">
      <c r="A56" s="1"/>
      <c r="B56" s="72"/>
      <c r="C56" s="72"/>
      <c r="D56" s="72"/>
      <c r="E56" s="72"/>
      <c r="F56" s="72"/>
      <c r="G56" s="72"/>
      <c r="H56" s="72"/>
      <c r="I56" s="102"/>
      <c r="J56" s="72"/>
      <c r="K56" s="103"/>
    </row>
    <row r="57" spans="1:11" ht="12.75">
      <c r="A57" s="1"/>
      <c r="B57" s="72"/>
      <c r="C57" s="72"/>
      <c r="D57" s="72"/>
      <c r="E57" s="72"/>
      <c r="F57" s="72"/>
      <c r="G57" s="72"/>
      <c r="H57" s="72"/>
      <c r="I57" s="102"/>
      <c r="J57" s="72"/>
      <c r="K57" s="103"/>
    </row>
    <row r="58" spans="1:11" ht="12.75">
      <c r="A58" s="231" t="str">
        <f>"Gráfico N° 4: Comparación de la producción de energía eléctrica por tipo de generación acumulada a "&amp;'1. Resumen'!Q4</f>
        <v>Gráfico N° 4: Comparación de la producción de energía eléctrica por tipo de generación acumulada a octubre</v>
      </c>
      <c r="B58" s="72"/>
      <c r="C58" s="72"/>
      <c r="D58" s="72"/>
      <c r="E58" s="72"/>
      <c r="F58" s="72"/>
      <c r="G58" s="72"/>
      <c r="H58" s="72"/>
      <c r="I58" s="102"/>
      <c r="J58" s="72"/>
      <c r="K58" s="103"/>
    </row>
    <row r="59" spans="1:11" ht="12.75">
      <c r="B59" s="72"/>
      <c r="C59" s="72"/>
      <c r="D59" s="72"/>
      <c r="E59" s="72"/>
      <c r="F59" s="72"/>
      <c r="G59" s="72"/>
      <c r="H59" s="72"/>
      <c r="I59" s="102"/>
      <c r="J59" s="72"/>
      <c r="K59" s="103"/>
    </row>
    <row r="60" spans="1:11" ht="12.75">
      <c r="A60" s="1"/>
      <c r="B60" s="72"/>
      <c r="C60" s="72"/>
      <c r="D60" s="72"/>
      <c r="E60" s="72"/>
      <c r="F60" s="72"/>
      <c r="G60" s="72"/>
      <c r="H60" s="72"/>
      <c r="I60" s="102"/>
      <c r="J60" s="72"/>
      <c r="K60" s="103"/>
    </row>
    <row r="61" spans="1:11" ht="12.75">
      <c r="A61" s="1"/>
      <c r="B61" s="72"/>
      <c r="C61" s="72"/>
      <c r="D61" s="72"/>
      <c r="E61" s="72"/>
      <c r="F61" s="72"/>
      <c r="G61" s="72"/>
      <c r="H61" s="72"/>
      <c r="I61" s="102"/>
      <c r="J61" s="72"/>
      <c r="K61" s="103"/>
    </row>
    <row r="63" spans="1:11" ht="12.75">
      <c r="A63" s="104"/>
      <c r="B63" s="105"/>
      <c r="C63" s="105"/>
      <c r="D63" s="105"/>
      <c r="E63" s="105"/>
      <c r="F63" s="105"/>
      <c r="G63" s="105"/>
      <c r="H63" s="102"/>
      <c r="I63" s="102"/>
      <c r="J63" s="105"/>
      <c r="K63" s="103"/>
    </row>
    <row r="64" spans="1:11" ht="12.75">
      <c r="A64" s="1"/>
      <c r="B64" s="72"/>
      <c r="C64" s="72"/>
      <c r="D64" s="72"/>
      <c r="E64" s="72"/>
      <c r="F64" s="72"/>
      <c r="G64" s="72"/>
      <c r="H64" s="72"/>
      <c r="I64" s="102"/>
      <c r="J64" s="72"/>
      <c r="K64" s="106"/>
    </row>
    <row r="65" spans="1:11" ht="12.75">
      <c r="A65" s="1"/>
      <c r="B65" s="72"/>
      <c r="C65" s="72"/>
      <c r="D65" s="72"/>
      <c r="E65" s="72"/>
      <c r="F65" s="72"/>
      <c r="G65" s="72"/>
      <c r="H65" s="72"/>
      <c r="I65" s="107"/>
      <c r="J65" s="72"/>
      <c r="K65" s="106"/>
    </row>
    <row r="66" spans="1:11" ht="12.75">
      <c r="A66" s="1"/>
      <c r="B66" s="72"/>
      <c r="C66" s="72"/>
      <c r="D66" s="72"/>
      <c r="E66" s="72"/>
      <c r="F66" s="72"/>
      <c r="G66" s="72"/>
      <c r="H66" s="108"/>
      <c r="I66" s="108"/>
      <c r="J66" s="72"/>
      <c r="K66" s="106"/>
    </row>
    <row r="67" spans="1:11" ht="12.75">
      <c r="A67" s="1"/>
      <c r="B67" s="72"/>
      <c r="C67" s="72"/>
      <c r="D67" s="72"/>
      <c r="E67" s="72"/>
      <c r="F67" s="72"/>
      <c r="G67" s="72"/>
      <c r="H67" s="108"/>
      <c r="I67" s="108"/>
      <c r="J67" s="72"/>
      <c r="K67" s="106"/>
    </row>
    <row r="68" spans="1:11" ht="12.75">
      <c r="A68" s="104"/>
      <c r="B68" s="105"/>
      <c r="C68" s="105"/>
      <c r="D68" s="105"/>
      <c r="E68" s="105"/>
      <c r="F68" s="105"/>
      <c r="G68" s="105"/>
      <c r="H68" s="109"/>
      <c r="I68" s="102"/>
      <c r="J68" s="105"/>
      <c r="K68" s="103"/>
    </row>
    <row r="69" spans="1:11" ht="12.75">
      <c r="A69" s="104"/>
      <c r="B69" s="105"/>
      <c r="C69" s="105"/>
      <c r="D69" s="105"/>
      <c r="E69" s="105"/>
      <c r="F69" s="105"/>
      <c r="G69" s="105"/>
      <c r="H69" s="102"/>
      <c r="I69" s="102"/>
      <c r="J69" s="105"/>
      <c r="K69" s="103"/>
    </row>
  </sheetData>
  <mergeCells count="9">
    <mergeCell ref="B42:D42"/>
    <mergeCell ref="G42:I42"/>
    <mergeCell ref="J42:K42"/>
    <mergeCell ref="A6:A7"/>
    <mergeCell ref="A2:K2"/>
    <mergeCell ref="A4:K4"/>
    <mergeCell ref="B6:D6"/>
    <mergeCell ref="E6:F6"/>
    <mergeCell ref="G6:K6"/>
  </mergeCells>
  <pageMargins left="0.70866141732283472" right="0.59055118110236227" top="1.0236220472440944" bottom="0.62992125984251968" header="0.31496062992125984" footer="0.31496062992125984"/>
  <pageSetup paperSize="9" scale="89" orientation="portrait" r:id="rId1"/>
  <headerFooter>
    <oddHeader>&amp;R&amp;7Informe de la Operación Mensual-Octubre 2020
INFSGI-MES-10-2020
12/11/2020
Versión: 01</oddHeader>
    <oddFooter>&amp;L&amp;7COES, 2020&amp;C3&amp;R&amp;7Dirección Ejecutiva
Sub Dirección de Gestión de Información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theme="4"/>
  </sheetPr>
  <dimension ref="A1:L63"/>
  <sheetViews>
    <sheetView showGridLines="0" view="pageBreakPreview" zoomScaleNormal="100" zoomScaleSheetLayoutView="100" zoomScalePageLayoutView="145" workbookViewId="0">
      <selection activeCell="O14" sqref="O14"/>
    </sheetView>
  </sheetViews>
  <sheetFormatPr defaultColWidth="9.33203125" defaultRowHeight="11.25"/>
  <cols>
    <col min="1" max="1" width="15.1640625" customWidth="1"/>
    <col min="2" max="2" width="12.33203125" customWidth="1"/>
    <col min="3" max="3" width="11.6640625" customWidth="1"/>
    <col min="4" max="4" width="13.1640625" customWidth="1"/>
    <col min="5" max="5" width="9.83203125" customWidth="1"/>
    <col min="6" max="6" width="10.5" customWidth="1"/>
    <col min="7" max="7" width="10.83203125" customWidth="1"/>
    <col min="8" max="8" width="10.5" bestFit="1" customWidth="1"/>
    <col min="9" max="9" width="9.33203125" customWidth="1"/>
    <col min="10" max="10" width="10.5" customWidth="1"/>
    <col min="11" max="11" width="9.33203125" customWidth="1"/>
  </cols>
  <sheetData>
    <row r="1" spans="1:12" ht="11.25" customHeight="1"/>
    <row r="2" spans="1:12" ht="11.25" customHeight="1">
      <c r="A2" s="917" t="str">
        <f>+"3.2. PRODUCCIÓN POR TIPO DE RECURSO ENERGÉTICO (GWh)"</f>
        <v>3.2. PRODUCCIÓN POR TIPO DE RECURSO ENERGÉTICO (GWh)</v>
      </c>
      <c r="B2" s="917"/>
      <c r="C2" s="917"/>
      <c r="D2" s="917"/>
      <c r="E2" s="917"/>
      <c r="F2" s="917"/>
      <c r="G2" s="917"/>
      <c r="H2" s="917"/>
      <c r="I2" s="917"/>
      <c r="J2" s="917"/>
      <c r="K2" s="917"/>
    </row>
    <row r="3" spans="1:12" ht="18.75" customHeight="1">
      <c r="A3" s="126"/>
      <c r="B3" s="127"/>
      <c r="C3" s="128"/>
      <c r="D3" s="129"/>
      <c r="E3" s="129"/>
      <c r="F3" s="129"/>
      <c r="G3" s="130"/>
      <c r="H3" s="130"/>
      <c r="I3" s="130"/>
      <c r="J3" s="126"/>
      <c r="K3" s="126"/>
      <c r="L3" s="36"/>
    </row>
    <row r="4" spans="1:12" ht="14.25" customHeight="1">
      <c r="A4" s="921" t="s">
        <v>43</v>
      </c>
      <c r="B4" s="918" t="s">
        <v>33</v>
      </c>
      <c r="C4" s="919"/>
      <c r="D4" s="919"/>
      <c r="E4" s="919" t="s">
        <v>34</v>
      </c>
      <c r="F4" s="919"/>
      <c r="G4" s="920" t="str">
        <f>+'3. Tipo Generación'!G6:K6</f>
        <v>Generación Acumulada a octubre</v>
      </c>
      <c r="H4" s="920"/>
      <c r="I4" s="920"/>
      <c r="J4" s="920"/>
      <c r="K4" s="920"/>
      <c r="L4" s="131"/>
    </row>
    <row r="5" spans="1:12" ht="26.25" customHeight="1">
      <c r="A5" s="921"/>
      <c r="B5" s="475">
        <f>+'3. Tipo Generación'!B7</f>
        <v>44047</v>
      </c>
      <c r="C5" s="475">
        <f>+'3. Tipo Generación'!C7</f>
        <v>44077</v>
      </c>
      <c r="D5" s="475">
        <f>+'3. Tipo Generación'!D7</f>
        <v>44105</v>
      </c>
      <c r="E5" s="475">
        <f>+'3. Tipo Generación'!E7</f>
        <v>43740</v>
      </c>
      <c r="F5" s="476" t="s">
        <v>35</v>
      </c>
      <c r="G5" s="477">
        <v>2020</v>
      </c>
      <c r="H5" s="477">
        <v>2019</v>
      </c>
      <c r="I5" s="476" t="s">
        <v>476</v>
      </c>
      <c r="J5" s="477">
        <v>2018</v>
      </c>
      <c r="K5" s="476" t="s">
        <v>423</v>
      </c>
      <c r="L5" s="19"/>
    </row>
    <row r="6" spans="1:12" ht="11.25" customHeight="1">
      <c r="A6" s="139" t="s">
        <v>44</v>
      </c>
      <c r="B6" s="287">
        <v>1903.0458479450001</v>
      </c>
      <c r="C6" s="288">
        <v>1834.2373591500002</v>
      </c>
      <c r="D6" s="289">
        <v>2050.4873854824996</v>
      </c>
      <c r="E6" s="287">
        <v>2126.1102036450002</v>
      </c>
      <c r="F6" s="252">
        <f>IF(E6=0,"",D6/E6-1)</f>
        <v>-3.55686257621326E-2</v>
      </c>
      <c r="G6" s="287">
        <v>24799.318567299997</v>
      </c>
      <c r="H6" s="288">
        <v>24502.641660175006</v>
      </c>
      <c r="I6" s="252">
        <f t="shared" ref="I6:I16" si="0">IF(H6=0,"",G6/H6-1)</f>
        <v>1.210795600080905E-2</v>
      </c>
      <c r="J6" s="287">
        <v>24328.458695435002</v>
      </c>
      <c r="K6" s="252">
        <f>IF(J6=0,"",H6/J6-1)</f>
        <v>7.1596383034608913E-3</v>
      </c>
      <c r="L6" s="24"/>
    </row>
    <row r="7" spans="1:12" ht="11.25" customHeight="1">
      <c r="A7" s="140" t="s">
        <v>50</v>
      </c>
      <c r="B7" s="290">
        <v>2036.6954341275</v>
      </c>
      <c r="C7" s="247">
        <v>2014.8782434899999</v>
      </c>
      <c r="D7" s="291">
        <v>2008.2834942325003</v>
      </c>
      <c r="E7" s="290">
        <v>1960.5022784424998</v>
      </c>
      <c r="F7" s="253">
        <f t="shared" ref="F7:F18" si="1">IF(E7=0,"",D7/E7-1)</f>
        <v>2.4371925661805349E-2</v>
      </c>
      <c r="G7" s="290">
        <v>12488.7053275325</v>
      </c>
      <c r="H7" s="247">
        <v>16201.574753174533</v>
      </c>
      <c r="I7" s="253">
        <f t="shared" si="0"/>
        <v>-0.22916719406639985</v>
      </c>
      <c r="J7" s="290">
        <v>14802.7579284525</v>
      </c>
      <c r="K7" s="253">
        <f t="shared" ref="K7:K19" si="2">IF(J7=0,"",H7/J7-1)</f>
        <v>9.4497041124570247E-2</v>
      </c>
      <c r="L7" s="22"/>
    </row>
    <row r="8" spans="1:12" ht="11.25" customHeight="1">
      <c r="A8" s="141" t="s">
        <v>51</v>
      </c>
      <c r="B8" s="292">
        <v>65.984291870000007</v>
      </c>
      <c r="C8" s="248">
        <v>63.277777402500007</v>
      </c>
      <c r="D8" s="293">
        <v>68.306833275000002</v>
      </c>
      <c r="E8" s="292">
        <v>64.190620729999992</v>
      </c>
      <c r="F8" s="404">
        <f t="shared" si="1"/>
        <v>6.4124828490344621E-2</v>
      </c>
      <c r="G8" s="292">
        <v>491.21259426499995</v>
      </c>
      <c r="H8" s="248">
        <v>504.45053920499993</v>
      </c>
      <c r="I8" s="404">
        <f t="shared" si="0"/>
        <v>-2.6242305064957616E-2</v>
      </c>
      <c r="J8" s="292">
        <v>485.12435876249998</v>
      </c>
      <c r="K8" s="404">
        <f t="shared" si="2"/>
        <v>3.9837579980108506E-2</v>
      </c>
      <c r="L8" s="22"/>
    </row>
    <row r="9" spans="1:12" ht="11.25" customHeight="1">
      <c r="A9" s="140" t="s">
        <v>52</v>
      </c>
      <c r="B9" s="290">
        <v>0</v>
      </c>
      <c r="C9" s="247">
        <v>2.0751795975</v>
      </c>
      <c r="D9" s="291">
        <v>11.3193498125</v>
      </c>
      <c r="E9" s="290">
        <v>49.544273907499999</v>
      </c>
      <c r="F9" s="253">
        <f t="shared" si="1"/>
        <v>-0.77153061454420713</v>
      </c>
      <c r="G9" s="290">
        <v>29.2439301625</v>
      </c>
      <c r="H9" s="247">
        <v>306.83560870750006</v>
      </c>
      <c r="I9" s="253">
        <f t="shared" si="0"/>
        <v>-0.90469186322380979</v>
      </c>
      <c r="J9" s="290">
        <v>348.28843219749996</v>
      </c>
      <c r="K9" s="253">
        <f t="shared" si="2"/>
        <v>-0.11901866286071117</v>
      </c>
      <c r="L9" s="22"/>
    </row>
    <row r="10" spans="1:12" ht="11.25" customHeight="1">
      <c r="A10" s="141" t="s">
        <v>53</v>
      </c>
      <c r="B10" s="292">
        <v>0</v>
      </c>
      <c r="C10" s="248">
        <v>0</v>
      </c>
      <c r="D10" s="293">
        <v>0</v>
      </c>
      <c r="E10" s="292">
        <v>0</v>
      </c>
      <c r="F10" s="404" t="str">
        <f t="shared" si="1"/>
        <v/>
      </c>
      <c r="G10" s="292">
        <v>0</v>
      </c>
      <c r="H10" s="248">
        <v>0</v>
      </c>
      <c r="I10" s="404" t="str">
        <f t="shared" si="0"/>
        <v/>
      </c>
      <c r="J10" s="292">
        <v>0</v>
      </c>
      <c r="K10" s="404" t="str">
        <f t="shared" si="2"/>
        <v/>
      </c>
      <c r="L10" s="22"/>
    </row>
    <row r="11" spans="1:12" ht="11.25" customHeight="1">
      <c r="A11" s="140" t="s">
        <v>26</v>
      </c>
      <c r="B11" s="290">
        <v>0</v>
      </c>
      <c r="C11" s="247">
        <v>0</v>
      </c>
      <c r="D11" s="291">
        <v>8.6402158400000015</v>
      </c>
      <c r="E11" s="290">
        <v>8.6008893574999998</v>
      </c>
      <c r="F11" s="253">
        <f t="shared" si="1"/>
        <v>4.5723739563872101E-3</v>
      </c>
      <c r="G11" s="290">
        <v>8.6402158400000015</v>
      </c>
      <c r="H11" s="247">
        <v>36.149195487499995</v>
      </c>
      <c r="I11" s="253">
        <f t="shared" si="0"/>
        <v>-0.76098456069409082</v>
      </c>
      <c r="J11" s="290">
        <v>43.120710160000002</v>
      </c>
      <c r="K11" s="253">
        <f t="shared" si="2"/>
        <v>-0.16167439373405734</v>
      </c>
      <c r="L11" s="24"/>
    </row>
    <row r="12" spans="1:12" ht="11.25" customHeight="1">
      <c r="A12" s="141" t="s">
        <v>45</v>
      </c>
      <c r="B12" s="292">
        <v>2.9531145150000002</v>
      </c>
      <c r="C12" s="248">
        <v>0.3302851175</v>
      </c>
      <c r="D12" s="293">
        <v>1.6964256725</v>
      </c>
      <c r="E12" s="292">
        <v>0.75443277499999994</v>
      </c>
      <c r="F12" s="404">
        <f t="shared" si="1"/>
        <v>1.2486107824517565</v>
      </c>
      <c r="G12" s="292">
        <v>6.2034666775000007</v>
      </c>
      <c r="H12" s="248">
        <v>42.968439637499991</v>
      </c>
      <c r="I12" s="404">
        <f t="shared" si="0"/>
        <v>-0.85562736906820258</v>
      </c>
      <c r="J12" s="292">
        <v>5.0606056925000003</v>
      </c>
      <c r="K12" s="404">
        <f t="shared" si="2"/>
        <v>7.4907701268211362</v>
      </c>
      <c r="L12" s="22"/>
    </row>
    <row r="13" spans="1:12" ht="11.25" customHeight="1">
      <c r="A13" s="140" t="s">
        <v>46</v>
      </c>
      <c r="B13" s="290">
        <v>0</v>
      </c>
      <c r="C13" s="247">
        <v>0</v>
      </c>
      <c r="D13" s="291">
        <v>0</v>
      </c>
      <c r="E13" s="290">
        <v>5.5587990000000004E-2</v>
      </c>
      <c r="F13" s="253">
        <f>IF(E13=0,"",D13/E13-1)</f>
        <v>-1</v>
      </c>
      <c r="G13" s="290">
        <v>0</v>
      </c>
      <c r="H13" s="247">
        <v>0.282469725</v>
      </c>
      <c r="I13" s="253">
        <f t="shared" si="0"/>
        <v>-1</v>
      </c>
      <c r="J13" s="290">
        <v>2.45941272</v>
      </c>
      <c r="K13" s="253">
        <f t="shared" si="2"/>
        <v>-0.88514748960068812</v>
      </c>
      <c r="L13" s="22"/>
    </row>
    <row r="14" spans="1:12" ht="11.25" customHeight="1">
      <c r="A14" s="141" t="s">
        <v>47</v>
      </c>
      <c r="B14" s="292">
        <v>3.6747842499999996E-2</v>
      </c>
      <c r="C14" s="248">
        <v>0.42451486499999991</v>
      </c>
      <c r="D14" s="293">
        <v>30.498726704999992</v>
      </c>
      <c r="E14" s="292">
        <v>7.5148761224999996</v>
      </c>
      <c r="F14" s="404">
        <f>IF(E14=0,"",D14/E14-1)</f>
        <v>3.0584470333030422</v>
      </c>
      <c r="G14" s="292">
        <v>39.238971372499996</v>
      </c>
      <c r="H14" s="248">
        <v>107.82988521546878</v>
      </c>
      <c r="I14" s="404">
        <f t="shared" si="0"/>
        <v>-0.63610300341049641</v>
      </c>
      <c r="J14" s="292">
        <v>105.7426360475</v>
      </c>
      <c r="K14" s="404">
        <f t="shared" si="2"/>
        <v>1.9738955316294327E-2</v>
      </c>
      <c r="L14" s="22"/>
    </row>
    <row r="15" spans="1:12" ht="11.25" customHeight="1">
      <c r="A15" s="140" t="s">
        <v>48</v>
      </c>
      <c r="B15" s="290">
        <v>16.739497122500001</v>
      </c>
      <c r="C15" s="247">
        <v>24.8420741875</v>
      </c>
      <c r="D15" s="291">
        <v>30.453421917499998</v>
      </c>
      <c r="E15" s="290">
        <v>20.09909639</v>
      </c>
      <c r="F15" s="253">
        <f t="shared" si="1"/>
        <v>0.51516373306471808</v>
      </c>
      <c r="G15" s="290">
        <v>188.0186055275</v>
      </c>
      <c r="H15" s="247">
        <v>146.42427900750002</v>
      </c>
      <c r="I15" s="253">
        <f>IF(H15=0,"",G15/H15-1)</f>
        <v>0.28406714242977071</v>
      </c>
      <c r="J15" s="290">
        <v>74.671573012499991</v>
      </c>
      <c r="K15" s="253">
        <f t="shared" si="2"/>
        <v>0.96091059957969094</v>
      </c>
      <c r="L15" s="22"/>
    </row>
    <row r="16" spans="1:12" ht="11.25" customHeight="1">
      <c r="A16" s="141" t="s">
        <v>49</v>
      </c>
      <c r="B16" s="292">
        <v>6.3652987874999996</v>
      </c>
      <c r="C16" s="248">
        <v>6.8532406849999994</v>
      </c>
      <c r="D16" s="293">
        <v>6.5884644099999994</v>
      </c>
      <c r="E16" s="292">
        <v>6.0872632750000006</v>
      </c>
      <c r="F16" s="404">
        <f t="shared" si="1"/>
        <v>8.2336037124991712E-2</v>
      </c>
      <c r="G16" s="292">
        <v>45.4326751925</v>
      </c>
      <c r="H16" s="248">
        <v>55.317468930000004</v>
      </c>
      <c r="I16" s="404">
        <f t="shared" si="0"/>
        <v>-0.17869208278506832</v>
      </c>
      <c r="J16" s="292">
        <v>39.205938442499992</v>
      </c>
      <c r="K16" s="404">
        <f t="shared" si="2"/>
        <v>0.41094617620566387</v>
      </c>
      <c r="L16" s="22"/>
    </row>
    <row r="17" spans="1:12" ht="11.25" customHeight="1">
      <c r="A17" s="140" t="s">
        <v>30</v>
      </c>
      <c r="B17" s="290">
        <v>64.267350870000001</v>
      </c>
      <c r="C17" s="247">
        <v>70.43034175999999</v>
      </c>
      <c r="D17" s="291">
        <v>76.332032090000013</v>
      </c>
      <c r="E17" s="290">
        <v>77.070130602500001</v>
      </c>
      <c r="F17" s="253">
        <f t="shared" si="1"/>
        <v>-9.5769723851492072E-3</v>
      </c>
      <c r="G17" s="290">
        <v>622.69887022499995</v>
      </c>
      <c r="H17" s="247">
        <v>609.06993416249986</v>
      </c>
      <c r="I17" s="253">
        <f>IF(H17=0,"",G17/H17-1)</f>
        <v>2.2376635749128848E-2</v>
      </c>
      <c r="J17" s="290">
        <v>591.86199672000009</v>
      </c>
      <c r="K17" s="253">
        <f t="shared" si="2"/>
        <v>2.9074239498165566E-2</v>
      </c>
      <c r="L17" s="22"/>
    </row>
    <row r="18" spans="1:12" ht="11.25" customHeight="1">
      <c r="A18" s="141" t="s">
        <v>29</v>
      </c>
      <c r="B18" s="292">
        <v>183.26538812499999</v>
      </c>
      <c r="C18" s="248">
        <v>173.50573414250002</v>
      </c>
      <c r="D18" s="293">
        <v>172.07044422999999</v>
      </c>
      <c r="E18" s="292">
        <v>162.04094952</v>
      </c>
      <c r="F18" s="404">
        <f t="shared" si="1"/>
        <v>6.189481572225719E-2</v>
      </c>
      <c r="G18" s="292">
        <v>1499.30211882</v>
      </c>
      <c r="H18" s="248">
        <v>1386.6491204849999</v>
      </c>
      <c r="I18" s="404">
        <f>IF(H18=0,"",G18/H18-1)</f>
        <v>8.1241171014912572E-2</v>
      </c>
      <c r="J18" s="292">
        <v>1214.5383555075</v>
      </c>
      <c r="K18" s="404">
        <f t="shared" si="2"/>
        <v>0.14170879346629017</v>
      </c>
      <c r="L18" s="22"/>
    </row>
    <row r="19" spans="1:12" ht="11.25" customHeight="1">
      <c r="A19" s="146" t="s">
        <v>42</v>
      </c>
      <c r="B19" s="294">
        <f>SUM(B6:B18)</f>
        <v>4279.3529712050004</v>
      </c>
      <c r="C19" s="295">
        <f>SUM(C6:C18)</f>
        <v>4190.8547503975005</v>
      </c>
      <c r="D19" s="739">
        <f>SUM(D6:D18)</f>
        <v>4464.6767936674996</v>
      </c>
      <c r="E19" s="294">
        <f>SUM(E6:E18)</f>
        <v>4482.5706027575006</v>
      </c>
      <c r="F19" s="405">
        <f>IF(E19=0,"",D19/E19-1)</f>
        <v>-3.9918633024973449E-3</v>
      </c>
      <c r="G19" s="294">
        <f>SUM(G6:G18)</f>
        <v>40218.015342914994</v>
      </c>
      <c r="H19" s="295">
        <f>SUM(H6:H18)</f>
        <v>43900.193353912517</v>
      </c>
      <c r="I19" s="405">
        <f>IF(H19=0,"",G19/H19-1)</f>
        <v>-8.3876122852414636E-2</v>
      </c>
      <c r="J19" s="294">
        <f>SUM(J6:J18)</f>
        <v>42041.290643150009</v>
      </c>
      <c r="K19" s="405">
        <f t="shared" si="2"/>
        <v>4.4216119018348543E-2</v>
      </c>
      <c r="L19" s="30"/>
    </row>
    <row r="20" spans="1:12" ht="11.25" customHeight="1">
      <c r="A20" s="22"/>
      <c r="B20" s="22"/>
      <c r="C20" s="22"/>
      <c r="D20" s="22"/>
      <c r="E20" s="22"/>
      <c r="F20" s="22"/>
      <c r="G20" s="22"/>
      <c r="H20" s="22"/>
      <c r="I20" s="22"/>
      <c r="J20" s="22"/>
      <c r="K20" s="22"/>
      <c r="L20" s="22"/>
    </row>
    <row r="21" spans="1:12" ht="11.25" customHeight="1">
      <c r="A21" s="142" t="s">
        <v>39</v>
      </c>
      <c r="B21" s="235">
        <v>2.9197444899999985</v>
      </c>
      <c r="C21" s="236">
        <v>0.5068694199999999</v>
      </c>
      <c r="D21" s="345">
        <v>0</v>
      </c>
      <c r="E21" s="696">
        <v>0</v>
      </c>
      <c r="F21" s="120" t="str">
        <f>IF(E21=0,"",D21/E21-1)</f>
        <v/>
      </c>
      <c r="G21" s="235">
        <v>37.447757109999998</v>
      </c>
      <c r="H21" s="344">
        <v>57.917815239999996</v>
      </c>
      <c r="I21" s="123">
        <f>IF(H21=0,"",G21/H21-1)</f>
        <v>-0.35343284350723725</v>
      </c>
      <c r="J21" s="235">
        <v>21.20075765</v>
      </c>
      <c r="K21" s="120">
        <f>IF(J21=0,"",H21/J21-1)</f>
        <v>1.7318747846730842</v>
      </c>
      <c r="L21" s="22"/>
    </row>
    <row r="22" spans="1:12" ht="11.25" customHeight="1">
      <c r="A22" s="143" t="s">
        <v>40</v>
      </c>
      <c r="B22" s="232">
        <v>0</v>
      </c>
      <c r="C22" s="233">
        <v>0</v>
      </c>
      <c r="D22" s="234">
        <v>0</v>
      </c>
      <c r="E22" s="697">
        <v>0</v>
      </c>
      <c r="F22" s="695" t="str">
        <f>IF(E22=0,"",D22/E22-1)</f>
        <v/>
      </c>
      <c r="G22" s="232">
        <v>0</v>
      </c>
      <c r="H22" s="233">
        <v>0</v>
      </c>
      <c r="I22" s="115" t="str">
        <f>IF(H22=0,"",G22/H22-1)</f>
        <v/>
      </c>
      <c r="J22" s="232">
        <v>0</v>
      </c>
      <c r="K22" s="121" t="str">
        <f>IF(J22=0,"",H22/J22-1)</f>
        <v/>
      </c>
      <c r="L22" s="22"/>
    </row>
    <row r="23" spans="1:12" ht="23.25" customHeight="1">
      <c r="A23" s="144" t="s">
        <v>41</v>
      </c>
      <c r="B23" s="245">
        <f>+B22-B21</f>
        <v>-2.9197444899999985</v>
      </c>
      <c r="C23" s="246">
        <f>+C22-C21</f>
        <v>-0.5068694199999999</v>
      </c>
      <c r="D23" s="406">
        <f>+D22-D21</f>
        <v>0</v>
      </c>
      <c r="E23" s="698">
        <f>+E22-E21</f>
        <v>0</v>
      </c>
      <c r="F23" s="246"/>
      <c r="G23" s="245">
        <f>+G22-G21</f>
        <v>-37.447757109999998</v>
      </c>
      <c r="H23" s="246">
        <f>+H22-H21</f>
        <v>-57.917815239999996</v>
      </c>
      <c r="I23" s="124"/>
      <c r="J23" s="245">
        <f>+J22-J21</f>
        <v>-21.20075765</v>
      </c>
      <c r="K23" s="122"/>
      <c r="L23" s="30"/>
    </row>
    <row r="24" spans="1:12" ht="11.25" customHeight="1">
      <c r="A24" s="230" t="s">
        <v>222</v>
      </c>
      <c r="B24" s="133"/>
      <c r="C24" s="133"/>
      <c r="D24" s="133"/>
      <c r="E24" s="133"/>
      <c r="F24" s="133"/>
      <c r="G24" s="133"/>
      <c r="H24" s="134"/>
      <c r="I24" s="134"/>
      <c r="J24" s="133"/>
      <c r="K24" s="135"/>
      <c r="L24" s="22"/>
    </row>
    <row r="25" spans="1:12" ht="11.25" customHeight="1">
      <c r="A25" s="31"/>
      <c r="B25" s="133"/>
      <c r="C25" s="133"/>
      <c r="D25" s="133"/>
      <c r="E25" s="133"/>
      <c r="F25" s="133"/>
      <c r="G25" s="133"/>
      <c r="H25" s="134"/>
      <c r="I25" s="134"/>
      <c r="J25" s="133"/>
      <c r="K25" s="135"/>
      <c r="L25" s="22"/>
    </row>
    <row r="26" spans="1:12" ht="11.25" customHeight="1">
      <c r="A26" s="137"/>
      <c r="B26" s="137"/>
      <c r="C26" s="137"/>
      <c r="D26" s="137"/>
      <c r="E26" s="137"/>
      <c r="F26" s="137"/>
      <c r="G26" s="137"/>
      <c r="H26" s="137"/>
      <c r="I26" s="137"/>
      <c r="J26" s="137"/>
      <c r="K26" s="137"/>
      <c r="L26" s="22"/>
    </row>
    <row r="27" spans="1:12" ht="11.25" customHeight="1">
      <c r="A27" s="136"/>
      <c r="B27" s="138"/>
      <c r="C27" s="138"/>
      <c r="D27" s="138"/>
      <c r="E27" s="138"/>
      <c r="F27" s="138"/>
      <c r="G27" s="138"/>
      <c r="H27" s="138"/>
      <c r="I27" s="138"/>
      <c r="J27" s="138"/>
      <c r="K27" s="138"/>
      <c r="L27" s="22"/>
    </row>
    <row r="28" spans="1:12" ht="11.25" customHeight="1">
      <c r="A28" s="136"/>
      <c r="B28" s="138"/>
      <c r="C28" s="138"/>
      <c r="D28" s="138"/>
      <c r="E28" s="138"/>
      <c r="F28" s="138"/>
      <c r="G28" s="138"/>
      <c r="H28" s="138"/>
      <c r="I28" s="138"/>
      <c r="J28" s="138"/>
      <c r="K28" s="138"/>
      <c r="L28" s="22"/>
    </row>
    <row r="29" spans="1:12" ht="11.25" customHeight="1">
      <c r="A29" s="136"/>
      <c r="B29" s="138"/>
      <c r="C29" s="138"/>
      <c r="D29" s="138"/>
      <c r="E29" s="138"/>
      <c r="F29" s="138"/>
      <c r="G29" s="138"/>
      <c r="H29" s="138"/>
      <c r="I29" s="138"/>
      <c r="J29" s="138"/>
      <c r="K29" s="138"/>
      <c r="L29" s="22"/>
    </row>
    <row r="30" spans="1:12" ht="11.25" customHeight="1">
      <c r="A30" s="136"/>
      <c r="B30" s="138"/>
      <c r="C30" s="138"/>
      <c r="D30" s="138"/>
      <c r="E30" s="138"/>
      <c r="F30" s="138"/>
      <c r="G30" s="138"/>
      <c r="H30" s="138"/>
      <c r="I30" s="138"/>
      <c r="J30" s="138"/>
      <c r="K30" s="138"/>
      <c r="L30" s="22"/>
    </row>
    <row r="31" spans="1:12" ht="11.25" customHeight="1">
      <c r="A31" s="136"/>
      <c r="B31" s="138"/>
      <c r="C31" s="138"/>
      <c r="D31" s="138"/>
      <c r="E31" s="138"/>
      <c r="F31" s="138"/>
      <c r="G31" s="138"/>
      <c r="H31" s="138"/>
      <c r="I31" s="138"/>
      <c r="J31" s="138"/>
      <c r="K31" s="138"/>
      <c r="L31" s="22"/>
    </row>
    <row r="32" spans="1:12" ht="11.25" customHeight="1">
      <c r="A32" s="136"/>
      <c r="B32" s="138"/>
      <c r="C32" s="138"/>
      <c r="D32" s="138"/>
      <c r="E32" s="138"/>
      <c r="F32" s="138"/>
      <c r="G32" s="138"/>
      <c r="H32" s="138"/>
      <c r="I32" s="138"/>
      <c r="J32" s="138"/>
      <c r="K32" s="138"/>
      <c r="L32" s="22"/>
    </row>
    <row r="33" spans="1:12" ht="11.25" customHeight="1">
      <c r="A33" s="136"/>
      <c r="B33" s="138"/>
      <c r="C33" s="138"/>
      <c r="D33" s="138"/>
      <c r="E33" s="138"/>
      <c r="F33" s="138"/>
      <c r="G33" s="138"/>
      <c r="H33" s="138"/>
      <c r="I33" s="138"/>
      <c r="J33" s="138"/>
      <c r="K33" s="138"/>
      <c r="L33" s="22"/>
    </row>
    <row r="34" spans="1:12" ht="11.25" customHeight="1">
      <c r="A34" s="136"/>
      <c r="B34" s="138"/>
      <c r="C34" s="138"/>
      <c r="D34" s="138"/>
      <c r="E34" s="138"/>
      <c r="F34" s="138"/>
      <c r="G34" s="138"/>
      <c r="H34" s="138"/>
      <c r="I34" s="138"/>
      <c r="J34" s="138"/>
      <c r="K34" s="138"/>
      <c r="L34" s="22"/>
    </row>
    <row r="35" spans="1:12" ht="11.25" customHeight="1">
      <c r="A35" s="136"/>
      <c r="B35" s="138"/>
      <c r="C35" s="138"/>
      <c r="D35" s="138"/>
      <c r="E35" s="138"/>
      <c r="F35" s="138"/>
      <c r="G35" s="138"/>
      <c r="H35" s="138"/>
      <c r="I35" s="138"/>
      <c r="J35" s="138"/>
      <c r="K35" s="138"/>
      <c r="L35" s="22"/>
    </row>
    <row r="36" spans="1:12" ht="11.25" customHeight="1">
      <c r="A36" s="136"/>
      <c r="B36" s="138"/>
      <c r="C36" s="138"/>
      <c r="D36" s="138"/>
      <c r="E36" s="138"/>
      <c r="F36" s="138"/>
      <c r="G36" s="138"/>
      <c r="H36" s="138"/>
      <c r="I36" s="138"/>
      <c r="J36" s="138"/>
      <c r="K36" s="138"/>
      <c r="L36" s="22"/>
    </row>
    <row r="37" spans="1:12" ht="11.25" customHeight="1">
      <c r="A37" s="136"/>
      <c r="B37" s="138"/>
      <c r="C37" s="138"/>
      <c r="D37" s="138"/>
      <c r="E37" s="138"/>
      <c r="F37" s="138"/>
      <c r="G37" s="138"/>
      <c r="H37" s="138"/>
      <c r="I37" s="138"/>
      <c r="J37" s="138"/>
      <c r="K37" s="138"/>
      <c r="L37" s="22"/>
    </row>
    <row r="38" spans="1:12" ht="11.25" customHeight="1">
      <c r="A38" s="136"/>
      <c r="B38" s="138"/>
      <c r="C38" s="138"/>
      <c r="D38" s="138"/>
      <c r="E38" s="138"/>
      <c r="F38" s="138"/>
      <c r="G38" s="138"/>
      <c r="H38" s="138"/>
      <c r="I38" s="138"/>
      <c r="J38" s="138"/>
      <c r="K38" s="138"/>
      <c r="L38" s="22"/>
    </row>
    <row r="39" spans="1:12" ht="11.25" customHeight="1">
      <c r="A39" s="136"/>
      <c r="B39" s="138"/>
      <c r="C39" s="138"/>
      <c r="D39" s="138"/>
      <c r="E39" s="138"/>
      <c r="F39" s="138"/>
      <c r="G39" s="138"/>
      <c r="H39" s="138"/>
      <c r="I39" s="138"/>
      <c r="J39" s="138"/>
      <c r="K39" s="138"/>
      <c r="L39" s="22"/>
    </row>
    <row r="40" spans="1:12" ht="11.25" customHeight="1">
      <c r="A40" s="136"/>
      <c r="B40" s="138"/>
      <c r="C40" s="138"/>
      <c r="D40" s="138"/>
      <c r="E40" s="138"/>
      <c r="F40" s="138"/>
      <c r="G40" s="138"/>
      <c r="H40" s="138"/>
      <c r="I40" s="138"/>
      <c r="J40" s="138"/>
      <c r="K40" s="138"/>
      <c r="L40" s="38"/>
    </row>
    <row r="41" spans="1:12" ht="11.25" customHeight="1">
      <c r="A41" s="136"/>
      <c r="B41" s="138"/>
      <c r="C41" s="138"/>
      <c r="D41" s="138"/>
      <c r="E41" s="138"/>
      <c r="F41" s="138"/>
      <c r="G41" s="138"/>
      <c r="H41" s="138"/>
      <c r="I41" s="138"/>
      <c r="J41" s="138"/>
      <c r="K41" s="138"/>
      <c r="L41" s="22"/>
    </row>
    <row r="42" spans="1:12" ht="11.25" customHeight="1">
      <c r="A42" s="136"/>
      <c r="B42" s="138"/>
      <c r="C42" s="138"/>
      <c r="D42" s="138"/>
      <c r="E42" s="138"/>
      <c r="F42" s="138"/>
      <c r="G42" s="138"/>
      <c r="H42" s="138"/>
      <c r="I42" s="138"/>
      <c r="J42" s="138"/>
      <c r="K42" s="138"/>
      <c r="L42" s="22"/>
    </row>
    <row r="43" spans="1:12" ht="11.25" customHeight="1">
      <c r="A43" s="136"/>
      <c r="B43" s="138"/>
      <c r="C43" s="138"/>
      <c r="D43" s="138"/>
      <c r="E43" s="138"/>
      <c r="F43" s="138"/>
      <c r="G43" s="138"/>
      <c r="H43" s="138"/>
      <c r="I43" s="138"/>
      <c r="J43" s="138"/>
      <c r="K43" s="138"/>
      <c r="L43" s="22"/>
    </row>
    <row r="44" spans="1:12" ht="11.25" customHeight="1">
      <c r="A44" s="136"/>
      <c r="B44" s="138"/>
      <c r="C44" s="138"/>
      <c r="D44" s="138"/>
      <c r="E44" s="138"/>
      <c r="F44" s="138"/>
      <c r="G44" s="138"/>
      <c r="H44" s="138"/>
      <c r="I44" s="138"/>
      <c r="J44" s="138"/>
      <c r="K44" s="138"/>
      <c r="L44" s="22"/>
    </row>
    <row r="45" spans="1:12" ht="11.25" customHeight="1">
      <c r="A45" s="136"/>
      <c r="B45" s="138"/>
      <c r="C45" s="138"/>
      <c r="D45" s="138"/>
      <c r="E45" s="138"/>
      <c r="F45" s="138"/>
      <c r="G45" s="138"/>
      <c r="H45" s="138"/>
      <c r="I45" s="138"/>
      <c r="J45" s="138"/>
      <c r="K45" s="138"/>
      <c r="L45" s="22"/>
    </row>
    <row r="46" spans="1:12" ht="11.25" customHeight="1">
      <c r="A46" s="136"/>
      <c r="B46" s="138"/>
      <c r="C46" s="138"/>
      <c r="D46" s="138"/>
      <c r="E46" s="138"/>
      <c r="F46" s="138"/>
      <c r="G46" s="138"/>
      <c r="H46" s="138"/>
      <c r="I46" s="138"/>
      <c r="J46" s="138"/>
      <c r="K46" s="138"/>
      <c r="L46" s="22"/>
    </row>
    <row r="47" spans="1:12" ht="11.25" customHeight="1">
      <c r="A47" s="136"/>
      <c r="B47" s="138"/>
      <c r="C47" s="138"/>
      <c r="D47" s="138"/>
      <c r="E47" s="138"/>
      <c r="F47" s="138"/>
      <c r="G47" s="138"/>
      <c r="H47" s="138"/>
      <c r="I47" s="138"/>
      <c r="J47" s="138"/>
      <c r="K47" s="138"/>
    </row>
    <row r="48" spans="1:12" ht="11.25" customHeight="1">
      <c r="A48" s="136"/>
      <c r="B48" s="138"/>
      <c r="C48" s="138"/>
      <c r="D48" s="138"/>
      <c r="E48" s="138"/>
      <c r="F48" s="138"/>
      <c r="G48" s="138"/>
      <c r="H48" s="138"/>
      <c r="I48" s="138"/>
      <c r="J48" s="138"/>
      <c r="K48" s="138"/>
    </row>
    <row r="49" spans="1:11" ht="11.25" customHeight="1">
      <c r="A49" s="136"/>
      <c r="B49" s="138"/>
      <c r="C49" s="138"/>
      <c r="D49" s="138"/>
      <c r="E49" s="138"/>
      <c r="F49" s="138"/>
      <c r="G49" s="138"/>
      <c r="H49" s="138"/>
      <c r="I49" s="138"/>
      <c r="J49" s="138"/>
      <c r="K49" s="138"/>
    </row>
    <row r="50" spans="1:11" ht="11.25" customHeight="1">
      <c r="A50" s="136"/>
      <c r="B50" s="138"/>
      <c r="C50" s="138"/>
      <c r="D50" s="138"/>
      <c r="E50" s="138"/>
      <c r="F50" s="138"/>
      <c r="G50" s="138"/>
      <c r="H50" s="138"/>
      <c r="I50" s="138"/>
      <c r="J50" s="138"/>
      <c r="K50" s="138"/>
    </row>
    <row r="51" spans="1:11" ht="11.25" customHeight="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A60" s="136"/>
      <c r="B60" s="138"/>
      <c r="C60" s="138"/>
      <c r="D60" s="138"/>
      <c r="E60" s="138"/>
      <c r="F60" s="138"/>
      <c r="G60" s="138"/>
      <c r="H60" s="138"/>
      <c r="I60" s="138"/>
      <c r="J60" s="138"/>
      <c r="K60" s="138"/>
    </row>
    <row r="61" spans="1:11">
      <c r="A61" s="136"/>
      <c r="B61" s="138"/>
      <c r="C61" s="138"/>
      <c r="D61" s="138"/>
      <c r="E61" s="138"/>
      <c r="F61" s="138"/>
      <c r="G61" s="138"/>
      <c r="H61" s="138"/>
      <c r="I61" s="138"/>
      <c r="J61" s="138"/>
      <c r="K61" s="138"/>
    </row>
    <row r="62" spans="1:11">
      <c r="B62" s="138"/>
      <c r="C62" s="138"/>
      <c r="D62" s="138"/>
      <c r="E62" s="138"/>
      <c r="F62" s="138"/>
      <c r="G62" s="138"/>
      <c r="H62" s="138"/>
      <c r="I62" s="138"/>
      <c r="J62" s="138"/>
      <c r="K62" s="138"/>
    </row>
    <row r="63" spans="1:11">
      <c r="A63" s="230" t="str">
        <f>"Gráfico N° 5: Comparación de la producción de energía eléctrica (GWh) por tipo de recurso energético acumulado a "&amp;'1. Resumen'!Q4&amp;"."</f>
        <v>Gráfico N° 5: Comparación de la producción de energía eléctrica (GWh) por tipo de recurso energético acumulado a octubre.</v>
      </c>
    </row>
  </sheetData>
  <mergeCells count="5">
    <mergeCell ref="A2:K2"/>
    <mergeCell ref="B4:D4"/>
    <mergeCell ref="E4:F4"/>
    <mergeCell ref="G4:K4"/>
    <mergeCell ref="A4:A5"/>
  </mergeCells>
  <pageMargins left="0.70866141732283472" right="0.70866141732283472" top="1.0236220472440944" bottom="0.62992125984251968" header="0.31496062992125984" footer="0.31496062992125984"/>
  <pageSetup paperSize="9" scale="88" orientation="portrait" r:id="rId1"/>
  <headerFooter>
    <oddHeader>&amp;R&amp;7Informe de la Operación Mensual-Octubre 2020
INFSGI-MES-10-2020
12/11/2020
Versión: 01</oddHeader>
    <oddFooter>&amp;L&amp;7COES, 2020&amp;C4&amp;R&amp;7Dirección Ejecutiva
Sub Dirección de Gestión de Información</oddFooter>
  </headerFooter>
  <ignoredErrors>
    <ignoredError sqref="K19 G19:H19 B19:E19 J19" formulaRange="1"/>
  </ignoredError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theme="4"/>
  </sheetPr>
  <dimension ref="A1:U61"/>
  <sheetViews>
    <sheetView showGridLines="0" view="pageBreakPreview" zoomScaleNormal="100" zoomScaleSheetLayoutView="100" zoomScalePageLayoutView="145" workbookViewId="0">
      <selection activeCell="O14" sqref="O14"/>
    </sheetView>
  </sheetViews>
  <sheetFormatPr defaultColWidth="9.33203125" defaultRowHeight="11.25"/>
  <cols>
    <col min="1" max="1" width="21.6640625" customWidth="1"/>
    <col min="2" max="2" width="10" customWidth="1"/>
    <col min="3" max="8" width="9.1640625" customWidth="1"/>
    <col min="9" max="9" width="9.83203125" customWidth="1"/>
    <col min="10" max="10" width="9.1640625" customWidth="1"/>
    <col min="11" max="11" width="9.6640625" customWidth="1"/>
    <col min="12" max="21" width="9.33203125" style="558"/>
  </cols>
  <sheetData>
    <row r="1" spans="1:12" ht="11.25" customHeight="1"/>
    <row r="2" spans="1:12" ht="11.25" customHeight="1">
      <c r="A2" s="923" t="s">
        <v>230</v>
      </c>
      <c r="B2" s="923"/>
      <c r="C2" s="923"/>
      <c r="D2" s="923"/>
      <c r="E2" s="923"/>
      <c r="F2" s="923"/>
      <c r="G2" s="923"/>
      <c r="H2" s="923"/>
      <c r="I2" s="923"/>
      <c r="J2" s="923"/>
      <c r="K2" s="923"/>
      <c r="L2" s="559"/>
    </row>
    <row r="3" spans="1:12" ht="11.25" customHeight="1">
      <c r="A3" s="74"/>
      <c r="B3" s="73"/>
      <c r="C3" s="73"/>
      <c r="D3" s="73"/>
      <c r="E3" s="73"/>
      <c r="F3" s="73"/>
      <c r="G3" s="73"/>
      <c r="H3" s="73"/>
      <c r="I3" s="73"/>
      <c r="J3" s="73"/>
      <c r="K3" s="73"/>
      <c r="L3" s="559"/>
    </row>
    <row r="4" spans="1:12" ht="15.75" customHeight="1">
      <c r="A4" s="921" t="s">
        <v>226</v>
      </c>
      <c r="B4" s="918" t="s">
        <v>33</v>
      </c>
      <c r="C4" s="919"/>
      <c r="D4" s="919"/>
      <c r="E4" s="919" t="s">
        <v>34</v>
      </c>
      <c r="F4" s="919"/>
      <c r="G4" s="920" t="str">
        <f>+'4. Tipo Recurso'!G4:K4</f>
        <v>Generación Acumulada a octubre</v>
      </c>
      <c r="H4" s="920"/>
      <c r="I4" s="920"/>
      <c r="J4" s="920"/>
      <c r="K4" s="920"/>
      <c r="L4" s="560"/>
    </row>
    <row r="5" spans="1:12" ht="29.25" customHeight="1">
      <c r="A5" s="921"/>
      <c r="B5" s="475">
        <f>+'4. Tipo Recurso'!B5</f>
        <v>44047</v>
      </c>
      <c r="C5" s="475">
        <f>+'4. Tipo Recurso'!C5</f>
        <v>44077</v>
      </c>
      <c r="D5" s="475">
        <f>+'4. Tipo Recurso'!D5</f>
        <v>44105</v>
      </c>
      <c r="E5" s="475">
        <f>+'4. Tipo Recurso'!E5</f>
        <v>43740</v>
      </c>
      <c r="F5" s="475" t="s">
        <v>35</v>
      </c>
      <c r="G5" s="477">
        <v>2020</v>
      </c>
      <c r="H5" s="477">
        <v>2019</v>
      </c>
      <c r="I5" s="476" t="s">
        <v>476</v>
      </c>
      <c r="J5" s="477">
        <v>2018</v>
      </c>
      <c r="K5" s="476" t="s">
        <v>423</v>
      </c>
      <c r="L5" s="561"/>
    </row>
    <row r="6" spans="1:12" ht="11.25" customHeight="1">
      <c r="A6" s="139" t="s">
        <v>44</v>
      </c>
      <c r="B6" s="287">
        <v>106.74069863</v>
      </c>
      <c r="C6" s="288">
        <v>109.20244883999997</v>
      </c>
      <c r="D6" s="289">
        <v>126.61989448249999</v>
      </c>
      <c r="E6" s="287">
        <v>135.06042953500003</v>
      </c>
      <c r="F6" s="252">
        <f t="shared" ref="F6:F11" si="0">IF(E6=0,"",D6/E6-1)</f>
        <v>-6.2494507692297363E-2</v>
      </c>
      <c r="G6" s="287">
        <v>1739.0385378549997</v>
      </c>
      <c r="H6" s="288">
        <v>1423.4923259350003</v>
      </c>
      <c r="I6" s="256">
        <f t="shared" ref="I6:I11" si="1">IF(H6=0,"",G6/H6-1)</f>
        <v>0.22167046928949019</v>
      </c>
      <c r="J6" s="287">
        <v>1009.3157406700001</v>
      </c>
      <c r="K6" s="252">
        <f t="shared" ref="K6:K11" si="2">IF(J6=0,"",H6/J6-1)</f>
        <v>0.41035383535192183</v>
      </c>
      <c r="L6" s="562"/>
    </row>
    <row r="7" spans="1:12" ht="11.25" customHeight="1">
      <c r="A7" s="140" t="s">
        <v>38</v>
      </c>
      <c r="B7" s="290">
        <v>183.26538812499999</v>
      </c>
      <c r="C7" s="247">
        <v>173.50573414250002</v>
      </c>
      <c r="D7" s="291">
        <v>172.07044422999999</v>
      </c>
      <c r="E7" s="290">
        <v>162.04094952</v>
      </c>
      <c r="F7" s="253">
        <f t="shared" si="0"/>
        <v>6.189481572225719E-2</v>
      </c>
      <c r="G7" s="290">
        <v>1499.30211882</v>
      </c>
      <c r="H7" s="247">
        <v>1386.6491204849999</v>
      </c>
      <c r="I7" s="242">
        <f t="shared" si="1"/>
        <v>8.1241171014912572E-2</v>
      </c>
      <c r="J7" s="290">
        <v>1214.5383555075</v>
      </c>
      <c r="K7" s="253">
        <f t="shared" si="2"/>
        <v>0.14170879346629017</v>
      </c>
      <c r="L7" s="562"/>
    </row>
    <row r="8" spans="1:12" ht="11.25" customHeight="1">
      <c r="A8" s="250" t="s">
        <v>30</v>
      </c>
      <c r="B8" s="417">
        <v>64.267350870000001</v>
      </c>
      <c r="C8" s="296">
        <v>70.43034175999999</v>
      </c>
      <c r="D8" s="418">
        <v>76.332032090000013</v>
      </c>
      <c r="E8" s="417">
        <v>77.070130602500001</v>
      </c>
      <c r="F8" s="254">
        <f t="shared" si="0"/>
        <v>-9.5769723851492072E-3</v>
      </c>
      <c r="G8" s="417">
        <v>622.69887022499995</v>
      </c>
      <c r="H8" s="296">
        <v>609.06993416249986</v>
      </c>
      <c r="I8" s="249">
        <f t="shared" si="1"/>
        <v>2.2376635749128848E-2</v>
      </c>
      <c r="J8" s="417">
        <v>591.86199672000009</v>
      </c>
      <c r="K8" s="254">
        <f t="shared" si="2"/>
        <v>2.9074239498165566E-2</v>
      </c>
      <c r="L8" s="562"/>
    </row>
    <row r="9" spans="1:12" ht="11.25" customHeight="1">
      <c r="A9" s="140" t="s">
        <v>48</v>
      </c>
      <c r="B9" s="290">
        <v>16.739497122500001</v>
      </c>
      <c r="C9" s="247">
        <v>24.8420741875</v>
      </c>
      <c r="D9" s="291">
        <v>30.453421917499998</v>
      </c>
      <c r="E9" s="290">
        <v>20.09909639</v>
      </c>
      <c r="F9" s="253">
        <f t="shared" si="0"/>
        <v>0.51516373306471808</v>
      </c>
      <c r="G9" s="290">
        <v>188.0186055275</v>
      </c>
      <c r="H9" s="247">
        <v>146.42427900750002</v>
      </c>
      <c r="I9" s="242">
        <f t="shared" si="1"/>
        <v>0.28406714242977071</v>
      </c>
      <c r="J9" s="290">
        <v>74.671573012499991</v>
      </c>
      <c r="K9" s="253">
        <f t="shared" si="2"/>
        <v>0.96091059957969094</v>
      </c>
      <c r="L9" s="563"/>
    </row>
    <row r="10" spans="1:12" ht="11.25" customHeight="1">
      <c r="A10" s="251" t="s">
        <v>49</v>
      </c>
      <c r="B10" s="419">
        <v>6.3652987874999996</v>
      </c>
      <c r="C10" s="420">
        <v>6.8532406849999994</v>
      </c>
      <c r="D10" s="421">
        <v>6.5884644099999994</v>
      </c>
      <c r="E10" s="419">
        <v>6.0872632750000006</v>
      </c>
      <c r="F10" s="255">
        <f t="shared" si="0"/>
        <v>8.2336037124991712E-2</v>
      </c>
      <c r="G10" s="419">
        <v>45.4326751925</v>
      </c>
      <c r="H10" s="420">
        <v>55.317468930000004</v>
      </c>
      <c r="I10" s="257">
        <f t="shared" si="1"/>
        <v>-0.17869208278506832</v>
      </c>
      <c r="J10" s="419">
        <v>39.205938442499992</v>
      </c>
      <c r="K10" s="255">
        <f t="shared" si="2"/>
        <v>0.41094617620566387</v>
      </c>
      <c r="L10" s="562"/>
    </row>
    <row r="11" spans="1:12" ht="11.25" customHeight="1">
      <c r="A11" s="258" t="s">
        <v>223</v>
      </c>
      <c r="B11" s="357">
        <f>+B6+B7+B8+B9+B10</f>
        <v>377.37823353499994</v>
      </c>
      <c r="C11" s="358">
        <f t="shared" ref="C11:D11" si="3">+C6+C7+C8+C9+C10</f>
        <v>384.83383961499993</v>
      </c>
      <c r="D11" s="359">
        <f t="shared" si="3"/>
        <v>412.06425712999993</v>
      </c>
      <c r="E11" s="360">
        <f>+E6+E7+E8+E9+E10</f>
        <v>400.35786932250005</v>
      </c>
      <c r="F11" s="259">
        <f t="shared" si="0"/>
        <v>2.9239809441762299E-2</v>
      </c>
      <c r="G11" s="415">
        <f>+G6+G7+G8+G9+G10</f>
        <v>4094.4908076199999</v>
      </c>
      <c r="H11" s="416">
        <f>+H6+H7+H8+H9+H10</f>
        <v>3620.9531285200001</v>
      </c>
      <c r="I11" s="260">
        <f t="shared" si="1"/>
        <v>0.13077708058970372</v>
      </c>
      <c r="J11" s="415">
        <f>+J6+J7+J8+J9+J10</f>
        <v>2929.5936043525007</v>
      </c>
      <c r="K11" s="259">
        <f t="shared" si="2"/>
        <v>0.23599161437966876</v>
      </c>
      <c r="L11" s="560"/>
    </row>
    <row r="12" spans="1:12" ht="24.75" customHeight="1">
      <c r="A12" s="261" t="s">
        <v>224</v>
      </c>
      <c r="B12" s="262">
        <f>B11/'4. Tipo Recurso'!B19</f>
        <v>8.8185815957297867E-2</v>
      </c>
      <c r="C12" s="729">
        <f>C11/'4. Tipo Recurso'!C19</f>
        <v>9.1827052602693665E-2</v>
      </c>
      <c r="D12" s="566">
        <f>D11/'4. Tipo Recurso'!D19</f>
        <v>9.2294308451275509E-2</v>
      </c>
      <c r="E12" s="262">
        <f>E11/'4. Tipo Recurso'!E19</f>
        <v>8.9314347681710954E-2</v>
      </c>
      <c r="F12" s="263"/>
      <c r="G12" s="262">
        <f>G11/'4. Tipo Recurso'!G19</f>
        <v>0.10180738091396908</v>
      </c>
      <c r="H12" s="260">
        <f>H11/'4. Tipo Recurso'!H19</f>
        <v>8.2481484747203057E-2</v>
      </c>
      <c r="I12" s="260"/>
      <c r="J12" s="262">
        <f>J11/'4. Tipo Recurso'!J19</f>
        <v>6.968372187284011E-2</v>
      </c>
      <c r="K12" s="263"/>
      <c r="L12" s="560"/>
    </row>
    <row r="13" spans="1:12" ht="11.25" customHeight="1">
      <c r="A13" s="264" t="s">
        <v>225</v>
      </c>
      <c r="B13" s="134"/>
      <c r="C13" s="134"/>
      <c r="D13" s="134"/>
      <c r="E13" s="134"/>
      <c r="F13" s="134"/>
      <c r="G13" s="134"/>
      <c r="H13" s="134"/>
      <c r="I13" s="134"/>
      <c r="J13" s="134"/>
      <c r="K13" s="135"/>
      <c r="L13" s="560"/>
    </row>
    <row r="14" spans="1:12" ht="35.25" customHeight="1">
      <c r="A14" s="924" t="s">
        <v>462</v>
      </c>
      <c r="B14" s="924"/>
      <c r="C14" s="924"/>
      <c r="D14" s="924"/>
      <c r="E14" s="924"/>
      <c r="F14" s="924"/>
      <c r="G14" s="924"/>
      <c r="H14" s="924"/>
      <c r="I14" s="924"/>
      <c r="J14" s="924"/>
      <c r="K14" s="924"/>
      <c r="L14" s="560"/>
    </row>
    <row r="15" spans="1:12" ht="11.25" customHeight="1">
      <c r="A15" s="31"/>
      <c r="L15" s="560"/>
    </row>
    <row r="16" spans="1:12" ht="11.25" customHeight="1">
      <c r="A16" s="136"/>
      <c r="B16" s="147"/>
      <c r="C16" s="147"/>
      <c r="D16" s="147"/>
      <c r="E16" s="147"/>
      <c r="F16" s="147"/>
      <c r="G16" s="147"/>
      <c r="H16" s="147"/>
      <c r="I16" s="147"/>
      <c r="J16" s="147"/>
      <c r="K16" s="147"/>
      <c r="L16" s="560"/>
    </row>
    <row r="17" spans="1:12" ht="11.25" customHeight="1">
      <c r="A17" s="147"/>
      <c r="B17" s="147"/>
      <c r="C17" s="147"/>
      <c r="D17" s="147"/>
      <c r="E17" s="147"/>
      <c r="F17" s="147"/>
      <c r="G17" s="147"/>
      <c r="H17" s="147"/>
      <c r="I17" s="147"/>
      <c r="J17" s="147"/>
      <c r="K17" s="147"/>
      <c r="L17" s="560"/>
    </row>
    <row r="18" spans="1:12" ht="11.25" customHeight="1">
      <c r="A18" s="147"/>
      <c r="B18" s="147"/>
      <c r="C18" s="147"/>
      <c r="D18" s="147"/>
      <c r="E18" s="147"/>
      <c r="F18" s="147"/>
      <c r="G18" s="147"/>
      <c r="H18" s="147"/>
      <c r="I18" s="147"/>
      <c r="J18" s="147"/>
      <c r="K18" s="147"/>
      <c r="L18" s="564"/>
    </row>
    <row r="19" spans="1:12" ht="11.25" customHeight="1">
      <c r="A19" s="136"/>
      <c r="B19" s="138"/>
      <c r="C19" s="138"/>
      <c r="D19" s="138"/>
      <c r="E19" s="138"/>
      <c r="F19" s="138"/>
      <c r="G19" s="138"/>
      <c r="H19" s="138"/>
      <c r="I19" s="138"/>
      <c r="J19" s="138"/>
      <c r="K19" s="138"/>
      <c r="L19" s="560"/>
    </row>
    <row r="20" spans="1:12" ht="11.25" customHeight="1">
      <c r="A20" s="136"/>
      <c r="B20" s="138"/>
      <c r="C20" s="138"/>
      <c r="D20" s="138"/>
      <c r="E20" s="138"/>
      <c r="F20" s="138"/>
      <c r="G20" s="138"/>
      <c r="H20" s="138"/>
      <c r="I20" s="138"/>
      <c r="J20" s="138"/>
      <c r="K20" s="138"/>
      <c r="L20" s="560"/>
    </row>
    <row r="21" spans="1:12" ht="11.25" customHeight="1">
      <c r="A21" s="136"/>
      <c r="B21" s="138"/>
      <c r="C21" s="138"/>
      <c r="D21" s="138"/>
      <c r="E21" s="138"/>
      <c r="F21" s="138"/>
      <c r="G21" s="138"/>
      <c r="H21" s="138"/>
      <c r="I21" s="138"/>
      <c r="J21" s="138"/>
      <c r="K21" s="138"/>
      <c r="L21" s="560"/>
    </row>
    <row r="22" spans="1:12" ht="11.25" customHeight="1">
      <c r="A22" s="136"/>
      <c r="B22" s="138"/>
      <c r="C22" s="138"/>
      <c r="D22" s="138"/>
      <c r="E22" s="138"/>
      <c r="F22" s="138"/>
      <c r="G22" s="138"/>
      <c r="H22" s="138"/>
      <c r="I22" s="138"/>
      <c r="J22" s="138"/>
      <c r="K22" s="138"/>
      <c r="L22" s="564"/>
    </row>
    <row r="23" spans="1:12" ht="11.25" customHeight="1">
      <c r="A23" s="136"/>
      <c r="B23" s="138"/>
      <c r="C23" s="138"/>
      <c r="D23" s="138"/>
      <c r="E23" s="138"/>
      <c r="F23" s="138"/>
      <c r="G23" s="138"/>
      <c r="H23" s="138"/>
      <c r="I23" s="138"/>
      <c r="J23" s="138"/>
      <c r="K23" s="138"/>
      <c r="L23" s="560"/>
    </row>
    <row r="24" spans="1:12" ht="11.25" customHeight="1">
      <c r="A24" s="136"/>
      <c r="B24" s="138"/>
      <c r="C24" s="138"/>
      <c r="D24" s="138"/>
      <c r="E24" s="138"/>
      <c r="F24" s="138"/>
      <c r="G24" s="138"/>
      <c r="H24" s="138"/>
      <c r="I24" s="138"/>
      <c r="J24" s="138"/>
      <c r="K24" s="138"/>
      <c r="L24" s="560"/>
    </row>
    <row r="25" spans="1:12" ht="11.25" customHeight="1">
      <c r="A25" s="136"/>
      <c r="B25" s="138"/>
      <c r="C25" s="138"/>
      <c r="D25" s="138"/>
      <c r="E25" s="138"/>
      <c r="F25" s="138"/>
      <c r="G25" s="138"/>
      <c r="H25" s="138"/>
      <c r="I25" s="138"/>
      <c r="J25" s="138"/>
      <c r="K25" s="138"/>
      <c r="L25" s="560"/>
    </row>
    <row r="26" spans="1:12" ht="11.25" customHeight="1">
      <c r="A26" s="136"/>
      <c r="B26" s="138"/>
      <c r="C26" s="138"/>
      <c r="D26" s="138"/>
      <c r="E26" s="138"/>
      <c r="F26" s="138"/>
      <c r="G26" s="138"/>
      <c r="H26" s="138"/>
      <c r="I26" s="138"/>
      <c r="J26" s="138"/>
      <c r="K26" s="138"/>
      <c r="L26" s="560"/>
    </row>
    <row r="27" spans="1:12" ht="11.25" customHeight="1">
      <c r="A27" s="136"/>
      <c r="B27" s="138"/>
      <c r="C27" s="138"/>
      <c r="D27" s="138"/>
      <c r="E27" s="138"/>
      <c r="F27" s="138"/>
      <c r="G27" s="138"/>
      <c r="H27" s="138"/>
      <c r="I27" s="138"/>
      <c r="J27" s="138"/>
      <c r="K27" s="138"/>
      <c r="L27" s="560"/>
    </row>
    <row r="28" spans="1:12" ht="11.25" customHeight="1">
      <c r="A28" s="136"/>
      <c r="B28" s="138"/>
      <c r="C28" s="138"/>
      <c r="D28" s="138"/>
      <c r="E28" s="138"/>
      <c r="F28" s="138"/>
      <c r="G28" s="138"/>
      <c r="H28" s="138"/>
      <c r="I28" s="138"/>
      <c r="J28" s="138"/>
      <c r="K28" s="138"/>
      <c r="L28" s="560"/>
    </row>
    <row r="29" spans="1:12" ht="11.25" customHeight="1">
      <c r="A29" s="136"/>
      <c r="B29" s="138"/>
      <c r="C29" s="138"/>
      <c r="D29" s="138"/>
      <c r="E29" s="138"/>
      <c r="F29" s="138"/>
      <c r="G29" s="138"/>
      <c r="H29" s="138"/>
      <c r="I29" s="138"/>
      <c r="J29" s="138"/>
      <c r="K29" s="138"/>
      <c r="L29" s="560"/>
    </row>
    <row r="30" spans="1:12" ht="11.25" customHeight="1">
      <c r="A30" s="136"/>
      <c r="B30" s="138"/>
      <c r="C30" s="138"/>
      <c r="D30" s="138"/>
      <c r="E30" s="138"/>
      <c r="F30" s="138"/>
      <c r="G30" s="138"/>
      <c r="H30" s="138"/>
      <c r="I30" s="138"/>
      <c r="J30" s="138"/>
      <c r="K30" s="138"/>
      <c r="L30" s="560"/>
    </row>
    <row r="31" spans="1:12" ht="11.25" customHeight="1">
      <c r="A31" s="136"/>
      <c r="B31" s="138"/>
      <c r="C31" s="138"/>
      <c r="D31" s="138"/>
      <c r="E31" s="138"/>
      <c r="F31" s="138"/>
      <c r="G31" s="138"/>
      <c r="H31" s="138"/>
      <c r="I31" s="138"/>
      <c r="J31" s="138"/>
      <c r="K31" s="138"/>
      <c r="L31" s="560"/>
    </row>
    <row r="32" spans="1:12" ht="11.25" customHeight="1">
      <c r="A32" s="136"/>
      <c r="B32" s="138"/>
      <c r="C32" s="138"/>
      <c r="D32" s="138"/>
      <c r="E32" s="138"/>
      <c r="F32" s="138"/>
      <c r="G32" s="138"/>
      <c r="H32" s="138"/>
      <c r="I32" s="138"/>
      <c r="J32" s="138"/>
      <c r="K32" s="138"/>
      <c r="L32" s="560"/>
    </row>
    <row r="33" spans="1:16" ht="11.25" customHeight="1">
      <c r="A33" s="136"/>
      <c r="B33" s="138"/>
      <c r="C33" s="138"/>
      <c r="D33" s="138"/>
      <c r="E33" s="138"/>
      <c r="F33" s="138"/>
      <c r="G33" s="138"/>
      <c r="H33" s="138"/>
      <c r="I33" s="138"/>
      <c r="J33" s="138"/>
      <c r="K33" s="138"/>
      <c r="L33" s="560"/>
    </row>
    <row r="34" spans="1:16" ht="11.25" customHeight="1">
      <c r="A34" s="922" t="str">
        <f>"Gráfico N° 6: Comparación de la producción de energía eléctrica acumulada (GWh) con recursos energéticos renovables en "&amp;'1. Resumen'!Q4&amp;"."</f>
        <v>Gráfico N° 6: Comparación de la producción de energía eléctrica acumulada (GWh) con recursos energéticos renovables en octubre.</v>
      </c>
      <c r="B34" s="922"/>
      <c r="C34" s="922"/>
      <c r="D34" s="922"/>
      <c r="E34" s="922"/>
      <c r="F34" s="922"/>
      <c r="G34" s="922"/>
      <c r="H34" s="922"/>
      <c r="I34" s="922"/>
      <c r="J34" s="922"/>
      <c r="K34" s="922"/>
      <c r="L34" s="840"/>
      <c r="M34" s="286"/>
      <c r="N34" s="286"/>
      <c r="O34" s="286"/>
    </row>
    <row r="35" spans="1:16" ht="11.25" customHeight="1">
      <c r="L35" s="841"/>
      <c r="M35" s="286"/>
      <c r="N35" s="286"/>
      <c r="O35" s="286"/>
    </row>
    <row r="36" spans="1:16" ht="11.25" customHeight="1">
      <c r="A36" s="136"/>
      <c r="B36" s="138"/>
      <c r="C36" s="138"/>
      <c r="D36" s="138"/>
      <c r="E36" s="138"/>
      <c r="F36" s="138"/>
      <c r="G36" s="138"/>
      <c r="H36" s="138"/>
      <c r="I36" s="138"/>
      <c r="J36" s="138"/>
      <c r="K36" s="138"/>
      <c r="L36" s="840"/>
      <c r="M36" s="286"/>
      <c r="N36" s="286"/>
      <c r="O36" s="286"/>
    </row>
    <row r="37" spans="1:16" ht="11.25" customHeight="1">
      <c r="A37" s="136"/>
      <c r="B37" s="138"/>
      <c r="C37" s="138"/>
      <c r="D37" s="138"/>
      <c r="E37" s="138"/>
      <c r="F37" s="138"/>
      <c r="G37" s="138"/>
      <c r="H37" s="138"/>
      <c r="I37" s="138"/>
      <c r="J37" s="138"/>
      <c r="K37" s="138"/>
      <c r="L37" s="840"/>
      <c r="M37" s="286"/>
      <c r="N37" s="286"/>
      <c r="O37" s="286"/>
    </row>
    <row r="38" spans="1:16" ht="11.25" customHeight="1">
      <c r="A38" s="136"/>
      <c r="B38" s="138"/>
      <c r="C38" s="138"/>
      <c r="D38" s="138"/>
      <c r="E38" s="138"/>
      <c r="F38" s="138"/>
      <c r="G38" s="138"/>
      <c r="H38" s="138"/>
      <c r="I38" s="138"/>
      <c r="J38" s="138"/>
      <c r="K38" s="138"/>
      <c r="L38" s="840"/>
      <c r="M38" s="286"/>
      <c r="N38" s="286"/>
      <c r="O38" s="286"/>
    </row>
    <row r="39" spans="1:16" ht="11.25" customHeight="1">
      <c r="A39" s="136"/>
      <c r="B39" s="138"/>
      <c r="C39" s="265" t="s">
        <v>228</v>
      </c>
      <c r="D39" s="158"/>
      <c r="E39" s="158"/>
      <c r="F39" s="414">
        <f>+'4. Tipo Recurso'!D19</f>
        <v>4464.6767936674996</v>
      </c>
      <c r="G39" s="265" t="s">
        <v>227</v>
      </c>
      <c r="H39" s="138"/>
      <c r="I39" s="138"/>
      <c r="J39" s="138"/>
      <c r="K39" s="138"/>
      <c r="L39" s="840"/>
      <c r="M39" s="842">
        <f>+F39-F40</f>
        <v>4052.6167936674997</v>
      </c>
      <c r="N39" s="286"/>
      <c r="O39" s="286"/>
      <c r="P39" s="565"/>
    </row>
    <row r="40" spans="1:16" ht="11.25" customHeight="1">
      <c r="A40" s="136"/>
      <c r="B40" s="138"/>
      <c r="C40" s="265" t="s">
        <v>229</v>
      </c>
      <c r="D40" s="158"/>
      <c r="E40" s="158"/>
      <c r="F40" s="414">
        <f>ROUND(D11,2)</f>
        <v>412.06</v>
      </c>
      <c r="G40" s="265" t="s">
        <v>227</v>
      </c>
      <c r="H40" s="138"/>
      <c r="I40" s="138"/>
      <c r="J40" s="138"/>
      <c r="K40" s="138"/>
      <c r="L40" s="840"/>
      <c r="M40" s="843"/>
      <c r="N40" s="286"/>
      <c r="O40" s="286"/>
      <c r="P40" s="565"/>
    </row>
    <row r="41" spans="1:16" ht="11.25" customHeight="1">
      <c r="A41" s="136"/>
      <c r="B41" s="138"/>
      <c r="C41" s="138"/>
      <c r="D41" s="138"/>
      <c r="E41" s="138"/>
      <c r="F41" s="138"/>
      <c r="G41" s="138"/>
      <c r="H41" s="138"/>
      <c r="I41" s="138"/>
      <c r="J41" s="138"/>
      <c r="K41" s="138"/>
      <c r="L41" s="840"/>
      <c r="M41" s="286"/>
      <c r="N41" s="286"/>
      <c r="O41" s="286"/>
      <c r="P41" s="565"/>
    </row>
    <row r="42" spans="1:16" ht="11.25" customHeight="1">
      <c r="A42" s="136"/>
      <c r="B42" s="138"/>
      <c r="C42" s="138"/>
      <c r="D42" s="138"/>
      <c r="E42" s="138"/>
      <c r="F42" s="138"/>
      <c r="G42" s="138"/>
      <c r="H42" s="138"/>
      <c r="I42" s="138"/>
      <c r="J42" s="138"/>
      <c r="K42" s="138"/>
      <c r="L42" s="840"/>
      <c r="M42" s="286"/>
      <c r="N42" s="286"/>
      <c r="O42" s="286"/>
      <c r="P42" s="565"/>
    </row>
    <row r="43" spans="1:16" ht="11.25" customHeight="1">
      <c r="A43" s="136"/>
      <c r="B43" s="138"/>
      <c r="C43" s="138"/>
      <c r="D43" s="138"/>
      <c r="E43" s="138"/>
      <c r="F43" s="138"/>
      <c r="G43" s="138"/>
      <c r="H43" s="138"/>
      <c r="I43" s="138"/>
      <c r="J43" s="138"/>
      <c r="K43" s="138"/>
      <c r="L43" s="560"/>
      <c r="P43" s="565"/>
    </row>
    <row r="44" spans="1:16" ht="11.25" customHeight="1">
      <c r="A44" s="136"/>
      <c r="B44" s="138"/>
      <c r="C44" s="138"/>
      <c r="D44" s="138"/>
      <c r="E44" s="138"/>
      <c r="F44" s="138"/>
      <c r="G44" s="138"/>
      <c r="H44" s="138"/>
      <c r="I44" s="138"/>
      <c r="J44" s="138"/>
      <c r="K44" s="138"/>
    </row>
    <row r="45" spans="1:16" ht="11.25" customHeight="1">
      <c r="A45" s="136"/>
      <c r="B45" s="138"/>
      <c r="C45" s="138"/>
      <c r="D45" s="138"/>
      <c r="E45" s="138"/>
      <c r="F45" s="138"/>
      <c r="G45" s="138"/>
      <c r="H45" s="138"/>
      <c r="I45" s="138"/>
      <c r="J45" s="138"/>
      <c r="K45" s="138"/>
    </row>
    <row r="46" spans="1:16" ht="11.25" customHeight="1">
      <c r="A46" s="136"/>
      <c r="B46" s="138"/>
      <c r="C46" s="138"/>
      <c r="D46" s="138"/>
      <c r="E46" s="138"/>
      <c r="F46" s="138"/>
      <c r="G46" s="138"/>
      <c r="H46" s="138"/>
      <c r="I46" s="138"/>
      <c r="J46" s="138"/>
      <c r="K46" s="138"/>
    </row>
    <row r="47" spans="1:16" ht="11.25" customHeight="1">
      <c r="A47" s="136"/>
      <c r="B47" s="138"/>
      <c r="C47" s="138"/>
      <c r="D47" s="138"/>
      <c r="E47" s="138"/>
      <c r="F47" s="138"/>
      <c r="G47" s="138"/>
      <c r="H47" s="138"/>
      <c r="I47" s="138"/>
      <c r="J47" s="138"/>
      <c r="K47" s="138"/>
    </row>
    <row r="48" spans="1:16" ht="11.25" customHeight="1">
      <c r="A48" s="136"/>
      <c r="B48" s="138"/>
      <c r="C48" s="138"/>
      <c r="D48" s="138"/>
      <c r="E48" s="138"/>
      <c r="F48" s="138"/>
      <c r="G48" s="138"/>
      <c r="H48" s="138"/>
      <c r="I48" s="138"/>
      <c r="J48" s="138"/>
      <c r="K48" s="138"/>
    </row>
    <row r="49" spans="1:11">
      <c r="A49" s="136"/>
      <c r="B49" s="138"/>
      <c r="C49" s="138"/>
      <c r="D49" s="138"/>
      <c r="E49" s="138"/>
      <c r="F49" s="138"/>
      <c r="G49" s="138"/>
      <c r="H49" s="138"/>
      <c r="I49" s="138"/>
      <c r="J49" s="138"/>
      <c r="K49" s="138"/>
    </row>
    <row r="50" spans="1:11">
      <c r="A50" s="136"/>
      <c r="B50" s="138"/>
      <c r="C50" s="138"/>
      <c r="D50" s="138"/>
      <c r="E50" s="138"/>
      <c r="F50" s="138"/>
      <c r="G50" s="138"/>
      <c r="H50" s="138"/>
      <c r="I50" s="138"/>
      <c r="J50" s="138"/>
      <c r="K50" s="138"/>
    </row>
    <row r="51" spans="1:11">
      <c r="A51" s="136"/>
      <c r="B51" s="138"/>
      <c r="C51" s="138"/>
      <c r="D51" s="138"/>
      <c r="E51" s="138"/>
      <c r="F51" s="138"/>
      <c r="G51" s="138"/>
      <c r="H51" s="138"/>
      <c r="I51" s="138"/>
      <c r="J51" s="138"/>
      <c r="K51" s="138"/>
    </row>
    <row r="52" spans="1:11">
      <c r="A52" s="136"/>
      <c r="B52" s="138"/>
      <c r="C52" s="138"/>
      <c r="D52" s="138"/>
      <c r="E52" s="138"/>
      <c r="F52" s="138"/>
      <c r="G52" s="138"/>
      <c r="H52" s="138"/>
      <c r="I52" s="138"/>
      <c r="J52" s="138"/>
      <c r="K52" s="138"/>
    </row>
    <row r="53" spans="1:11">
      <c r="A53" s="136"/>
      <c r="B53" s="138"/>
      <c r="C53" s="138"/>
      <c r="D53" s="138"/>
      <c r="E53" s="138"/>
      <c r="F53" s="138"/>
      <c r="G53" s="138"/>
      <c r="H53" s="138"/>
      <c r="I53" s="138"/>
      <c r="J53" s="138"/>
      <c r="K53" s="138"/>
    </row>
    <row r="54" spans="1:11">
      <c r="A54" s="136"/>
      <c r="B54" s="138"/>
      <c r="C54" s="138"/>
      <c r="D54" s="138"/>
      <c r="E54" s="138"/>
      <c r="F54" s="138"/>
      <c r="G54" s="138"/>
      <c r="H54" s="138"/>
      <c r="I54" s="138"/>
      <c r="J54" s="138"/>
      <c r="K54" s="138"/>
    </row>
    <row r="55" spans="1:11">
      <c r="A55" s="136"/>
      <c r="B55" s="138"/>
      <c r="C55" s="138"/>
      <c r="D55" s="138"/>
      <c r="E55" s="138"/>
      <c r="F55" s="138"/>
      <c r="G55" s="138"/>
      <c r="H55" s="138"/>
      <c r="I55" s="138"/>
      <c r="J55" s="138"/>
      <c r="K55" s="138"/>
    </row>
    <row r="56" spans="1:11">
      <c r="A56" s="136"/>
      <c r="B56" s="138"/>
      <c r="C56" s="138"/>
      <c r="D56" s="138"/>
      <c r="E56" s="138"/>
      <c r="F56" s="138"/>
      <c r="G56" s="138"/>
      <c r="H56" s="138"/>
      <c r="I56" s="138"/>
      <c r="J56" s="138"/>
      <c r="K56" s="138"/>
    </row>
    <row r="57" spans="1:11">
      <c r="A57" s="136"/>
      <c r="B57" s="138"/>
      <c r="C57" s="138"/>
      <c r="D57" s="138"/>
      <c r="E57" s="138"/>
      <c r="F57" s="138"/>
      <c r="G57" s="138"/>
      <c r="H57" s="138"/>
      <c r="I57" s="138"/>
      <c r="J57" s="138"/>
      <c r="K57" s="138"/>
    </row>
    <row r="58" spans="1:11">
      <c r="A58" s="136"/>
      <c r="B58" s="138"/>
      <c r="C58" s="138"/>
      <c r="D58" s="138"/>
      <c r="E58" s="138"/>
      <c r="F58" s="138"/>
      <c r="G58" s="138"/>
      <c r="H58" s="138"/>
      <c r="I58" s="138"/>
      <c r="J58" s="138"/>
      <c r="K58" s="138"/>
    </row>
    <row r="59" spans="1:11">
      <c r="A59" s="136"/>
      <c r="B59" s="138"/>
      <c r="C59" s="138"/>
      <c r="D59" s="138"/>
      <c r="E59" s="138"/>
      <c r="F59" s="138"/>
      <c r="G59" s="138"/>
      <c r="H59" s="138"/>
      <c r="I59" s="138"/>
      <c r="J59" s="138"/>
      <c r="K59" s="138"/>
    </row>
    <row r="60" spans="1:11">
      <c r="B60" s="138"/>
      <c r="C60" s="138"/>
      <c r="D60" s="138"/>
      <c r="E60" s="138"/>
      <c r="F60" s="138"/>
      <c r="G60" s="138"/>
      <c r="H60" s="138"/>
      <c r="I60" s="138"/>
      <c r="J60" s="138"/>
      <c r="K60" s="138"/>
    </row>
    <row r="61" spans="1:11">
      <c r="A61" s="230" t="str">
        <f>"Gráfico N° 7: Participación de las RER en la Matriz de Generación del SEIN en "&amp;'1. Resumen'!Q4&amp;" "&amp;'1. Resumen'!Q5&amp;"."</f>
        <v>Gráfico N° 7: Participación de las RER en la Matriz de Generación del SEIN en octubre 2020.</v>
      </c>
      <c r="B61" s="138"/>
      <c r="C61" s="138"/>
      <c r="D61" s="138"/>
      <c r="E61" s="138"/>
      <c r="F61" s="138"/>
      <c r="G61" s="138"/>
      <c r="H61" s="138"/>
      <c r="I61" s="138"/>
      <c r="J61" s="138"/>
      <c r="K61" s="138"/>
    </row>
  </sheetData>
  <mergeCells count="7">
    <mergeCell ref="A34:K34"/>
    <mergeCell ref="A2:K2"/>
    <mergeCell ref="A4:A5"/>
    <mergeCell ref="B4:D4"/>
    <mergeCell ref="E4:F4"/>
    <mergeCell ref="G4:K4"/>
    <mergeCell ref="A14:K14"/>
  </mergeCells>
  <pageMargins left="0.62992125984251968" right="0.55118110236220474" top="1.0236220472440944" bottom="0.62992125984251968" header="0.31496062992125984" footer="0.31496062992125984"/>
  <pageSetup paperSize="9" scale="95" orientation="portrait" r:id="rId1"/>
  <headerFooter>
    <oddHeader>&amp;R&amp;7Informe de la Operación Mensual-Octubre 2020
INFSGI-MES-10-2020
12/11/2020
Versión: 01</oddHeader>
    <oddFooter>&amp;L&amp;7COES, 2020&amp;C5&amp;R&amp;7Dirección Ejecutiva
Sub Dirección de Gestión de Información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4"/>
  </sheetPr>
  <dimension ref="A2:Y64"/>
  <sheetViews>
    <sheetView showGridLines="0" view="pageBreakPreview" zoomScaleNormal="100" zoomScaleSheetLayoutView="100" zoomScalePageLayoutView="160" workbookViewId="0">
      <selection activeCell="O14" sqref="O14"/>
    </sheetView>
  </sheetViews>
  <sheetFormatPr defaultColWidth="9.33203125" defaultRowHeight="11.25"/>
  <cols>
    <col min="1" max="11" width="10.33203125" customWidth="1"/>
    <col min="12" max="12" width="21.1640625" style="715" bestFit="1" customWidth="1"/>
    <col min="13" max="14" width="9.33203125" style="715"/>
    <col min="15" max="15" width="11.83203125" style="715" customWidth="1"/>
    <col min="16" max="17" width="9.33203125" style="715"/>
    <col min="18" max="18" width="9.33203125" style="731"/>
    <col min="19" max="19" width="9.33203125" style="754"/>
    <col min="20" max="20" width="15" style="754" customWidth="1"/>
    <col min="21" max="22" width="9.33203125" style="754"/>
    <col min="23" max="24" width="9.33203125" style="558"/>
    <col min="25" max="25" width="17.83203125" style="558" bestFit="1" customWidth="1"/>
  </cols>
  <sheetData>
    <row r="2" spans="1:25" ht="11.25" customHeight="1">
      <c r="A2" s="925" t="s">
        <v>234</v>
      </c>
      <c r="B2" s="925"/>
      <c r="C2" s="925"/>
      <c r="D2" s="925"/>
      <c r="E2" s="925"/>
      <c r="F2" s="925"/>
      <c r="G2" s="925"/>
      <c r="H2" s="925"/>
      <c r="I2" s="925"/>
      <c r="J2" s="925"/>
      <c r="K2" s="925"/>
    </row>
    <row r="3" spans="1:25" ht="11.25" customHeight="1"/>
    <row r="4" spans="1:25" ht="11.25" customHeight="1">
      <c r="L4" s="716" t="s">
        <v>54</v>
      </c>
      <c r="M4" s="717" t="s">
        <v>31</v>
      </c>
      <c r="N4" s="716"/>
      <c r="O4" s="718"/>
      <c r="P4" s="719"/>
      <c r="Q4" s="719"/>
    </row>
    <row r="5" spans="1:25" ht="10.5" customHeight="1">
      <c r="A5" s="149"/>
      <c r="B5" s="138"/>
      <c r="C5" s="138"/>
      <c r="D5" s="138"/>
      <c r="E5" s="138"/>
      <c r="F5" s="138"/>
      <c r="G5" s="138"/>
      <c r="H5" s="138"/>
      <c r="I5" s="138"/>
      <c r="J5" s="138"/>
      <c r="K5" s="138"/>
      <c r="L5" s="716"/>
      <c r="M5" s="717"/>
      <c r="N5" s="716"/>
      <c r="O5" s="716" t="s">
        <v>55</v>
      </c>
      <c r="P5" s="716" t="s">
        <v>56</v>
      </c>
      <c r="Q5" s="716"/>
      <c r="U5" s="754">
        <v>2020</v>
      </c>
      <c r="V5" s="757">
        <v>2019</v>
      </c>
      <c r="W5" s="733"/>
    </row>
    <row r="6" spans="1:25" ht="10.5" customHeight="1">
      <c r="A6" s="111"/>
      <c r="B6" s="138"/>
      <c r="C6" s="138"/>
      <c r="D6" s="138"/>
      <c r="E6" s="138"/>
      <c r="F6" s="138"/>
      <c r="G6" s="138"/>
      <c r="H6" s="138"/>
      <c r="I6" s="138"/>
      <c r="J6" s="138"/>
      <c r="K6" s="138"/>
      <c r="L6" s="720" t="s">
        <v>461</v>
      </c>
      <c r="M6" s="720" t="s">
        <v>58</v>
      </c>
      <c r="N6" s="721">
        <v>20</v>
      </c>
      <c r="O6" s="722">
        <v>12.5197587175</v>
      </c>
      <c r="P6" s="722">
        <v>0.84138163424059143</v>
      </c>
      <c r="Q6" s="722"/>
      <c r="S6" s="754" t="s">
        <v>452</v>
      </c>
      <c r="T6" s="754" t="s">
        <v>59</v>
      </c>
      <c r="U6" s="755">
        <v>1</v>
      </c>
      <c r="V6" s="756">
        <v>1</v>
      </c>
      <c r="W6" s="734"/>
      <c r="X6" s="754"/>
      <c r="Y6" s="755"/>
    </row>
    <row r="7" spans="1:25" ht="10.5" customHeight="1">
      <c r="A7" s="136"/>
      <c r="B7" s="138"/>
      <c r="C7" s="138"/>
      <c r="D7" s="138"/>
      <c r="E7" s="138"/>
      <c r="F7" s="138"/>
      <c r="G7" s="138"/>
      <c r="H7" s="138"/>
      <c r="I7" s="138"/>
      <c r="J7" s="138"/>
      <c r="K7" s="138"/>
      <c r="L7" s="720" t="s">
        <v>59</v>
      </c>
      <c r="M7" s="720" t="s">
        <v>58</v>
      </c>
      <c r="N7" s="721">
        <v>15</v>
      </c>
      <c r="O7" s="722">
        <v>11.371676297499999</v>
      </c>
      <c r="P7" s="722">
        <v>1.0189674101702508</v>
      </c>
      <c r="Q7" s="722"/>
      <c r="T7" s="754" t="s">
        <v>406</v>
      </c>
      <c r="U7" s="755">
        <v>1</v>
      </c>
      <c r="V7" s="756">
        <v>0.91314932086423239</v>
      </c>
      <c r="W7" s="734"/>
      <c r="X7" s="754"/>
      <c r="Y7" s="755"/>
    </row>
    <row r="8" spans="1:25" ht="10.5" customHeight="1">
      <c r="A8" s="136"/>
      <c r="B8" s="138"/>
      <c r="C8" s="138"/>
      <c r="D8" s="138"/>
      <c r="E8" s="138"/>
      <c r="F8" s="138"/>
      <c r="G8" s="138"/>
      <c r="H8" s="138"/>
      <c r="I8" s="138"/>
      <c r="J8" s="138"/>
      <c r="K8" s="138"/>
      <c r="L8" s="720" t="s">
        <v>406</v>
      </c>
      <c r="M8" s="720" t="s">
        <v>58</v>
      </c>
      <c r="N8" s="721">
        <v>19.605</v>
      </c>
      <c r="O8" s="722">
        <v>11.088193905000001</v>
      </c>
      <c r="P8" s="722">
        <v>0.76018803526914636</v>
      </c>
      <c r="Q8" s="722"/>
      <c r="T8" s="754" t="s">
        <v>62</v>
      </c>
      <c r="U8" s="755">
        <v>1</v>
      </c>
      <c r="V8" s="756">
        <v>0.84200050427577666</v>
      </c>
      <c r="W8" s="734"/>
      <c r="X8" s="754"/>
      <c r="Y8" s="755"/>
    </row>
    <row r="9" spans="1:25" ht="10.5" customHeight="1">
      <c r="A9" s="136"/>
      <c r="B9" s="138"/>
      <c r="C9" s="138"/>
      <c r="D9" s="138"/>
      <c r="E9" s="138"/>
      <c r="F9" s="138"/>
      <c r="G9" s="138"/>
      <c r="H9" s="138"/>
      <c r="I9" s="138"/>
      <c r="J9" s="138"/>
      <c r="K9" s="138"/>
      <c r="L9" s="720" t="s">
        <v>420</v>
      </c>
      <c r="M9" s="723" t="s">
        <v>58</v>
      </c>
      <c r="N9" s="721">
        <v>20</v>
      </c>
      <c r="O9" s="722">
        <v>10.023257812499999</v>
      </c>
      <c r="P9" s="722">
        <v>0.67360603578629019</v>
      </c>
      <c r="Q9" s="722"/>
      <c r="T9" s="754" t="s">
        <v>461</v>
      </c>
      <c r="U9" s="755">
        <v>1</v>
      </c>
      <c r="V9" s="756"/>
      <c r="W9" s="734"/>
      <c r="X9" s="754"/>
      <c r="Y9" s="755"/>
    </row>
    <row r="10" spans="1:25" ht="10.5" customHeight="1">
      <c r="A10" s="136"/>
      <c r="B10" s="138"/>
      <c r="C10" s="138"/>
      <c r="D10" s="138"/>
      <c r="E10" s="138"/>
      <c r="F10" s="138"/>
      <c r="G10" s="138"/>
      <c r="H10" s="138"/>
      <c r="I10" s="138"/>
      <c r="J10" s="138"/>
      <c r="K10" s="138"/>
      <c r="L10" s="720" t="s">
        <v>460</v>
      </c>
      <c r="M10" s="723" t="s">
        <v>58</v>
      </c>
      <c r="N10" s="721">
        <v>20</v>
      </c>
      <c r="O10" s="722">
        <v>8.2396298975000004</v>
      </c>
      <c r="P10" s="722">
        <v>0.55373856838037638</v>
      </c>
      <c r="Q10" s="722"/>
      <c r="T10" s="754" t="s">
        <v>66</v>
      </c>
      <c r="U10" s="755">
        <v>1</v>
      </c>
      <c r="V10" s="756">
        <v>0.80360317028630124</v>
      </c>
      <c r="W10" s="734"/>
      <c r="X10" s="754"/>
      <c r="Y10" s="755"/>
    </row>
    <row r="11" spans="1:25" ht="10.5" customHeight="1">
      <c r="A11" s="136"/>
      <c r="B11" s="138"/>
      <c r="C11" s="138"/>
      <c r="D11" s="138"/>
      <c r="E11" s="138"/>
      <c r="F11" s="138"/>
      <c r="G11" s="138"/>
      <c r="H11" s="138"/>
      <c r="I11" s="138"/>
      <c r="J11" s="138"/>
      <c r="K11" s="138"/>
      <c r="L11" s="720" t="s">
        <v>463</v>
      </c>
      <c r="M11" s="723" t="s">
        <v>58</v>
      </c>
      <c r="N11" s="721">
        <v>19</v>
      </c>
      <c r="O11" s="722">
        <v>7.3072496974999996</v>
      </c>
      <c r="P11" s="722">
        <v>0.51692485126627052</v>
      </c>
      <c r="Q11" s="722"/>
      <c r="T11" s="754" t="s">
        <v>460</v>
      </c>
      <c r="U11" s="755">
        <v>0.9889730969376137</v>
      </c>
      <c r="V11" s="756"/>
      <c r="W11" s="734"/>
      <c r="X11" s="754"/>
      <c r="Y11" s="755"/>
    </row>
    <row r="12" spans="1:25" ht="10.5" customHeight="1">
      <c r="A12" s="136"/>
      <c r="B12" s="138"/>
      <c r="C12" s="138"/>
      <c r="D12" s="138"/>
      <c r="E12" s="138"/>
      <c r="F12" s="138"/>
      <c r="G12" s="138"/>
      <c r="H12" s="138"/>
      <c r="I12" s="138"/>
      <c r="J12" s="138"/>
      <c r="K12" s="138"/>
      <c r="L12" s="720" t="s">
        <v>62</v>
      </c>
      <c r="M12" s="720" t="s">
        <v>58</v>
      </c>
      <c r="N12" s="721">
        <v>9.9830000000000005</v>
      </c>
      <c r="O12" s="722">
        <v>5.3854130475000002</v>
      </c>
      <c r="P12" s="722">
        <v>0.72507847312204932</v>
      </c>
      <c r="Q12" s="722"/>
      <c r="T12" s="754" t="s">
        <v>71</v>
      </c>
      <c r="U12" s="755">
        <v>0.94709179689382361</v>
      </c>
      <c r="V12" s="756">
        <v>0.88157391461717372</v>
      </c>
      <c r="W12" s="734"/>
      <c r="X12" s="754"/>
      <c r="Y12" s="755"/>
    </row>
    <row r="13" spans="1:25" ht="10.5" customHeight="1">
      <c r="A13" s="136"/>
      <c r="B13" s="138"/>
      <c r="C13" s="138"/>
      <c r="D13" s="138"/>
      <c r="E13" s="138"/>
      <c r="F13" s="138"/>
      <c r="G13" s="138"/>
      <c r="H13" s="138"/>
      <c r="I13" s="138"/>
      <c r="J13" s="138"/>
      <c r="K13" s="138"/>
      <c r="L13" s="720" t="s">
        <v>66</v>
      </c>
      <c r="M13" s="720" t="s">
        <v>58</v>
      </c>
      <c r="N13" s="721">
        <v>7.7450000000000001</v>
      </c>
      <c r="O13" s="722">
        <v>5.2229287400000004</v>
      </c>
      <c r="P13" s="722">
        <v>0.90639967859944337</v>
      </c>
      <c r="Q13" s="722"/>
      <c r="T13" s="754" t="s">
        <v>73</v>
      </c>
      <c r="U13" s="755">
        <v>0.94316085753800405</v>
      </c>
      <c r="V13" s="756">
        <v>0.71172597660887238</v>
      </c>
      <c r="W13" s="734"/>
      <c r="X13" s="754"/>
      <c r="Y13" s="755"/>
    </row>
    <row r="14" spans="1:25" ht="10.5" customHeight="1">
      <c r="A14" s="136"/>
      <c r="B14" s="138"/>
      <c r="C14" s="138"/>
      <c r="D14" s="138"/>
      <c r="E14" s="138"/>
      <c r="F14" s="138"/>
      <c r="G14" s="138"/>
      <c r="H14" s="138"/>
      <c r="I14" s="138"/>
      <c r="J14" s="138"/>
      <c r="K14" s="138"/>
      <c r="L14" s="720" t="s">
        <v>57</v>
      </c>
      <c r="M14" s="720" t="s">
        <v>58</v>
      </c>
      <c r="N14" s="721">
        <v>19.966000000000001</v>
      </c>
      <c r="O14" s="722">
        <v>4.6874477399999996</v>
      </c>
      <c r="P14" s="722">
        <v>0.31555308944560584</v>
      </c>
      <c r="Q14" s="722"/>
      <c r="T14" s="754" t="s">
        <v>74</v>
      </c>
      <c r="U14" s="755">
        <v>0.94231507979833062</v>
      </c>
      <c r="V14" s="756">
        <v>0.80171358060482389</v>
      </c>
      <c r="W14" s="734"/>
      <c r="X14" s="754"/>
      <c r="Y14" s="755"/>
    </row>
    <row r="15" spans="1:25" ht="11.25" customHeight="1">
      <c r="A15" s="136"/>
      <c r="B15" s="138"/>
      <c r="C15" s="138"/>
      <c r="D15" s="138"/>
      <c r="E15" s="138"/>
      <c r="F15" s="138"/>
      <c r="G15" s="138"/>
      <c r="H15" s="138"/>
      <c r="I15" s="138"/>
      <c r="J15" s="138"/>
      <c r="K15" s="138"/>
      <c r="L15" s="720" t="s">
        <v>414</v>
      </c>
      <c r="M15" s="720" t="s">
        <v>58</v>
      </c>
      <c r="N15" s="721">
        <v>20.16</v>
      </c>
      <c r="O15" s="722">
        <v>4.5572123700000002</v>
      </c>
      <c r="P15" s="722">
        <v>0.30383360335061443</v>
      </c>
      <c r="Q15" s="722"/>
      <c r="T15" s="754" t="s">
        <v>424</v>
      </c>
      <c r="U15" s="755">
        <v>0.90670235918784858</v>
      </c>
      <c r="V15" s="756">
        <v>0.77921907572792848</v>
      </c>
      <c r="W15" s="734"/>
      <c r="X15" s="754"/>
      <c r="Y15" s="755"/>
    </row>
    <row r="16" spans="1:25" ht="11.25" customHeight="1">
      <c r="A16" s="136"/>
      <c r="B16" s="138"/>
      <c r="C16" s="138"/>
      <c r="D16" s="138"/>
      <c r="E16" s="138"/>
      <c r="F16" s="138"/>
      <c r="G16" s="138"/>
      <c r="H16" s="138"/>
      <c r="I16" s="138"/>
      <c r="J16" s="138"/>
      <c r="K16" s="138"/>
      <c r="L16" s="720" t="s">
        <v>413</v>
      </c>
      <c r="M16" s="720" t="s">
        <v>58</v>
      </c>
      <c r="N16" s="721">
        <v>20.16</v>
      </c>
      <c r="O16" s="722">
        <v>4.4510389925000009</v>
      </c>
      <c r="P16" s="722">
        <v>0.2967549251485429</v>
      </c>
      <c r="Q16" s="722"/>
      <c r="T16" s="754" t="s">
        <v>57</v>
      </c>
      <c r="U16" s="755">
        <v>0.87418462541831132</v>
      </c>
      <c r="V16" s="756">
        <v>0.83796735349034412</v>
      </c>
      <c r="W16" s="734"/>
      <c r="X16" s="754"/>
      <c r="Y16" s="755"/>
    </row>
    <row r="17" spans="1:25" ht="11.25" customHeight="1">
      <c r="A17" s="136"/>
      <c r="B17" s="138"/>
      <c r="C17" s="138"/>
      <c r="D17" s="138"/>
      <c r="E17" s="138"/>
      <c r="F17" s="138"/>
      <c r="G17" s="138"/>
      <c r="H17" s="138"/>
      <c r="I17" s="138"/>
      <c r="J17" s="138"/>
      <c r="K17" s="138"/>
      <c r="L17" s="720" t="s">
        <v>69</v>
      </c>
      <c r="M17" s="720" t="s">
        <v>58</v>
      </c>
      <c r="N17" s="721">
        <v>9.5660000000000007</v>
      </c>
      <c r="O17" s="722">
        <v>3.6396305450000002</v>
      </c>
      <c r="P17" s="722">
        <v>0.51139206972386519</v>
      </c>
      <c r="Q17" s="722"/>
      <c r="T17" s="754" t="s">
        <v>413</v>
      </c>
      <c r="U17" s="755">
        <v>0.86904108996764495</v>
      </c>
      <c r="V17" s="756">
        <v>0.50945329199963818</v>
      </c>
      <c r="W17" s="734"/>
      <c r="X17" s="754"/>
      <c r="Y17" s="755"/>
    </row>
    <row r="18" spans="1:25">
      <c r="A18" s="136"/>
      <c r="B18" s="138"/>
      <c r="C18" s="138"/>
      <c r="D18" s="138"/>
      <c r="E18" s="138"/>
      <c r="F18" s="138"/>
      <c r="G18" s="138"/>
      <c r="H18" s="138"/>
      <c r="I18" s="138"/>
      <c r="J18" s="138"/>
      <c r="K18" s="138"/>
      <c r="L18" s="720" t="s">
        <v>70</v>
      </c>
      <c r="M18" s="720" t="s">
        <v>58</v>
      </c>
      <c r="N18" s="721">
        <v>5.1890000000000001</v>
      </c>
      <c r="O18" s="722">
        <v>3.6143528150000002</v>
      </c>
      <c r="P18" s="722">
        <v>0.93621142714012484</v>
      </c>
      <c r="Q18" s="722"/>
      <c r="T18" s="754" t="s">
        <v>416</v>
      </c>
      <c r="U18" s="755">
        <v>0.8488575242323706</v>
      </c>
      <c r="V18" s="756">
        <v>0.57291269567219161</v>
      </c>
      <c r="W18" s="734"/>
      <c r="X18" s="754"/>
      <c r="Y18" s="755"/>
    </row>
    <row r="19" spans="1:25">
      <c r="A19" s="136"/>
      <c r="B19" s="138"/>
      <c r="C19" s="138"/>
      <c r="D19" s="138"/>
      <c r="E19" s="138"/>
      <c r="F19" s="138"/>
      <c r="G19" s="138"/>
      <c r="H19" s="138"/>
      <c r="I19" s="138"/>
      <c r="J19" s="138"/>
      <c r="K19" s="138"/>
      <c r="L19" s="720" t="s">
        <v>415</v>
      </c>
      <c r="M19" s="720" t="s">
        <v>58</v>
      </c>
      <c r="N19" s="721">
        <v>20.16</v>
      </c>
      <c r="O19" s="722">
        <v>3.4416516974999998</v>
      </c>
      <c r="P19" s="722">
        <v>0.22945813182043648</v>
      </c>
      <c r="Q19" s="722"/>
      <c r="T19" s="754" t="s">
        <v>70</v>
      </c>
      <c r="U19" s="755">
        <v>0.84864612721109278</v>
      </c>
      <c r="V19" s="756">
        <v>0.71010240177283923</v>
      </c>
      <c r="W19" s="734"/>
      <c r="X19" s="754"/>
      <c r="Y19" s="755"/>
    </row>
    <row r="20" spans="1:25">
      <c r="A20" s="136"/>
      <c r="B20" s="138"/>
      <c r="C20" s="138"/>
      <c r="D20" s="138"/>
      <c r="E20" s="138"/>
      <c r="F20" s="138"/>
      <c r="G20" s="138"/>
      <c r="H20" s="138"/>
      <c r="I20" s="138"/>
      <c r="J20" s="138"/>
      <c r="K20" s="138"/>
      <c r="L20" s="720" t="s">
        <v>424</v>
      </c>
      <c r="M20" s="720" t="s">
        <v>58</v>
      </c>
      <c r="N20" s="721">
        <v>13.2</v>
      </c>
      <c r="O20" s="722">
        <v>3.3687812450000001</v>
      </c>
      <c r="P20" s="722">
        <v>0.34302513491772568</v>
      </c>
      <c r="Q20" s="722"/>
      <c r="T20" s="754" t="s">
        <v>69</v>
      </c>
      <c r="U20" s="755">
        <v>0.84216681355862644</v>
      </c>
      <c r="V20" s="756">
        <v>0.69370181273580955</v>
      </c>
      <c r="W20" s="734"/>
      <c r="X20" s="754"/>
      <c r="Y20" s="755"/>
    </row>
    <row r="21" spans="1:25">
      <c r="A21" s="136"/>
      <c r="B21" s="138"/>
      <c r="C21" s="138"/>
      <c r="D21" s="138"/>
      <c r="E21" s="138"/>
      <c r="F21" s="138"/>
      <c r="G21" s="138"/>
      <c r="H21" s="138"/>
      <c r="I21" s="138"/>
      <c r="J21" s="138"/>
      <c r="K21" s="138"/>
      <c r="L21" s="720" t="s">
        <v>459</v>
      </c>
      <c r="M21" s="720" t="s">
        <v>58</v>
      </c>
      <c r="N21" s="721">
        <v>8.4</v>
      </c>
      <c r="O21" s="722">
        <v>3.3319410624999999</v>
      </c>
      <c r="P21" s="722">
        <v>0.53314469126024067</v>
      </c>
      <c r="Q21" s="722"/>
      <c r="T21" s="754" t="s">
        <v>65</v>
      </c>
      <c r="U21" s="755">
        <v>0.84154284040895766</v>
      </c>
      <c r="V21" s="756">
        <v>0.76185422766450717</v>
      </c>
      <c r="W21" s="734"/>
      <c r="X21" s="754"/>
      <c r="Y21" s="755"/>
    </row>
    <row r="22" spans="1:25">
      <c r="A22" s="136"/>
      <c r="B22" s="138"/>
      <c r="C22" s="138"/>
      <c r="D22" s="138"/>
      <c r="E22" s="138"/>
      <c r="F22" s="138"/>
      <c r="G22" s="138"/>
      <c r="H22" s="138"/>
      <c r="I22" s="138"/>
      <c r="J22" s="138"/>
      <c r="K22" s="138"/>
      <c r="L22" s="720" t="s">
        <v>60</v>
      </c>
      <c r="M22" s="720" t="s">
        <v>58</v>
      </c>
      <c r="N22" s="721">
        <v>19.966999999999999</v>
      </c>
      <c r="O22" s="722">
        <v>3.2656924224999999</v>
      </c>
      <c r="P22" s="722">
        <v>0.21983129842331245</v>
      </c>
      <c r="Q22" s="722"/>
      <c r="T22" s="754" t="s">
        <v>64</v>
      </c>
      <c r="U22" s="755">
        <v>0.82941474549607097</v>
      </c>
      <c r="V22" s="756">
        <v>0.76981830413620589</v>
      </c>
      <c r="W22" s="734"/>
      <c r="X22" s="754"/>
      <c r="Y22" s="755"/>
    </row>
    <row r="23" spans="1:25">
      <c r="A23" s="136"/>
      <c r="B23" s="138"/>
      <c r="C23" s="138"/>
      <c r="D23" s="138"/>
      <c r="E23" s="138"/>
      <c r="F23" s="138"/>
      <c r="G23" s="138"/>
      <c r="H23" s="138"/>
      <c r="I23" s="138"/>
      <c r="J23" s="138"/>
      <c r="K23" s="138"/>
      <c r="L23" s="720" t="s">
        <v>588</v>
      </c>
      <c r="M23" s="720" t="s">
        <v>58</v>
      </c>
      <c r="N23" s="721">
        <v>20</v>
      </c>
      <c r="O23" s="722">
        <v>3.1487543974999999</v>
      </c>
      <c r="P23" s="722">
        <v>0.21160983854166665</v>
      </c>
      <c r="Q23" s="722"/>
      <c r="T23" s="754" t="s">
        <v>415</v>
      </c>
      <c r="U23" s="755">
        <v>0.81897365528752675</v>
      </c>
      <c r="V23" s="756">
        <v>0.46613436482586817</v>
      </c>
      <c r="W23" s="734"/>
      <c r="X23" s="754"/>
      <c r="Y23" s="755"/>
    </row>
    <row r="24" spans="1:25">
      <c r="A24" s="136"/>
      <c r="B24" s="138"/>
      <c r="C24" s="138"/>
      <c r="D24" s="138"/>
      <c r="E24" s="138"/>
      <c r="F24" s="138"/>
      <c r="G24" s="138"/>
      <c r="H24" s="138"/>
      <c r="I24" s="138"/>
      <c r="J24" s="138"/>
      <c r="K24" s="138"/>
      <c r="L24" s="720" t="s">
        <v>61</v>
      </c>
      <c r="M24" s="720" t="s">
        <v>58</v>
      </c>
      <c r="N24" s="721">
        <v>19.1995</v>
      </c>
      <c r="O24" s="722">
        <v>2.9062781099999997</v>
      </c>
      <c r="P24" s="722">
        <v>0.20345778703914499</v>
      </c>
      <c r="Q24" s="722"/>
      <c r="T24" s="754" t="s">
        <v>61</v>
      </c>
      <c r="U24" s="755">
        <v>0.81841904570483703</v>
      </c>
      <c r="V24" s="756">
        <v>0.83286616076414288</v>
      </c>
      <c r="W24" s="734"/>
      <c r="X24" s="754"/>
      <c r="Y24" s="755"/>
    </row>
    <row r="25" spans="1:25">
      <c r="A25" s="136"/>
      <c r="B25" s="138"/>
      <c r="C25" s="138"/>
      <c r="D25" s="138"/>
      <c r="E25" s="138"/>
      <c r="F25" s="138"/>
      <c r="G25" s="138"/>
      <c r="H25" s="138"/>
      <c r="I25" s="138"/>
      <c r="J25" s="138"/>
      <c r="K25" s="138"/>
      <c r="L25" s="720" t="s">
        <v>74</v>
      </c>
      <c r="M25" s="720" t="s">
        <v>58</v>
      </c>
      <c r="N25" s="721">
        <v>3.964</v>
      </c>
      <c r="O25" s="722">
        <v>2.4344000000000001</v>
      </c>
      <c r="P25" s="722">
        <v>0.82543971007888206</v>
      </c>
      <c r="Q25" s="722"/>
      <c r="T25" s="754" t="s">
        <v>420</v>
      </c>
      <c r="U25" s="755">
        <v>0.7932040850979053</v>
      </c>
      <c r="V25" s="756">
        <v>0.67445903522099415</v>
      </c>
      <c r="W25" s="734"/>
      <c r="X25" s="754"/>
      <c r="Y25" s="755"/>
    </row>
    <row r="26" spans="1:25">
      <c r="A26" s="136"/>
      <c r="B26" s="138"/>
      <c r="C26" s="138"/>
      <c r="D26" s="138"/>
      <c r="E26" s="138"/>
      <c r="F26" s="138"/>
      <c r="G26" s="138"/>
      <c r="H26" s="138"/>
      <c r="I26" s="138"/>
      <c r="J26" s="138"/>
      <c r="K26" s="138"/>
      <c r="L26" s="720" t="s">
        <v>64</v>
      </c>
      <c r="M26" s="720" t="s">
        <v>58</v>
      </c>
      <c r="N26" s="721">
        <v>10.222</v>
      </c>
      <c r="O26" s="722">
        <v>2.0842034100000002</v>
      </c>
      <c r="P26" s="722">
        <v>0.27405093615288972</v>
      </c>
      <c r="Q26" s="722"/>
      <c r="T26" s="754" t="s">
        <v>63</v>
      </c>
      <c r="U26" s="755">
        <v>0.79110463110749563</v>
      </c>
      <c r="V26" s="756">
        <v>0.83884575160563435</v>
      </c>
      <c r="W26" s="734"/>
      <c r="X26" s="754"/>
      <c r="Y26" s="755"/>
    </row>
    <row r="27" spans="1:25">
      <c r="A27" s="136"/>
      <c r="B27" s="138"/>
      <c r="C27" s="138"/>
      <c r="D27" s="138"/>
      <c r="E27" s="138"/>
      <c r="F27" s="138"/>
      <c r="G27" s="138"/>
      <c r="H27" s="138"/>
      <c r="I27" s="138"/>
      <c r="J27" s="138"/>
      <c r="K27" s="138"/>
      <c r="L27" s="720" t="s">
        <v>73</v>
      </c>
      <c r="M27" s="720" t="s">
        <v>58</v>
      </c>
      <c r="N27" s="721">
        <v>3.91621</v>
      </c>
      <c r="O27" s="722">
        <v>1.9741901425000001</v>
      </c>
      <c r="P27" s="722">
        <v>0.67756360724474862</v>
      </c>
      <c r="Q27" s="722"/>
      <c r="T27" s="754" t="s">
        <v>414</v>
      </c>
      <c r="U27" s="755">
        <v>0.77885978903742736</v>
      </c>
      <c r="V27" s="756">
        <v>0.50178003632656076</v>
      </c>
      <c r="W27" s="734"/>
      <c r="X27" s="754"/>
      <c r="Y27" s="755"/>
    </row>
    <row r="28" spans="1:25">
      <c r="A28" s="136"/>
      <c r="B28" s="138"/>
      <c r="C28" s="138"/>
      <c r="D28" s="138"/>
      <c r="E28" s="138"/>
      <c r="F28" s="138"/>
      <c r="G28" s="138"/>
      <c r="H28" s="138"/>
      <c r="I28" s="138"/>
      <c r="J28" s="138"/>
      <c r="K28" s="138"/>
      <c r="L28" s="720" t="s">
        <v>65</v>
      </c>
      <c r="M28" s="720" t="s">
        <v>58</v>
      </c>
      <c r="N28" s="721">
        <v>9.85</v>
      </c>
      <c r="O28" s="722">
        <v>1.8710944700000001</v>
      </c>
      <c r="P28" s="722">
        <v>0.25532100731401125</v>
      </c>
      <c r="Q28" s="722"/>
      <c r="T28" s="754" t="s">
        <v>463</v>
      </c>
      <c r="U28" s="755">
        <v>0.72877127025213306</v>
      </c>
      <c r="V28" s="756"/>
      <c r="W28" s="734"/>
      <c r="X28" s="754"/>
      <c r="Y28" s="755"/>
    </row>
    <row r="29" spans="1:25">
      <c r="A29" s="136"/>
      <c r="B29" s="138"/>
      <c r="C29" s="138"/>
      <c r="D29" s="138"/>
      <c r="E29" s="138"/>
      <c r="F29" s="138"/>
      <c r="G29" s="138"/>
      <c r="H29" s="138"/>
      <c r="I29" s="138"/>
      <c r="J29" s="138"/>
      <c r="K29" s="138"/>
      <c r="L29" s="720" t="s">
        <v>63</v>
      </c>
      <c r="M29" s="720" t="s">
        <v>58</v>
      </c>
      <c r="N29" s="721">
        <v>19.899999999999999</v>
      </c>
      <c r="O29" s="722">
        <v>1.4728728600000001</v>
      </c>
      <c r="P29" s="722">
        <v>9.9480795104555056E-2</v>
      </c>
      <c r="Q29" s="722"/>
      <c r="T29" s="754" t="s">
        <v>72</v>
      </c>
      <c r="U29" s="755">
        <v>0.72842793634062986</v>
      </c>
      <c r="V29" s="756">
        <v>0.5722691557651195</v>
      </c>
      <c r="W29" s="734"/>
      <c r="X29" s="754"/>
      <c r="Y29" s="755"/>
    </row>
    <row r="30" spans="1:25">
      <c r="A30" s="136"/>
      <c r="B30" s="138"/>
      <c r="C30" s="138"/>
      <c r="D30" s="138"/>
      <c r="E30" s="138"/>
      <c r="F30" s="138"/>
      <c r="G30" s="138"/>
      <c r="H30" s="138"/>
      <c r="I30" s="138"/>
      <c r="J30" s="138"/>
      <c r="K30" s="138"/>
      <c r="L30" s="715" t="s">
        <v>71</v>
      </c>
      <c r="M30" s="720" t="s">
        <v>58</v>
      </c>
      <c r="N30" s="721">
        <v>5.67</v>
      </c>
      <c r="O30" s="722">
        <v>1.3774029625000002</v>
      </c>
      <c r="P30" s="722">
        <v>0.32651641408753868</v>
      </c>
      <c r="Q30" s="722"/>
      <c r="T30" s="754" t="s">
        <v>60</v>
      </c>
      <c r="U30" s="755">
        <v>0.72474639342300951</v>
      </c>
      <c r="V30" s="756">
        <v>0.69757106577948491</v>
      </c>
      <c r="W30" s="734"/>
      <c r="X30" s="754"/>
      <c r="Y30" s="755"/>
    </row>
    <row r="31" spans="1:25">
      <c r="A31" s="136"/>
      <c r="B31" s="138"/>
      <c r="C31" s="138"/>
      <c r="D31" s="138"/>
      <c r="E31" s="138"/>
      <c r="F31" s="138"/>
      <c r="G31" s="138"/>
      <c r="H31" s="138"/>
      <c r="I31" s="138"/>
      <c r="J31" s="138"/>
      <c r="K31" s="138"/>
      <c r="L31" s="720" t="s">
        <v>67</v>
      </c>
      <c r="M31" s="720" t="s">
        <v>58</v>
      </c>
      <c r="N31" s="721">
        <v>7.4240000000000004</v>
      </c>
      <c r="O31" s="722">
        <v>1.2064332449999999</v>
      </c>
      <c r="P31" s="722">
        <v>0.21841999737121104</v>
      </c>
      <c r="Q31" s="722"/>
      <c r="T31" s="754" t="s">
        <v>67</v>
      </c>
      <c r="U31" s="755">
        <v>0.68195964645750884</v>
      </c>
      <c r="V31" s="756">
        <v>0.70686604352589955</v>
      </c>
      <c r="W31" s="734"/>
      <c r="X31" s="754"/>
      <c r="Y31" s="755"/>
    </row>
    <row r="32" spans="1:25">
      <c r="A32" s="136"/>
      <c r="B32" s="138"/>
      <c r="C32" s="138"/>
      <c r="D32" s="138"/>
      <c r="E32" s="138"/>
      <c r="F32" s="138"/>
      <c r="G32" s="138"/>
      <c r="H32" s="138"/>
      <c r="I32" s="138"/>
      <c r="J32" s="138"/>
      <c r="K32" s="138"/>
      <c r="L32" s="720" t="s">
        <v>68</v>
      </c>
      <c r="M32" s="720" t="s">
        <v>58</v>
      </c>
      <c r="N32" s="721">
        <v>6.9580000000000002</v>
      </c>
      <c r="O32" s="722">
        <v>0.9788913025</v>
      </c>
      <c r="P32" s="722">
        <v>0.18909372179698775</v>
      </c>
      <c r="Q32" s="722"/>
      <c r="T32" s="754" t="s">
        <v>68</v>
      </c>
      <c r="U32" s="755">
        <v>0.64893595071273324</v>
      </c>
      <c r="V32" s="756">
        <v>0.70253064881991201</v>
      </c>
      <c r="W32" s="734"/>
      <c r="X32" s="754"/>
      <c r="Y32" s="755"/>
    </row>
    <row r="33" spans="1:25">
      <c r="A33" s="136"/>
      <c r="B33" s="138"/>
      <c r="C33" s="138"/>
      <c r="D33" s="138"/>
      <c r="E33" s="138"/>
      <c r="F33" s="138"/>
      <c r="G33" s="138"/>
      <c r="H33" s="138"/>
      <c r="I33" s="138"/>
      <c r="J33" s="138"/>
      <c r="K33" s="138"/>
      <c r="L33" s="720" t="s">
        <v>72</v>
      </c>
      <c r="M33" s="720" t="s">
        <v>58</v>
      </c>
      <c r="N33" s="721">
        <v>3.48</v>
      </c>
      <c r="O33" s="722">
        <v>0.88774774249999999</v>
      </c>
      <c r="P33" s="722">
        <v>0.34287624463138056</v>
      </c>
      <c r="Q33" s="722"/>
      <c r="T33" s="754" t="s">
        <v>578</v>
      </c>
      <c r="U33" s="755">
        <v>0.22601705729166699</v>
      </c>
      <c r="W33" s="734"/>
      <c r="X33" s="754"/>
      <c r="Y33" s="755"/>
    </row>
    <row r="34" spans="1:25">
      <c r="B34" s="138"/>
      <c r="C34" s="138"/>
      <c r="D34" s="138"/>
      <c r="E34" s="138"/>
      <c r="F34" s="138"/>
      <c r="G34" s="138"/>
      <c r="H34" s="138"/>
      <c r="I34" s="138"/>
      <c r="J34" s="138"/>
      <c r="K34" s="138"/>
      <c r="L34" s="720" t="s">
        <v>416</v>
      </c>
      <c r="M34" s="720" t="s">
        <v>58</v>
      </c>
      <c r="N34" s="721">
        <v>0.7</v>
      </c>
      <c r="O34" s="722">
        <v>0.43333938750000001</v>
      </c>
      <c r="P34" s="722">
        <v>0.83206487615207381</v>
      </c>
      <c r="Q34" s="722"/>
      <c r="T34" s="754" t="s">
        <v>75</v>
      </c>
      <c r="U34" s="755">
        <v>0.40013041539672217</v>
      </c>
      <c r="V34" s="756">
        <v>0.10902908671357751</v>
      </c>
      <c r="W34" s="734"/>
      <c r="X34" s="754"/>
      <c r="Y34" s="755"/>
    </row>
    <row r="35" spans="1:25">
      <c r="A35" s="136"/>
      <c r="B35" s="138"/>
      <c r="C35" s="138"/>
      <c r="D35" s="138"/>
      <c r="E35" s="138"/>
      <c r="F35" s="138"/>
      <c r="G35" s="138"/>
      <c r="H35" s="138"/>
      <c r="I35" s="138"/>
      <c r="J35" s="138"/>
      <c r="K35" s="138"/>
      <c r="L35" s="720" t="s">
        <v>75</v>
      </c>
      <c r="M35" s="720" t="s">
        <v>58</v>
      </c>
      <c r="N35" s="721">
        <v>1.714</v>
      </c>
      <c r="O35" s="722">
        <v>0.32842944749999997</v>
      </c>
      <c r="P35" s="722">
        <v>0.25754809185267435</v>
      </c>
      <c r="Q35" s="722"/>
      <c r="T35" s="754" t="s">
        <v>459</v>
      </c>
      <c r="U35" s="755">
        <v>0.25381798874035039</v>
      </c>
      <c r="V35" s="756"/>
      <c r="W35" s="734"/>
      <c r="X35" s="754"/>
      <c r="Y35" s="755"/>
    </row>
    <row r="36" spans="1:25">
      <c r="A36" s="136"/>
      <c r="B36" s="138"/>
      <c r="C36" s="138"/>
      <c r="D36" s="138"/>
      <c r="E36" s="138"/>
      <c r="F36" s="138"/>
      <c r="G36" s="138"/>
      <c r="H36" s="138"/>
      <c r="I36" s="138"/>
      <c r="J36" s="138"/>
      <c r="K36" s="138"/>
      <c r="L36" s="720" t="s">
        <v>426</v>
      </c>
      <c r="M36" s="720" t="s">
        <v>217</v>
      </c>
      <c r="N36" s="721">
        <v>132.30000000000001</v>
      </c>
      <c r="O36" s="722">
        <v>60.965152247500001</v>
      </c>
      <c r="P36" s="722">
        <v>0.6193681703311551</v>
      </c>
      <c r="Q36" s="722"/>
      <c r="S36" s="754" t="s">
        <v>445</v>
      </c>
      <c r="T36" s="754" t="s">
        <v>78</v>
      </c>
      <c r="U36" s="755">
        <v>0.66262056886099718</v>
      </c>
      <c r="V36" s="756">
        <v>0.55914264202420005</v>
      </c>
      <c r="W36" s="734"/>
      <c r="X36" s="754"/>
      <c r="Y36" s="755"/>
    </row>
    <row r="37" spans="1:25">
      <c r="A37" s="136"/>
      <c r="B37" s="138"/>
      <c r="C37" s="138"/>
      <c r="D37" s="138"/>
      <c r="E37" s="138"/>
      <c r="F37" s="138"/>
      <c r="G37" s="138"/>
      <c r="H37" s="138"/>
      <c r="I37" s="138"/>
      <c r="J37" s="138"/>
      <c r="K37" s="138"/>
      <c r="L37" s="720" t="s">
        <v>76</v>
      </c>
      <c r="M37" s="720" t="s">
        <v>217</v>
      </c>
      <c r="N37" s="721">
        <v>97.15</v>
      </c>
      <c r="O37" s="722">
        <v>51.6015576275</v>
      </c>
      <c r="P37" s="722">
        <v>0.71391592686594829</v>
      </c>
      <c r="Q37" s="722"/>
      <c r="T37" s="754" t="s">
        <v>76</v>
      </c>
      <c r="U37" s="755">
        <v>0.64139962993000887</v>
      </c>
      <c r="V37" s="756">
        <v>0.54720170909716037</v>
      </c>
      <c r="W37" s="734"/>
      <c r="X37" s="754"/>
      <c r="Y37" s="755"/>
    </row>
    <row r="38" spans="1:25" ht="11.25" customHeight="1">
      <c r="A38" s="136"/>
      <c r="B38" s="138"/>
      <c r="C38" s="138"/>
      <c r="D38" s="138"/>
      <c r="E38" s="138"/>
      <c r="F38" s="138"/>
      <c r="G38" s="138"/>
      <c r="H38" s="138"/>
      <c r="I38" s="138"/>
      <c r="J38" s="138"/>
      <c r="K38" s="138"/>
      <c r="L38" s="720" t="s">
        <v>77</v>
      </c>
      <c r="M38" s="720" t="s">
        <v>217</v>
      </c>
      <c r="N38" s="721">
        <v>83.15</v>
      </c>
      <c r="O38" s="722">
        <v>31.141574832499998</v>
      </c>
      <c r="P38" s="722">
        <v>0.50339092507548855</v>
      </c>
      <c r="Q38" s="724"/>
      <c r="T38" s="754" t="s">
        <v>426</v>
      </c>
      <c r="U38" s="755">
        <v>0.56362249615617344</v>
      </c>
      <c r="V38" s="756">
        <v>0.47574337307155307</v>
      </c>
      <c r="W38" s="734"/>
      <c r="X38" s="754"/>
      <c r="Y38" s="755"/>
    </row>
    <row r="39" spans="1:25">
      <c r="A39" s="136"/>
      <c r="B39" s="138"/>
      <c r="C39" s="138"/>
      <c r="D39" s="138"/>
      <c r="E39" s="138"/>
      <c r="F39" s="138"/>
      <c r="G39" s="138"/>
      <c r="H39" s="138"/>
      <c r="I39" s="138"/>
      <c r="J39" s="138"/>
      <c r="K39" s="138"/>
      <c r="L39" s="720" t="s">
        <v>78</v>
      </c>
      <c r="M39" s="720" t="s">
        <v>217</v>
      </c>
      <c r="N39" s="721">
        <v>32</v>
      </c>
      <c r="O39" s="722">
        <v>16.1636633</v>
      </c>
      <c r="P39" s="722">
        <v>0.6789173093077957</v>
      </c>
      <c r="T39" s="754" t="s">
        <v>77</v>
      </c>
      <c r="U39" s="755">
        <v>0.55948622097028766</v>
      </c>
      <c r="V39" s="756">
        <v>0.44701753976150832</v>
      </c>
      <c r="W39" s="734"/>
      <c r="X39" s="754"/>
      <c r="Y39" s="755"/>
    </row>
    <row r="40" spans="1:25">
      <c r="A40" s="136"/>
      <c r="B40" s="138"/>
      <c r="C40" s="138"/>
      <c r="D40" s="138"/>
      <c r="E40" s="138"/>
      <c r="F40" s="138"/>
      <c r="G40" s="138"/>
      <c r="H40" s="138"/>
      <c r="I40" s="138"/>
      <c r="J40" s="138"/>
      <c r="K40" s="138"/>
      <c r="L40" s="720" t="s">
        <v>79</v>
      </c>
      <c r="M40" s="720" t="s">
        <v>217</v>
      </c>
      <c r="N40" s="721">
        <v>30.86</v>
      </c>
      <c r="O40" s="722">
        <v>12.198496222499999</v>
      </c>
      <c r="P40" s="722">
        <v>0.53129709190046615</v>
      </c>
      <c r="T40" s="754" t="s">
        <v>79</v>
      </c>
      <c r="U40" s="755">
        <v>0.53002578992751215</v>
      </c>
      <c r="V40" s="756">
        <v>0.38480913039670622</v>
      </c>
      <c r="W40" s="734"/>
      <c r="X40" s="754"/>
      <c r="Y40" s="755"/>
    </row>
    <row r="41" spans="1:25">
      <c r="A41" s="136"/>
      <c r="B41" s="138"/>
      <c r="C41" s="138"/>
      <c r="D41" s="138"/>
      <c r="E41" s="138"/>
      <c r="F41" s="138"/>
      <c r="G41" s="138"/>
      <c r="H41" s="138"/>
      <c r="I41" s="138"/>
      <c r="J41" s="138"/>
      <c r="K41" s="138"/>
      <c r="L41" s="720" t="s">
        <v>427</v>
      </c>
      <c r="M41" s="720" t="s">
        <v>80</v>
      </c>
      <c r="N41" s="721">
        <v>144.47999999999999</v>
      </c>
      <c r="O41" s="722">
        <v>43.315152380000001</v>
      </c>
      <c r="P41" s="722">
        <v>0.40295743932262834</v>
      </c>
      <c r="S41" s="754" t="s">
        <v>437</v>
      </c>
      <c r="T41" s="754" t="s">
        <v>427</v>
      </c>
      <c r="U41" s="755">
        <v>0.36134814916539459</v>
      </c>
      <c r="V41" s="756">
        <v>0.29603227328455739</v>
      </c>
      <c r="W41" s="734"/>
      <c r="X41" s="754"/>
      <c r="Y41" s="755"/>
    </row>
    <row r="42" spans="1:25">
      <c r="A42" s="136"/>
      <c r="B42" s="138"/>
      <c r="C42" s="138"/>
      <c r="D42" s="138"/>
      <c r="E42" s="138"/>
      <c r="F42" s="138"/>
      <c r="G42" s="138"/>
      <c r="H42" s="138"/>
      <c r="I42" s="138"/>
      <c r="J42" s="138"/>
      <c r="K42" s="138"/>
      <c r="L42" s="720" t="s">
        <v>428</v>
      </c>
      <c r="M42" s="720" t="s">
        <v>80</v>
      </c>
      <c r="N42" s="721">
        <v>44.54</v>
      </c>
      <c r="O42" s="722">
        <v>10.5995061975</v>
      </c>
      <c r="P42" s="722">
        <v>0.31986187954466444</v>
      </c>
      <c r="T42" s="754" t="s">
        <v>81</v>
      </c>
      <c r="U42" s="755">
        <v>0.35790791036970626</v>
      </c>
      <c r="V42" s="756">
        <v>0.30867903688996307</v>
      </c>
      <c r="W42" s="734"/>
      <c r="X42" s="754"/>
      <c r="Y42" s="755"/>
    </row>
    <row r="43" spans="1:25" ht="36" customHeight="1">
      <c r="A43" s="922" t="str">
        <f>"Gráfico N° 8: Producción de energía eléctrica (GWh) y factor de planta de las centrales con recursos energético renovables por tipo de generación en "&amp;'1. Resumen'!Q4&amp;" "&amp;'1. Resumen'!Q5&amp;".
Nota: Son consideradas las centrales con operación comercial"</f>
        <v>Gráfico N° 8: Producción de energía eléctrica (GWh) y factor de planta de las centrales con recursos energético renovables por tipo de generación en octubre 2020.
Nota: Son consideradas las centrales con operación comercial</v>
      </c>
      <c r="B43" s="922"/>
      <c r="C43" s="922"/>
      <c r="D43" s="922"/>
      <c r="E43" s="922"/>
      <c r="F43" s="922"/>
      <c r="G43" s="922"/>
      <c r="H43" s="922"/>
      <c r="I43" s="922"/>
      <c r="J43" s="922"/>
      <c r="K43" s="922"/>
      <c r="L43" s="720" t="s">
        <v>232</v>
      </c>
      <c r="M43" s="720" t="s">
        <v>80</v>
      </c>
      <c r="N43" s="721">
        <v>20</v>
      </c>
      <c r="O43" s="722">
        <v>5.6694066100000002</v>
      </c>
      <c r="P43" s="722">
        <v>0.38100850873655911</v>
      </c>
      <c r="T43" s="754" t="s">
        <v>232</v>
      </c>
      <c r="U43" s="755">
        <v>0.32752805407559199</v>
      </c>
      <c r="V43" s="756">
        <v>0.26827097269221922</v>
      </c>
      <c r="W43" s="734"/>
      <c r="X43" s="754"/>
      <c r="Y43" s="755"/>
    </row>
    <row r="44" spans="1:25" ht="18" customHeight="1">
      <c r="A44" s="136"/>
      <c r="B44" s="138"/>
      <c r="C44" s="138"/>
      <c r="D44" s="138"/>
      <c r="E44" s="138"/>
      <c r="F44" s="138"/>
      <c r="G44" s="138"/>
      <c r="H44" s="138"/>
      <c r="I44" s="138"/>
      <c r="J44" s="138"/>
      <c r="K44" s="138"/>
      <c r="L44" s="720" t="s">
        <v>81</v>
      </c>
      <c r="M44" s="720" t="s">
        <v>80</v>
      </c>
      <c r="N44" s="721">
        <v>16</v>
      </c>
      <c r="O44" s="722">
        <v>4.7877358624999999</v>
      </c>
      <c r="P44" s="722">
        <v>0.40219555296538978</v>
      </c>
      <c r="T44" s="754" t="s">
        <v>231</v>
      </c>
      <c r="U44" s="755">
        <v>0.30024319783128417</v>
      </c>
      <c r="V44" s="756">
        <v>0.26276105884553408</v>
      </c>
      <c r="W44" s="734"/>
      <c r="X44" s="754"/>
      <c r="Y44" s="755"/>
    </row>
    <row r="45" spans="1:25" ht="12">
      <c r="A45" s="136"/>
      <c r="B45" s="138"/>
      <c r="C45" s="926" t="str">
        <f>"Factor de planta de las centrales RER  Acumulado al "&amp;'1. Resumen'!Q7&amp;" de "&amp;'1. Resumen'!Q4</f>
        <v>Factor de planta de las centrales RER  Acumulado al 31 de octubre</v>
      </c>
      <c r="D45" s="926"/>
      <c r="E45" s="926"/>
      <c r="F45" s="926"/>
      <c r="G45" s="926"/>
      <c r="H45" s="926"/>
      <c r="I45" s="926"/>
      <c r="J45" s="138"/>
      <c r="K45" s="138"/>
      <c r="L45" s="720" t="s">
        <v>231</v>
      </c>
      <c r="M45" s="720" t="s">
        <v>80</v>
      </c>
      <c r="N45" s="721">
        <v>20</v>
      </c>
      <c r="O45" s="722">
        <v>4.5691968475000007</v>
      </c>
      <c r="P45" s="722">
        <v>0.30706968061155915</v>
      </c>
      <c r="T45" s="754" t="s">
        <v>428</v>
      </c>
      <c r="U45" s="755">
        <v>0.27797867421876982</v>
      </c>
      <c r="V45" s="756">
        <v>0.30867903688996307</v>
      </c>
      <c r="W45" s="734"/>
      <c r="X45" s="754"/>
      <c r="Y45" s="755"/>
    </row>
    <row r="46" spans="1:25" ht="9.75" customHeight="1">
      <c r="A46" s="136"/>
      <c r="B46" s="138"/>
      <c r="C46" s="138"/>
      <c r="D46" s="138"/>
      <c r="E46" s="138"/>
      <c r="F46" s="138"/>
      <c r="G46" s="138"/>
      <c r="H46" s="138"/>
      <c r="I46" s="138"/>
      <c r="J46" s="138"/>
      <c r="K46" s="138"/>
      <c r="L46" s="720" t="s">
        <v>233</v>
      </c>
      <c r="M46" s="720" t="s">
        <v>80</v>
      </c>
      <c r="N46" s="721">
        <v>20</v>
      </c>
      <c r="O46" s="722">
        <v>3.7930264</v>
      </c>
      <c r="P46" s="722">
        <v>0.25490768817204301</v>
      </c>
      <c r="T46" s="754" t="s">
        <v>233</v>
      </c>
      <c r="U46" s="755">
        <v>0.27488089480874317</v>
      </c>
      <c r="V46" s="756">
        <v>0.24399783684392268</v>
      </c>
      <c r="W46" s="734"/>
      <c r="X46" s="754"/>
      <c r="Y46" s="755"/>
    </row>
    <row r="47" spans="1:25" ht="9.75" customHeight="1">
      <c r="A47" s="136"/>
      <c r="B47" s="138"/>
      <c r="C47" s="138"/>
      <c r="D47" s="138"/>
      <c r="E47" s="138"/>
      <c r="F47" s="138"/>
      <c r="G47" s="138"/>
      <c r="H47" s="138"/>
      <c r="I47" s="138"/>
      <c r="J47" s="138"/>
      <c r="K47" s="138"/>
      <c r="L47" s="720" t="s">
        <v>82</v>
      </c>
      <c r="M47" s="720" t="s">
        <v>80</v>
      </c>
      <c r="N47" s="721">
        <v>20</v>
      </c>
      <c r="O47" s="722">
        <v>3.5980077925000002</v>
      </c>
      <c r="P47" s="722">
        <v>0.24180159895833334</v>
      </c>
      <c r="T47" s="754" t="s">
        <v>82</v>
      </c>
      <c r="U47" s="755">
        <v>0.26816351326275045</v>
      </c>
      <c r="V47" s="756">
        <v>0.23503944406077346</v>
      </c>
      <c r="X47" s="754"/>
      <c r="Y47" s="755"/>
    </row>
    <row r="48" spans="1:25" ht="9.75" customHeight="1">
      <c r="A48" s="136"/>
      <c r="B48" s="138"/>
      <c r="C48" s="138"/>
      <c r="D48" s="138"/>
      <c r="E48" s="138"/>
      <c r="F48" s="138"/>
      <c r="G48" s="138"/>
      <c r="H48" s="138"/>
      <c r="I48" s="138"/>
      <c r="J48" s="138"/>
      <c r="K48" s="138"/>
      <c r="L48" s="720" t="s">
        <v>83</v>
      </c>
      <c r="M48" s="720" t="s">
        <v>403</v>
      </c>
      <c r="N48" s="721">
        <v>12.74105</v>
      </c>
      <c r="O48" s="722">
        <v>10.799415547500001</v>
      </c>
      <c r="P48" s="722">
        <v>1</v>
      </c>
      <c r="S48" s="754" t="s">
        <v>438</v>
      </c>
      <c r="T48" s="754" t="s">
        <v>83</v>
      </c>
      <c r="U48" s="755">
        <v>0.82154580656778597</v>
      </c>
      <c r="V48" s="756">
        <v>0.80351072979564497</v>
      </c>
      <c r="X48" s="754"/>
      <c r="Y48" s="755"/>
    </row>
    <row r="49" spans="1:25" ht="9.75" customHeight="1">
      <c r="A49" s="136"/>
      <c r="B49" s="138"/>
      <c r="C49" s="138"/>
      <c r="D49" s="138"/>
      <c r="E49" s="138"/>
      <c r="F49" s="138"/>
      <c r="G49" s="138"/>
      <c r="H49" s="138"/>
      <c r="I49" s="138"/>
      <c r="J49" s="138"/>
      <c r="K49" s="138"/>
      <c r="L49" s="720" t="s">
        <v>84</v>
      </c>
      <c r="M49" s="720" t="s">
        <v>403</v>
      </c>
      <c r="N49" s="721">
        <v>4.2625000000000002</v>
      </c>
      <c r="O49" s="722">
        <v>3.0109298474999999</v>
      </c>
      <c r="P49" s="722">
        <v>0.94943078469397402</v>
      </c>
      <c r="T49" s="754" t="s">
        <v>577</v>
      </c>
      <c r="U49" s="755">
        <v>0.96787145696271926</v>
      </c>
      <c r="X49" s="754"/>
      <c r="Y49" s="755"/>
    </row>
    <row r="50" spans="1:25" ht="9.75" customHeight="1">
      <c r="A50" s="136"/>
      <c r="B50" s="138"/>
      <c r="C50" s="138"/>
      <c r="D50" s="138"/>
      <c r="E50" s="138"/>
      <c r="F50" s="138"/>
      <c r="G50" s="138"/>
      <c r="H50" s="138"/>
      <c r="I50" s="138"/>
      <c r="J50" s="138"/>
      <c r="K50" s="138"/>
      <c r="L50" s="720" t="s">
        <v>429</v>
      </c>
      <c r="M50" s="720" t="s">
        <v>403</v>
      </c>
      <c r="N50" s="721">
        <v>2.4</v>
      </c>
      <c r="O50" s="722">
        <v>1.5241010225</v>
      </c>
      <c r="P50" s="722">
        <v>0.85355119987679218</v>
      </c>
      <c r="T50" s="754" t="s">
        <v>85</v>
      </c>
      <c r="U50" s="755">
        <v>0.61187903976815716</v>
      </c>
      <c r="V50" s="756">
        <v>0.9016831376948955</v>
      </c>
    </row>
    <row r="51" spans="1:25" ht="20.25" customHeight="1">
      <c r="A51" s="136"/>
      <c r="B51" s="138"/>
      <c r="C51" s="138"/>
      <c r="D51" s="138"/>
      <c r="E51" s="138"/>
      <c r="F51" s="138"/>
      <c r="G51" s="138"/>
      <c r="H51" s="138"/>
      <c r="I51" s="138"/>
      <c r="J51" s="138"/>
      <c r="K51" s="138"/>
      <c r="L51" s="720" t="s">
        <v>577</v>
      </c>
      <c r="M51" s="720" t="s">
        <v>403</v>
      </c>
      <c r="N51" s="721">
        <v>2.4</v>
      </c>
      <c r="O51" s="722">
        <v>1.1631644225</v>
      </c>
      <c r="P51" s="722">
        <v>0.65141376708109322</v>
      </c>
      <c r="T51" s="874" t="s">
        <v>84</v>
      </c>
      <c r="U51" s="755">
        <v>0.60276067750482076</v>
      </c>
      <c r="V51" s="756">
        <v>0.56804366652282579</v>
      </c>
    </row>
    <row r="52" spans="1:25" ht="9.75" customHeight="1">
      <c r="A52" s="136"/>
      <c r="B52" s="138"/>
      <c r="C52" s="138"/>
      <c r="D52" s="138"/>
      <c r="E52" s="138"/>
      <c r="F52" s="138"/>
      <c r="G52" s="138"/>
      <c r="H52" s="138"/>
      <c r="I52" s="138"/>
      <c r="J52" s="138"/>
      <c r="K52" s="138"/>
      <c r="L52" s="715" t="s">
        <v>85</v>
      </c>
      <c r="M52" s="720" t="s">
        <v>403</v>
      </c>
      <c r="N52" s="721">
        <v>2.9537</v>
      </c>
      <c r="O52" s="722">
        <v>0.89026911750000004</v>
      </c>
      <c r="P52" s="722">
        <v>0.40511841968029166</v>
      </c>
      <c r="T52" s="754" t="s">
        <v>429</v>
      </c>
      <c r="U52" s="755">
        <v>0.50426950041742569</v>
      </c>
      <c r="V52" s="756">
        <v>0.73220944645871766</v>
      </c>
    </row>
    <row r="53" spans="1:25" ht="9.75" customHeight="1">
      <c r="B53" s="138"/>
      <c r="C53" s="138"/>
      <c r="D53" s="138"/>
      <c r="E53" s="138"/>
      <c r="F53" s="138"/>
      <c r="G53" s="138"/>
      <c r="H53" s="138"/>
      <c r="I53" s="138"/>
      <c r="J53" s="138"/>
      <c r="K53" s="138"/>
    </row>
    <row r="54" spans="1:25" ht="30.75" customHeight="1"/>
    <row r="55" spans="1:25" ht="9.75" customHeight="1"/>
    <row r="56" spans="1:25" ht="9.75" customHeight="1"/>
    <row r="57" spans="1:25" ht="9.75" customHeight="1"/>
    <row r="58" spans="1:25" ht="9.75" customHeight="1"/>
    <row r="59" spans="1:25" ht="9.75" customHeight="1"/>
    <row r="60" spans="1:25" ht="9.75" customHeight="1"/>
    <row r="61" spans="1:25" ht="9.75" customHeight="1"/>
    <row r="62" spans="1:25" ht="9.75" customHeight="1"/>
    <row r="64" spans="1:25" ht="26.25" customHeight="1">
      <c r="A64" s="922" t="str">
        <f>"Gráfico N° 9: factor de planta de las centrales con recursos energético renovables en el SEIN en "&amp;'1. Resumen'!Q4&amp;".
Nota: Son consideradas las centrales con operación comercial"</f>
        <v>Gráfico N° 9: factor de planta de las centrales con recursos energético renovables en el SEIN en octubre.
Nota: Son consideradas las centrales con operación comercial</v>
      </c>
      <c r="B64" s="922"/>
      <c r="C64" s="922"/>
      <c r="D64" s="922"/>
      <c r="E64" s="922"/>
      <c r="F64" s="922"/>
      <c r="G64" s="922"/>
      <c r="H64" s="922"/>
      <c r="I64" s="922"/>
      <c r="J64" s="922"/>
      <c r="K64" s="922"/>
    </row>
  </sheetData>
  <mergeCells count="4">
    <mergeCell ref="A43:K43"/>
    <mergeCell ref="A2:K2"/>
    <mergeCell ref="C45:I45"/>
    <mergeCell ref="A64:K64"/>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Mensual-Octubre 2020
INFSGI-MES-10-2020
12/11/2020
Versión: 01</oddHeader>
    <oddFooter>&amp;L&amp;7COES, 2020&amp;C6&amp;R&amp;7Dirección Ejecutiva
Sub Dirección de Gestión de Información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theme="4"/>
  </sheetPr>
  <dimension ref="A1:N74"/>
  <sheetViews>
    <sheetView showGridLines="0" view="pageBreakPreview" zoomScaleNormal="100" zoomScaleSheetLayoutView="100" zoomScalePageLayoutView="115" workbookViewId="0">
      <selection activeCell="O14" sqref="O14"/>
    </sheetView>
  </sheetViews>
  <sheetFormatPr defaultColWidth="9.33203125" defaultRowHeight="11.25"/>
  <cols>
    <col min="1" max="1" width="30.1640625" customWidth="1"/>
    <col min="2" max="2" width="11.1640625" bestFit="1" customWidth="1"/>
    <col min="3" max="3" width="9.5" bestFit="1" customWidth="1"/>
    <col min="4" max="4" width="10.1640625" bestFit="1" customWidth="1"/>
    <col min="10" max="10" width="9.33203125" customWidth="1"/>
    <col min="11" max="11" width="22.83203125" customWidth="1"/>
    <col min="12" max="12" width="19.1640625" customWidth="1"/>
    <col min="13" max="14" width="9.5" bestFit="1" customWidth="1"/>
  </cols>
  <sheetData>
    <row r="1" spans="1:14" ht="11.25" customHeight="1"/>
    <row r="2" spans="1:14" ht="11.25" customHeight="1">
      <c r="A2" s="923" t="s">
        <v>235</v>
      </c>
      <c r="B2" s="923"/>
      <c r="C2" s="923"/>
      <c r="D2" s="923"/>
      <c r="E2" s="923"/>
      <c r="F2" s="923"/>
      <c r="G2" s="923"/>
      <c r="H2" s="923"/>
      <c r="I2" s="923"/>
      <c r="J2" s="17"/>
    </row>
    <row r="3" spans="1:14" ht="6" customHeight="1">
      <c r="A3" s="17"/>
      <c r="B3" s="17"/>
      <c r="C3" s="17"/>
      <c r="D3" s="17"/>
      <c r="E3" s="17"/>
      <c r="F3" s="17"/>
      <c r="G3" s="17"/>
      <c r="H3" s="17"/>
      <c r="I3" s="17"/>
      <c r="J3" s="17"/>
      <c r="K3" s="329"/>
      <c r="L3" s="329"/>
    </row>
    <row r="4" spans="1:14" ht="11.25" customHeight="1">
      <c r="A4" s="929" t="s">
        <v>245</v>
      </c>
      <c r="B4" s="930" t="str">
        <f>+'1. Resumen'!Q4</f>
        <v>octubre</v>
      </c>
      <c r="C4" s="931"/>
      <c r="D4" s="931"/>
      <c r="E4" s="138"/>
      <c r="F4" s="138"/>
      <c r="G4" s="932" t="s">
        <v>477</v>
      </c>
      <c r="H4" s="932"/>
      <c r="I4" s="932"/>
      <c r="J4" s="138"/>
      <c r="L4" s="330"/>
      <c r="M4" s="331">
        <v>2020</v>
      </c>
      <c r="N4" s="331">
        <v>2019</v>
      </c>
    </row>
    <row r="5" spans="1:14" ht="11.25" customHeight="1">
      <c r="A5" s="929"/>
      <c r="B5" s="478">
        <f>+'1. Resumen'!Q5</f>
        <v>2020</v>
      </c>
      <c r="C5" s="479">
        <f>+B5-1</f>
        <v>2019</v>
      </c>
      <c r="D5" s="479" t="s">
        <v>35</v>
      </c>
      <c r="E5" s="138"/>
      <c r="F5" s="138"/>
      <c r="G5" s="138"/>
      <c r="H5" s="138"/>
      <c r="I5" s="138"/>
      <c r="J5" s="138"/>
      <c r="K5" s="332"/>
      <c r="L5" s="336" t="s">
        <v>236</v>
      </c>
      <c r="M5" s="334">
        <v>0</v>
      </c>
      <c r="N5" s="334">
        <v>1.293120155</v>
      </c>
    </row>
    <row r="6" spans="1:14" ht="10.5" customHeight="1">
      <c r="A6" s="390" t="s">
        <v>410</v>
      </c>
      <c r="B6" s="407">
        <v>835.36959045500009</v>
      </c>
      <c r="C6" s="408">
        <v>778.58826709750008</v>
      </c>
      <c r="D6" s="391">
        <f>IF(C6=0,"",B6/C6-1)</f>
        <v>7.2928562832285104E-2</v>
      </c>
      <c r="E6" s="138"/>
      <c r="F6" s="138"/>
      <c r="G6" s="138"/>
      <c r="H6" s="138"/>
      <c r="I6" s="138"/>
      <c r="J6" s="138"/>
      <c r="K6" s="335"/>
      <c r="L6" s="336" t="s">
        <v>412</v>
      </c>
      <c r="M6" s="334">
        <v>0.12889900000000001</v>
      </c>
      <c r="N6" s="334">
        <v>0.410327</v>
      </c>
    </row>
    <row r="7" spans="1:14" ht="10.5" customHeight="1">
      <c r="A7" s="392" t="s">
        <v>87</v>
      </c>
      <c r="B7" s="409">
        <v>690.28812281750015</v>
      </c>
      <c r="C7" s="409">
        <v>669.62592800750008</v>
      </c>
      <c r="D7" s="393">
        <f t="shared" ref="D7:D64" si="0">IF(C7=0,"",B7/C7-1)</f>
        <v>3.0856324323464079E-2</v>
      </c>
      <c r="E7" s="403"/>
      <c r="F7" s="138"/>
      <c r="G7" s="138"/>
      <c r="H7" s="138"/>
      <c r="I7" s="138"/>
      <c r="J7" s="138"/>
      <c r="L7" s="334" t="s">
        <v>453</v>
      </c>
      <c r="M7" s="334">
        <v>0.32842944749999997</v>
      </c>
      <c r="N7" s="334">
        <v>0.2409587225</v>
      </c>
    </row>
    <row r="8" spans="1:14" ht="10.5" customHeight="1">
      <c r="A8" s="390" t="s">
        <v>89</v>
      </c>
      <c r="B8" s="408">
        <v>605.79122700000005</v>
      </c>
      <c r="C8" s="408">
        <v>572.44090935000008</v>
      </c>
      <c r="D8" s="391">
        <f t="shared" si="0"/>
        <v>5.825984325241329E-2</v>
      </c>
      <c r="E8" s="138"/>
      <c r="F8" s="138"/>
      <c r="G8" s="138"/>
      <c r="H8" s="138"/>
      <c r="I8" s="138"/>
      <c r="J8" s="138"/>
      <c r="L8" s="336" t="s">
        <v>118</v>
      </c>
      <c r="M8" s="334">
        <v>0.40669540500000001</v>
      </c>
      <c r="N8" s="334">
        <v>0.90991176250000005</v>
      </c>
    </row>
    <row r="9" spans="1:14" ht="10.5" customHeight="1">
      <c r="A9" s="392" t="s">
        <v>88</v>
      </c>
      <c r="B9" s="409">
        <v>594.24165378750001</v>
      </c>
      <c r="C9" s="409">
        <v>599.47107346249982</v>
      </c>
      <c r="D9" s="393">
        <f t="shared" si="0"/>
        <v>-8.723389512016122E-3</v>
      </c>
      <c r="E9" s="138"/>
      <c r="F9" s="138"/>
      <c r="G9" s="138"/>
      <c r="H9" s="138"/>
      <c r="I9" s="138"/>
      <c r="J9" s="138"/>
      <c r="L9" s="336" t="s">
        <v>243</v>
      </c>
      <c r="M9" s="334">
        <v>0.58341185000000007</v>
      </c>
      <c r="N9" s="334">
        <v>1.7925342850000001</v>
      </c>
    </row>
    <row r="10" spans="1:14" ht="10.5" customHeight="1">
      <c r="A10" s="390" t="s">
        <v>239</v>
      </c>
      <c r="B10" s="408">
        <v>370.73170210750004</v>
      </c>
      <c r="C10" s="408">
        <v>347.31674387500004</v>
      </c>
      <c r="D10" s="391">
        <f t="shared" si="0"/>
        <v>6.7416727368972085E-2</v>
      </c>
      <c r="E10" s="138"/>
      <c r="F10" s="138"/>
      <c r="G10" s="138"/>
      <c r="H10" s="138"/>
      <c r="I10" s="138"/>
      <c r="J10" s="138"/>
      <c r="K10" s="332"/>
      <c r="L10" s="334" t="s">
        <v>117</v>
      </c>
      <c r="M10" s="334">
        <v>0.88774774249999999</v>
      </c>
      <c r="N10" s="334">
        <v>0.90890776249999994</v>
      </c>
    </row>
    <row r="11" spans="1:14" ht="10.5" customHeight="1">
      <c r="A11" s="392" t="s">
        <v>90</v>
      </c>
      <c r="B11" s="409">
        <v>155.00370843000005</v>
      </c>
      <c r="C11" s="409">
        <v>166.49714083750001</v>
      </c>
      <c r="D11" s="393">
        <f t="shared" si="0"/>
        <v>-6.9030809476286925E-2</v>
      </c>
      <c r="E11" s="138"/>
      <c r="F11" s="138"/>
      <c r="G11" s="138"/>
      <c r="H11" s="138"/>
      <c r="I11" s="138"/>
      <c r="J11" s="138"/>
      <c r="K11" s="335"/>
      <c r="L11" s="334" t="s">
        <v>120</v>
      </c>
      <c r="M11" s="334">
        <v>1.4728728600000001</v>
      </c>
      <c r="N11" s="334">
        <v>9.2458196400000006</v>
      </c>
    </row>
    <row r="12" spans="1:14" ht="10.5" customHeight="1">
      <c r="A12" s="390" t="s">
        <v>98</v>
      </c>
      <c r="B12" s="408">
        <v>104.2803046275</v>
      </c>
      <c r="C12" s="408">
        <v>101.3922339625</v>
      </c>
      <c r="D12" s="391">
        <f t="shared" si="0"/>
        <v>2.8484140768297417E-2</v>
      </c>
      <c r="E12" s="138"/>
      <c r="F12" s="138"/>
      <c r="G12" s="138"/>
      <c r="H12" s="138"/>
      <c r="I12" s="138"/>
      <c r="J12" s="138"/>
      <c r="K12" s="335"/>
      <c r="L12" s="334" t="s">
        <v>119</v>
      </c>
      <c r="M12" s="334">
        <v>1.6994767075000001</v>
      </c>
      <c r="N12" s="334">
        <v>0.75443277499999994</v>
      </c>
    </row>
    <row r="13" spans="1:14" ht="10.5" customHeight="1">
      <c r="A13" s="392" t="s">
        <v>92</v>
      </c>
      <c r="B13" s="409">
        <v>101.10223247250002</v>
      </c>
      <c r="C13" s="409">
        <v>88.806342247499998</v>
      </c>
      <c r="D13" s="394">
        <f t="shared" si="0"/>
        <v>0.13845734340382831</v>
      </c>
      <c r="E13" s="138"/>
      <c r="F13" s="138"/>
      <c r="G13" s="138"/>
      <c r="H13" s="138"/>
      <c r="I13" s="138"/>
      <c r="J13" s="138"/>
      <c r="K13" s="335"/>
      <c r="L13" s="336" t="s">
        <v>115</v>
      </c>
      <c r="M13" s="334">
        <v>1.9741901425000001</v>
      </c>
      <c r="N13" s="334">
        <v>1.703283125</v>
      </c>
    </row>
    <row r="14" spans="1:14" ht="10.5" customHeight="1">
      <c r="A14" s="390" t="s">
        <v>241</v>
      </c>
      <c r="B14" s="408">
        <v>95.214060855</v>
      </c>
      <c r="C14" s="408">
        <v>120.613389375</v>
      </c>
      <c r="D14" s="391">
        <f t="shared" si="0"/>
        <v>-0.21058465110395619</v>
      </c>
      <c r="E14" s="138"/>
      <c r="F14" s="138"/>
      <c r="G14" s="138"/>
      <c r="H14" s="138"/>
      <c r="I14" s="138"/>
      <c r="J14" s="138"/>
      <c r="K14" s="335"/>
      <c r="L14" s="336" t="s">
        <v>116</v>
      </c>
      <c r="M14" s="334">
        <v>2.4344000000000001</v>
      </c>
      <c r="N14" s="334">
        <v>2.4540999999999999</v>
      </c>
    </row>
    <row r="15" spans="1:14" ht="10.5" customHeight="1">
      <c r="A15" s="392" t="s">
        <v>100</v>
      </c>
      <c r="B15" s="409">
        <v>86.537646402500002</v>
      </c>
      <c r="C15" s="409">
        <v>121.10620091999999</v>
      </c>
      <c r="D15" s="393">
        <f t="shared" si="0"/>
        <v>-0.28544000435068717</v>
      </c>
      <c r="E15" s="138"/>
      <c r="F15" s="138"/>
      <c r="G15" s="138"/>
      <c r="H15" s="138"/>
      <c r="I15" s="138"/>
      <c r="J15" s="138"/>
      <c r="K15" s="335"/>
      <c r="L15" s="334" t="s">
        <v>104</v>
      </c>
      <c r="M15" s="334">
        <v>2.9062781099999997</v>
      </c>
      <c r="N15" s="334">
        <v>4.7817676999999996</v>
      </c>
    </row>
    <row r="16" spans="1:14" ht="10.5" customHeight="1">
      <c r="A16" s="390" t="s">
        <v>91</v>
      </c>
      <c r="B16" s="408">
        <v>78.280372622499996</v>
      </c>
      <c r="C16" s="408">
        <v>78.907008152499984</v>
      </c>
      <c r="D16" s="391">
        <f t="shared" si="0"/>
        <v>-7.9414432845928973E-3</v>
      </c>
      <c r="E16" s="138"/>
      <c r="F16" s="138"/>
      <c r="G16" s="138"/>
      <c r="H16" s="138"/>
      <c r="I16" s="138"/>
      <c r="J16" s="138" t="s">
        <v>8</v>
      </c>
      <c r="K16" s="335"/>
      <c r="L16" s="334" t="s">
        <v>486</v>
      </c>
      <c r="M16" s="334">
        <v>3.1487543974999999</v>
      </c>
      <c r="N16" s="334"/>
    </row>
    <row r="17" spans="1:14" ht="10.5" customHeight="1">
      <c r="A17" s="392" t="s">
        <v>237</v>
      </c>
      <c r="B17" s="409">
        <v>73.771571962499991</v>
      </c>
      <c r="C17" s="409">
        <v>113.63428374</v>
      </c>
      <c r="D17" s="393">
        <f t="shared" si="0"/>
        <v>-0.3507982843338685</v>
      </c>
      <c r="E17" s="138"/>
      <c r="F17" s="138"/>
      <c r="G17" s="138"/>
      <c r="H17" s="138"/>
      <c r="I17" s="138"/>
      <c r="J17" s="138"/>
      <c r="K17" s="335"/>
      <c r="L17" s="334" t="s">
        <v>421</v>
      </c>
      <c r="M17" s="334">
        <v>3.3687812450000001</v>
      </c>
      <c r="N17" s="334">
        <v>3.2163367274999999</v>
      </c>
    </row>
    <row r="18" spans="1:14" ht="10.5" customHeight="1">
      <c r="A18" s="390" t="s">
        <v>96</v>
      </c>
      <c r="B18" s="408">
        <v>69.921504500000012</v>
      </c>
      <c r="C18" s="408">
        <v>64.667762552499994</v>
      </c>
      <c r="D18" s="391">
        <f t="shared" si="0"/>
        <v>8.1242055394058266E-2</v>
      </c>
      <c r="E18" s="138"/>
      <c r="F18" s="138"/>
      <c r="G18" s="138"/>
      <c r="H18" s="138"/>
      <c r="I18" s="138"/>
      <c r="J18" s="138"/>
      <c r="K18" s="338"/>
      <c r="L18" s="334" t="s">
        <v>112</v>
      </c>
      <c r="M18" s="334">
        <v>3.5980077925000002</v>
      </c>
      <c r="N18" s="334">
        <v>3.8874629825000002</v>
      </c>
    </row>
    <row r="19" spans="1:14" ht="10.5" customHeight="1">
      <c r="A19" s="392" t="s">
        <v>94</v>
      </c>
      <c r="B19" s="409">
        <v>62.238154625</v>
      </c>
      <c r="C19" s="409">
        <v>59.264519217500002</v>
      </c>
      <c r="D19" s="393">
        <f t="shared" si="0"/>
        <v>5.017564382133588E-2</v>
      </c>
      <c r="E19" s="138"/>
      <c r="F19" s="138"/>
      <c r="G19" s="138"/>
      <c r="H19" s="138"/>
      <c r="I19" s="138"/>
      <c r="J19" s="138"/>
      <c r="K19" s="335"/>
      <c r="L19" s="336" t="s">
        <v>114</v>
      </c>
      <c r="M19" s="334">
        <v>3.6143528150000002</v>
      </c>
      <c r="N19" s="334">
        <v>1.2097734025000002</v>
      </c>
    </row>
    <row r="20" spans="1:14" ht="10.5" customHeight="1">
      <c r="A20" s="390" t="s">
        <v>93</v>
      </c>
      <c r="B20" s="408">
        <v>53.5823961575</v>
      </c>
      <c r="C20" s="408">
        <v>69.585147019999994</v>
      </c>
      <c r="D20" s="391">
        <f t="shared" si="0"/>
        <v>-0.22997365885999377</v>
      </c>
      <c r="E20" s="138"/>
      <c r="F20" s="138"/>
      <c r="G20" s="138"/>
      <c r="H20" s="138"/>
      <c r="I20" s="138"/>
      <c r="J20" s="138"/>
      <c r="K20" s="335"/>
      <c r="L20" s="334" t="s">
        <v>102</v>
      </c>
      <c r="M20" s="334">
        <v>3.6527770325</v>
      </c>
      <c r="N20" s="334">
        <v>19.022962199999998</v>
      </c>
    </row>
    <row r="21" spans="1:14" ht="10.5" customHeight="1">
      <c r="A21" s="392" t="s">
        <v>95</v>
      </c>
      <c r="B21" s="409">
        <v>53.564943225</v>
      </c>
      <c r="C21" s="409">
        <v>60.646513262500001</v>
      </c>
      <c r="D21" s="393">
        <f t="shared" si="0"/>
        <v>-0.11676796664052902</v>
      </c>
      <c r="E21" s="138"/>
      <c r="F21" s="138"/>
      <c r="G21" s="138"/>
      <c r="H21" s="138"/>
      <c r="I21" s="138"/>
      <c r="J21" s="138"/>
      <c r="K21" s="335"/>
      <c r="L21" s="336" t="s">
        <v>111</v>
      </c>
      <c r="M21" s="334">
        <v>3.7930264</v>
      </c>
      <c r="N21" s="334">
        <v>3.9791125000000003</v>
      </c>
    </row>
    <row r="22" spans="1:14" ht="10.5" customHeight="1">
      <c r="A22" s="390" t="s">
        <v>99</v>
      </c>
      <c r="B22" s="408">
        <v>51.6015576275</v>
      </c>
      <c r="C22" s="408">
        <v>44.209399752500005</v>
      </c>
      <c r="D22" s="391">
        <f t="shared" si="0"/>
        <v>0.16720783173677845</v>
      </c>
      <c r="E22" s="138"/>
      <c r="F22" s="138"/>
      <c r="G22" s="138"/>
      <c r="H22" s="138"/>
      <c r="I22" s="138"/>
      <c r="J22" s="138"/>
      <c r="K22" s="338"/>
      <c r="L22" s="334" t="s">
        <v>109</v>
      </c>
      <c r="M22" s="334">
        <v>4.5691968475000007</v>
      </c>
      <c r="N22" s="334">
        <v>4.4378233575000001</v>
      </c>
    </row>
    <row r="23" spans="1:14" ht="10.5" customHeight="1">
      <c r="A23" s="392" t="s">
        <v>430</v>
      </c>
      <c r="B23" s="409">
        <v>46.701661407499998</v>
      </c>
      <c r="C23" s="409">
        <v>46.583902307499997</v>
      </c>
      <c r="D23" s="393">
        <f t="shared" si="0"/>
        <v>2.5278925587357559E-3</v>
      </c>
      <c r="E23" s="138"/>
      <c r="F23" s="138"/>
      <c r="G23" s="138"/>
      <c r="H23" s="138"/>
      <c r="I23" s="138"/>
      <c r="J23" s="138"/>
      <c r="K23" s="335"/>
      <c r="L23" s="336" t="s">
        <v>110</v>
      </c>
      <c r="M23" s="334">
        <v>4.7877358624999999</v>
      </c>
      <c r="N23" s="334">
        <v>4.6652179999999994</v>
      </c>
    </row>
    <row r="24" spans="1:14" ht="10.5" customHeight="1">
      <c r="A24" s="390" t="s">
        <v>97</v>
      </c>
      <c r="B24" s="408">
        <v>43.340071054999996</v>
      </c>
      <c r="C24" s="408">
        <v>45.204932597500004</v>
      </c>
      <c r="D24" s="391">
        <f t="shared" si="0"/>
        <v>-4.1253496805415901E-2</v>
      </c>
      <c r="E24" s="138"/>
      <c r="F24" s="138"/>
      <c r="G24" s="138"/>
      <c r="H24" s="138"/>
      <c r="I24" s="138"/>
      <c r="J24" s="138"/>
      <c r="K24" s="335"/>
      <c r="L24" s="336" t="s">
        <v>431</v>
      </c>
      <c r="M24" s="334">
        <v>5.1205254999999994</v>
      </c>
      <c r="N24" s="334">
        <v>5.2313902500000005</v>
      </c>
    </row>
    <row r="25" spans="1:14" ht="10.5" customHeight="1">
      <c r="A25" s="392" t="s">
        <v>238</v>
      </c>
      <c r="B25" s="409">
        <v>42.749755329999999</v>
      </c>
      <c r="C25" s="409">
        <v>36.550209789999997</v>
      </c>
      <c r="D25" s="393">
        <f t="shared" si="0"/>
        <v>0.16961723545828122</v>
      </c>
      <c r="E25" s="138"/>
      <c r="F25" s="138"/>
      <c r="G25" s="138"/>
      <c r="H25" s="138"/>
      <c r="I25" s="138"/>
      <c r="J25" s="138"/>
      <c r="K25" s="335"/>
      <c r="L25" s="336" t="s">
        <v>107</v>
      </c>
      <c r="M25" s="334">
        <v>5.6694066100000002</v>
      </c>
      <c r="N25" s="334">
        <v>5.0934307200000006</v>
      </c>
    </row>
    <row r="26" spans="1:14" ht="10.5" customHeight="1">
      <c r="A26" s="390" t="s">
        <v>108</v>
      </c>
      <c r="B26" s="408">
        <v>17.672831800000001</v>
      </c>
      <c r="C26" s="408">
        <v>22.286422627499999</v>
      </c>
      <c r="D26" s="391">
        <f t="shared" si="0"/>
        <v>-0.20701352139876972</v>
      </c>
      <c r="E26" s="138"/>
      <c r="F26" s="138"/>
      <c r="G26" s="138"/>
      <c r="H26" s="138"/>
      <c r="I26" s="138"/>
      <c r="J26" s="138"/>
      <c r="K26" s="335"/>
      <c r="L26" s="334" t="s">
        <v>244</v>
      </c>
      <c r="M26" s="334">
        <v>6.0102098750000001</v>
      </c>
      <c r="N26" s="334">
        <v>0.38157293249999996</v>
      </c>
    </row>
    <row r="27" spans="1:14" ht="10.5" customHeight="1">
      <c r="A27" s="392" t="s">
        <v>242</v>
      </c>
      <c r="B27" s="409">
        <v>16.1636633</v>
      </c>
      <c r="C27" s="409">
        <v>15.26119701</v>
      </c>
      <c r="D27" s="393">
        <f t="shared" si="0"/>
        <v>5.9134698897383542E-2</v>
      </c>
      <c r="E27" s="138"/>
      <c r="F27" s="138"/>
      <c r="G27" s="138"/>
      <c r="H27" s="138"/>
      <c r="I27" s="138"/>
      <c r="J27" s="138"/>
      <c r="K27" s="335"/>
      <c r="L27" s="336" t="s">
        <v>411</v>
      </c>
      <c r="M27" s="334">
        <v>6.5884644099999994</v>
      </c>
      <c r="N27" s="334">
        <v>6.0872632749999998</v>
      </c>
    </row>
    <row r="28" spans="1:14" ht="10.5" customHeight="1">
      <c r="A28" s="395" t="s">
        <v>113</v>
      </c>
      <c r="B28" s="408">
        <v>16.1593892625</v>
      </c>
      <c r="C28" s="408">
        <v>16.7957603975</v>
      </c>
      <c r="D28" s="391">
        <f t="shared" si="0"/>
        <v>-3.7888795740067982E-2</v>
      </c>
      <c r="E28" s="138"/>
      <c r="F28" s="138"/>
      <c r="G28" s="138"/>
      <c r="H28" s="138"/>
      <c r="I28" s="138"/>
      <c r="J28" s="138"/>
      <c r="K28" s="335"/>
      <c r="L28" s="336" t="s">
        <v>457</v>
      </c>
      <c r="M28" s="334">
        <v>6.7955937975000005</v>
      </c>
      <c r="N28" s="334">
        <v>6.3284610624999997</v>
      </c>
    </row>
    <row r="29" spans="1:14" ht="10.5" customHeight="1">
      <c r="A29" s="396" t="s">
        <v>455</v>
      </c>
      <c r="B29" s="409">
        <v>14.093762590000001</v>
      </c>
      <c r="C29" s="409">
        <v>20.545914439999997</v>
      </c>
      <c r="D29" s="393">
        <f t="shared" si="0"/>
        <v>-0.3140357597050325</v>
      </c>
      <c r="E29" s="138"/>
      <c r="F29" s="138"/>
      <c r="G29" s="138"/>
      <c r="H29" s="138"/>
      <c r="I29" s="138"/>
      <c r="J29" s="138"/>
      <c r="K29" s="335"/>
      <c r="L29" s="336" t="s">
        <v>121</v>
      </c>
      <c r="M29" s="334">
        <v>7.7378870724999995</v>
      </c>
      <c r="N29" s="334">
        <v>0</v>
      </c>
    </row>
    <row r="30" spans="1:14" ht="10.5" customHeight="1">
      <c r="A30" s="397" t="s">
        <v>101</v>
      </c>
      <c r="B30" s="408">
        <v>11.816421997499999</v>
      </c>
      <c r="C30" s="408">
        <v>9.6892305249999993</v>
      </c>
      <c r="D30" s="391">
        <f t="shared" si="0"/>
        <v>0.21954183740509148</v>
      </c>
      <c r="E30" s="138"/>
      <c r="F30" s="138"/>
      <c r="G30" s="138"/>
      <c r="H30" s="138"/>
      <c r="I30" s="138"/>
      <c r="J30" s="138"/>
      <c r="K30" s="335"/>
      <c r="L30" s="334" t="s">
        <v>446</v>
      </c>
      <c r="M30" s="334">
        <v>8.2396298975000004</v>
      </c>
      <c r="N30" s="334">
        <v>8.3398417474999995</v>
      </c>
    </row>
    <row r="31" spans="1:14" ht="10.5" customHeight="1">
      <c r="A31" s="396" t="s">
        <v>240</v>
      </c>
      <c r="B31" s="409">
        <v>11.371676297499999</v>
      </c>
      <c r="C31" s="409">
        <v>12.249863585</v>
      </c>
      <c r="D31" s="393">
        <f t="shared" si="0"/>
        <v>-7.1689556492314344E-2</v>
      </c>
      <c r="E31" s="138"/>
      <c r="F31" s="138"/>
      <c r="G31" s="138"/>
      <c r="H31" s="138"/>
      <c r="I31" s="138"/>
      <c r="J31" s="138"/>
      <c r="K31" s="335"/>
      <c r="L31" s="334" t="s">
        <v>103</v>
      </c>
      <c r="M31" s="334">
        <v>9.6963337275000008</v>
      </c>
      <c r="N31" s="334">
        <v>12.9292788775</v>
      </c>
    </row>
    <row r="32" spans="1:14" ht="14.25" customHeight="1">
      <c r="A32" s="397" t="s">
        <v>105</v>
      </c>
      <c r="B32" s="408">
        <v>11.3193498125</v>
      </c>
      <c r="C32" s="408">
        <v>49.544273907499999</v>
      </c>
      <c r="D32" s="391">
        <f t="shared" si="0"/>
        <v>-0.77153061454420713</v>
      </c>
      <c r="E32" s="138"/>
      <c r="F32" s="138"/>
      <c r="G32" s="138"/>
      <c r="H32" s="138"/>
      <c r="I32" s="138"/>
      <c r="J32" s="138"/>
      <c r="K32" s="335"/>
      <c r="L32" s="334" t="s">
        <v>425</v>
      </c>
      <c r="M32" s="334">
        <v>10.0043185675</v>
      </c>
      <c r="N32" s="334">
        <v>9.7229389099999999</v>
      </c>
    </row>
    <row r="33" spans="1:14">
      <c r="A33" s="710" t="s">
        <v>402</v>
      </c>
      <c r="B33" s="409">
        <v>11.088193905000001</v>
      </c>
      <c r="C33" s="409">
        <v>14.561900835000001</v>
      </c>
      <c r="D33" s="393">
        <f t="shared" si="0"/>
        <v>-0.23854762982939925</v>
      </c>
      <c r="E33" s="138"/>
      <c r="F33" s="138"/>
      <c r="G33" s="138"/>
      <c r="H33" s="138"/>
      <c r="I33" s="138"/>
      <c r="J33" s="138"/>
      <c r="K33" s="335"/>
      <c r="L33" s="336" t="s">
        <v>418</v>
      </c>
      <c r="M33" s="334">
        <v>10.023257812499999</v>
      </c>
      <c r="N33" s="334">
        <v>8.9568569525000008</v>
      </c>
    </row>
    <row r="34" spans="1:14">
      <c r="A34" s="531" t="s">
        <v>106</v>
      </c>
      <c r="B34" s="408">
        <v>10.799415547500001</v>
      </c>
      <c r="C34" s="408">
        <v>8.5392450775000004</v>
      </c>
      <c r="D34" s="391">
        <f>IF(C34=0,"",B34/C34-1)</f>
        <v>0.2646803610257431</v>
      </c>
      <c r="E34" s="138"/>
      <c r="F34" s="138"/>
      <c r="G34" s="138"/>
      <c r="H34" s="138"/>
      <c r="I34" s="138"/>
      <c r="J34" s="138"/>
      <c r="K34" s="339"/>
      <c r="L34" s="336" t="s">
        <v>458</v>
      </c>
      <c r="M34" s="334">
        <v>10.639190759999998</v>
      </c>
      <c r="N34" s="334"/>
    </row>
    <row r="35" spans="1:14">
      <c r="A35" s="710" t="s">
        <v>458</v>
      </c>
      <c r="B35" s="409">
        <v>10.639190759999998</v>
      </c>
      <c r="C35" s="409"/>
      <c r="D35" s="393" t="str">
        <f t="shared" si="0"/>
        <v/>
      </c>
      <c r="E35" s="138"/>
      <c r="F35" s="138"/>
      <c r="G35" s="138"/>
      <c r="H35" s="138"/>
      <c r="I35" s="138"/>
      <c r="J35" s="138"/>
      <c r="K35" s="339"/>
      <c r="L35" s="336" t="s">
        <v>106</v>
      </c>
      <c r="M35" s="334">
        <v>10.799415547500001</v>
      </c>
      <c r="N35" s="334">
        <v>8.5392450775000004</v>
      </c>
    </row>
    <row r="36" spans="1:14" ht="22.5" customHeight="1">
      <c r="A36" s="531" t="s">
        <v>418</v>
      </c>
      <c r="B36" s="408">
        <v>10.023257812499999</v>
      </c>
      <c r="C36" s="408">
        <v>8.9568569525000008</v>
      </c>
      <c r="D36" s="391">
        <f t="shared" si="0"/>
        <v>0.11905971767276569</v>
      </c>
      <c r="E36" s="138"/>
      <c r="F36" s="138"/>
      <c r="G36" s="138"/>
      <c r="H36" s="138"/>
      <c r="I36" s="138"/>
      <c r="J36" s="138"/>
      <c r="K36" s="338"/>
      <c r="L36" s="336" t="s">
        <v>402</v>
      </c>
      <c r="M36" s="334">
        <v>11.088193905000001</v>
      </c>
      <c r="N36" s="334">
        <v>14.561900835000001</v>
      </c>
    </row>
    <row r="37" spans="1:14" ht="10.5" customHeight="1">
      <c r="A37" s="396" t="s">
        <v>425</v>
      </c>
      <c r="B37" s="409">
        <v>10.0043185675</v>
      </c>
      <c r="C37" s="409">
        <v>9.7229389099999999</v>
      </c>
      <c r="D37" s="393">
        <f t="shared" si="0"/>
        <v>2.8939774290940301E-2</v>
      </c>
      <c r="E37" s="138"/>
      <c r="F37" s="138"/>
      <c r="G37" s="138"/>
      <c r="H37" s="138"/>
      <c r="I37" s="138"/>
      <c r="J37" s="138"/>
      <c r="K37" s="338"/>
      <c r="L37" s="334" t="s">
        <v>105</v>
      </c>
      <c r="M37" s="334">
        <v>11.3193498125</v>
      </c>
      <c r="N37" s="334">
        <v>49.544273907499999</v>
      </c>
    </row>
    <row r="38" spans="1:14" ht="10.5" customHeight="1">
      <c r="A38" s="531" t="s">
        <v>103</v>
      </c>
      <c r="B38" s="408">
        <v>9.6963337275000008</v>
      </c>
      <c r="C38" s="408">
        <v>12.9292788775</v>
      </c>
      <c r="D38" s="391">
        <f t="shared" si="0"/>
        <v>-0.25004837320247519</v>
      </c>
      <c r="E38" s="138"/>
      <c r="F38" s="138"/>
      <c r="G38" s="138"/>
      <c r="H38" s="138"/>
      <c r="I38" s="138"/>
      <c r="J38" s="138"/>
      <c r="K38" s="338"/>
      <c r="L38" s="336" t="s">
        <v>240</v>
      </c>
      <c r="M38" s="334">
        <v>11.371676297499999</v>
      </c>
      <c r="N38" s="334">
        <v>12.249863585</v>
      </c>
    </row>
    <row r="39" spans="1:14" ht="10.5" customHeight="1">
      <c r="A39" s="710" t="s">
        <v>446</v>
      </c>
      <c r="B39" s="409">
        <v>8.2396298975000004</v>
      </c>
      <c r="C39" s="409">
        <v>8.3398417474999995</v>
      </c>
      <c r="D39" s="393">
        <f t="shared" si="0"/>
        <v>-1.2016037358267506E-2</v>
      </c>
      <c r="E39" s="138"/>
      <c r="F39" s="138"/>
      <c r="G39" s="138"/>
      <c r="H39" s="138"/>
      <c r="I39" s="138"/>
      <c r="J39" s="138"/>
      <c r="K39" s="339"/>
      <c r="L39" s="334" t="s">
        <v>101</v>
      </c>
      <c r="M39" s="334">
        <v>11.816421997499999</v>
      </c>
      <c r="N39" s="334">
        <v>9.6892305249999993</v>
      </c>
    </row>
    <row r="40" spans="1:14" ht="10.5" customHeight="1">
      <c r="A40" s="531" t="s">
        <v>121</v>
      </c>
      <c r="B40" s="408">
        <v>7.7378870724999995</v>
      </c>
      <c r="C40" s="408">
        <v>0</v>
      </c>
      <c r="D40" s="391" t="str">
        <f t="shared" si="0"/>
        <v/>
      </c>
      <c r="E40" s="138"/>
      <c r="F40" s="138"/>
      <c r="G40" s="138"/>
      <c r="H40" s="138"/>
      <c r="I40" s="138"/>
      <c r="J40" s="138"/>
      <c r="K40" s="339"/>
      <c r="L40" s="336" t="s">
        <v>455</v>
      </c>
      <c r="M40" s="334">
        <v>14.093762590000001</v>
      </c>
      <c r="N40" s="334">
        <v>20.545914439999997</v>
      </c>
    </row>
    <row r="41" spans="1:14" ht="10.5" customHeight="1">
      <c r="A41" s="396" t="s">
        <v>457</v>
      </c>
      <c r="B41" s="409">
        <v>6.7955937975000005</v>
      </c>
      <c r="C41" s="409">
        <v>6.3284610624999997</v>
      </c>
      <c r="D41" s="393">
        <f t="shared" si="0"/>
        <v>7.3814586261429005E-2</v>
      </c>
      <c r="E41" s="138"/>
      <c r="F41" s="138"/>
      <c r="G41" s="138"/>
      <c r="H41" s="138"/>
      <c r="I41" s="138"/>
      <c r="J41" s="138"/>
      <c r="K41" s="339"/>
      <c r="L41" s="334" t="s">
        <v>113</v>
      </c>
      <c r="M41" s="334">
        <v>16.1593892625</v>
      </c>
      <c r="N41" s="334">
        <v>16.7957603975</v>
      </c>
    </row>
    <row r="42" spans="1:14" ht="10.5" customHeight="1">
      <c r="A42" s="397" t="s">
        <v>411</v>
      </c>
      <c r="B42" s="408">
        <v>6.5884644099999994</v>
      </c>
      <c r="C42" s="408">
        <v>6.0872632749999998</v>
      </c>
      <c r="D42" s="391">
        <f t="shared" si="0"/>
        <v>8.2336037124991934E-2</v>
      </c>
      <c r="E42" s="138"/>
      <c r="F42" s="138"/>
      <c r="G42" s="138"/>
      <c r="H42" s="138"/>
      <c r="I42" s="138"/>
      <c r="J42" s="138"/>
      <c r="L42" s="336" t="s">
        <v>242</v>
      </c>
      <c r="M42" s="334">
        <v>16.1636633</v>
      </c>
      <c r="N42" s="334">
        <v>15.26119701</v>
      </c>
    </row>
    <row r="43" spans="1:14" ht="10.5" customHeight="1">
      <c r="A43" s="396" t="s">
        <v>244</v>
      </c>
      <c r="B43" s="409">
        <v>6.0102098750000001</v>
      </c>
      <c r="C43" s="409">
        <v>0.38157293249999996</v>
      </c>
      <c r="D43" s="393">
        <f t="shared" si="0"/>
        <v>14.751143131726202</v>
      </c>
      <c r="E43" s="138"/>
      <c r="F43" s="138"/>
      <c r="G43" s="138"/>
      <c r="H43" s="138"/>
      <c r="I43" s="138"/>
      <c r="J43" s="138"/>
      <c r="L43" s="336" t="s">
        <v>108</v>
      </c>
      <c r="M43" s="334">
        <v>17.672831800000001</v>
      </c>
      <c r="N43" s="334">
        <v>22.286422627499999</v>
      </c>
    </row>
    <row r="44" spans="1:14" ht="10.5" customHeight="1">
      <c r="A44" s="397" t="s">
        <v>107</v>
      </c>
      <c r="B44" s="408">
        <v>5.6694066100000002</v>
      </c>
      <c r="C44" s="408">
        <v>5.0934307200000006</v>
      </c>
      <c r="D44" s="391">
        <f t="shared" si="0"/>
        <v>0.1130821094195622</v>
      </c>
      <c r="E44" s="138"/>
      <c r="F44" s="138"/>
      <c r="G44" s="138"/>
      <c r="H44" s="138"/>
      <c r="I44" s="138"/>
      <c r="J44" s="138"/>
      <c r="L44" s="337" t="s">
        <v>238</v>
      </c>
      <c r="M44" s="334">
        <v>42.749755329999999</v>
      </c>
      <c r="N44" s="334">
        <v>36.550209789999997</v>
      </c>
    </row>
    <row r="45" spans="1:14" ht="10.5" customHeight="1">
      <c r="A45" s="396" t="s">
        <v>431</v>
      </c>
      <c r="B45" s="409">
        <v>5.1205254999999994</v>
      </c>
      <c r="C45" s="409">
        <v>5.2313902500000005</v>
      </c>
      <c r="D45" s="393">
        <f t="shared" si="0"/>
        <v>-2.1192215587434116E-2</v>
      </c>
      <c r="E45" s="138"/>
      <c r="F45" s="138"/>
      <c r="G45" s="138"/>
      <c r="H45" s="138"/>
      <c r="I45" s="138"/>
      <c r="J45" s="138"/>
      <c r="L45" s="336" t="s">
        <v>97</v>
      </c>
      <c r="M45" s="334">
        <v>43.340071054999996</v>
      </c>
      <c r="N45" s="334">
        <v>45.204932597500004</v>
      </c>
    </row>
    <row r="46" spans="1:14" ht="10.5" customHeight="1">
      <c r="A46" s="397" t="s">
        <v>110</v>
      </c>
      <c r="B46" s="408">
        <v>4.7877358624999999</v>
      </c>
      <c r="C46" s="408">
        <v>4.6652179999999994</v>
      </c>
      <c r="D46" s="391">
        <f t="shared" si="0"/>
        <v>2.6261980147551656E-2</v>
      </c>
      <c r="E46" s="138"/>
      <c r="F46" s="138"/>
      <c r="G46" s="138"/>
      <c r="H46" s="138"/>
      <c r="I46" s="138"/>
      <c r="J46" s="138"/>
      <c r="L46" s="336" t="s">
        <v>430</v>
      </c>
      <c r="M46" s="334">
        <v>46.701661407499998</v>
      </c>
      <c r="N46" s="334">
        <v>46.583902307499997</v>
      </c>
    </row>
    <row r="47" spans="1:14" ht="10.5" customHeight="1">
      <c r="A47" s="396" t="s">
        <v>109</v>
      </c>
      <c r="B47" s="409">
        <v>4.5691968475000007</v>
      </c>
      <c r="C47" s="409">
        <v>4.4378233575000001</v>
      </c>
      <c r="D47" s="393">
        <f t="shared" si="0"/>
        <v>2.9603136361427529E-2</v>
      </c>
      <c r="E47" s="138"/>
      <c r="F47" s="138"/>
      <c r="G47" s="138"/>
      <c r="H47" s="138"/>
      <c r="I47" s="138"/>
      <c r="J47" s="138"/>
      <c r="L47" s="336" t="s">
        <v>99</v>
      </c>
      <c r="M47" s="334">
        <v>51.6015576275</v>
      </c>
      <c r="N47" s="334">
        <v>44.209399752500005</v>
      </c>
    </row>
    <row r="48" spans="1:14" ht="10.5" customHeight="1">
      <c r="A48" s="397" t="s">
        <v>111</v>
      </c>
      <c r="B48" s="408">
        <v>3.7930264</v>
      </c>
      <c r="C48" s="408">
        <v>3.9791125000000003</v>
      </c>
      <c r="D48" s="391">
        <f t="shared" si="0"/>
        <v>-4.6765729795274713E-2</v>
      </c>
      <c r="E48" s="138"/>
      <c r="F48" s="138"/>
      <c r="G48" s="138"/>
      <c r="H48" s="138"/>
      <c r="I48" s="138"/>
      <c r="J48" s="138"/>
      <c r="L48" s="334" t="s">
        <v>95</v>
      </c>
      <c r="M48" s="334">
        <v>53.564943225</v>
      </c>
      <c r="N48" s="334">
        <v>60.646513262500001</v>
      </c>
    </row>
    <row r="49" spans="1:14" ht="10.5" customHeight="1">
      <c r="A49" s="396" t="s">
        <v>102</v>
      </c>
      <c r="B49" s="409">
        <v>3.6527770325</v>
      </c>
      <c r="C49" s="409">
        <v>19.022962199999998</v>
      </c>
      <c r="D49" s="393">
        <f t="shared" si="0"/>
        <v>-0.80798063970815226</v>
      </c>
      <c r="E49" s="138"/>
      <c r="F49" s="138"/>
      <c r="G49" s="138"/>
      <c r="H49" s="138"/>
      <c r="I49" s="138"/>
      <c r="J49" s="138"/>
      <c r="L49" s="333" t="s">
        <v>93</v>
      </c>
      <c r="M49" s="334">
        <v>53.5823961575</v>
      </c>
      <c r="N49" s="334">
        <v>69.585147019999994</v>
      </c>
    </row>
    <row r="50" spans="1:14" ht="10.5" customHeight="1">
      <c r="A50" s="397" t="s">
        <v>114</v>
      </c>
      <c r="B50" s="408">
        <v>3.6143528150000002</v>
      </c>
      <c r="C50" s="408">
        <v>1.2097734025000002</v>
      </c>
      <c r="D50" s="391">
        <f t="shared" si="0"/>
        <v>1.987627937207852</v>
      </c>
      <c r="E50" s="138"/>
      <c r="F50" s="138"/>
      <c r="G50" s="138"/>
      <c r="H50" s="138"/>
      <c r="I50" s="138"/>
      <c r="J50" s="138"/>
      <c r="L50" s="336" t="s">
        <v>94</v>
      </c>
      <c r="M50" s="334">
        <v>62.238154625</v>
      </c>
      <c r="N50" s="334">
        <v>59.264519217500002</v>
      </c>
    </row>
    <row r="51" spans="1:14" ht="17.25" customHeight="1">
      <c r="A51" s="710" t="s">
        <v>112</v>
      </c>
      <c r="B51" s="409">
        <v>3.5980077925000002</v>
      </c>
      <c r="C51" s="409">
        <v>3.8874629825000002</v>
      </c>
      <c r="D51" s="393">
        <f t="shared" si="0"/>
        <v>-7.4458635697118192E-2</v>
      </c>
      <c r="E51" s="138"/>
      <c r="F51" s="138"/>
      <c r="G51" s="138"/>
      <c r="H51" s="138"/>
      <c r="I51" s="138"/>
      <c r="J51" s="138"/>
      <c r="L51" s="336" t="s">
        <v>96</v>
      </c>
      <c r="M51" s="334">
        <v>69.921504500000012</v>
      </c>
      <c r="N51" s="334">
        <v>64.667762552499994</v>
      </c>
    </row>
    <row r="52" spans="1:14" ht="10.5" customHeight="1">
      <c r="A52" s="397" t="s">
        <v>421</v>
      </c>
      <c r="B52" s="408">
        <v>3.3687812450000001</v>
      </c>
      <c r="C52" s="408">
        <v>3.2163367274999999</v>
      </c>
      <c r="D52" s="391">
        <f t="shared" si="0"/>
        <v>4.7396939566863194E-2</v>
      </c>
      <c r="E52" s="138"/>
      <c r="F52" s="138"/>
      <c r="G52" s="138"/>
      <c r="H52" s="138"/>
      <c r="I52" s="138"/>
      <c r="J52" s="138"/>
      <c r="L52" s="336" t="s">
        <v>237</v>
      </c>
      <c r="M52" s="334">
        <v>73.771571962499991</v>
      </c>
      <c r="N52" s="334">
        <v>113.63428374</v>
      </c>
    </row>
    <row r="53" spans="1:14" ht="10.5" customHeight="1">
      <c r="A53" s="396" t="s">
        <v>486</v>
      </c>
      <c r="B53" s="409">
        <v>3.1487543974999999</v>
      </c>
      <c r="C53" s="409"/>
      <c r="D53" s="393" t="str">
        <f t="shared" si="0"/>
        <v/>
      </c>
      <c r="E53" s="138"/>
      <c r="F53" s="138"/>
      <c r="G53" s="138"/>
      <c r="H53" s="138"/>
      <c r="I53" s="138"/>
      <c r="J53" s="138"/>
      <c r="L53" s="336" t="s">
        <v>91</v>
      </c>
      <c r="M53" s="334">
        <v>78.280372622499996</v>
      </c>
      <c r="N53" s="334">
        <v>78.907008152499984</v>
      </c>
    </row>
    <row r="54" spans="1:14" ht="10.5" customHeight="1">
      <c r="A54" s="397" t="s">
        <v>104</v>
      </c>
      <c r="B54" s="408">
        <v>2.9062781099999997</v>
      </c>
      <c r="C54" s="408">
        <v>4.7817676999999996</v>
      </c>
      <c r="D54" s="391">
        <f t="shared" si="0"/>
        <v>-0.39221679254724151</v>
      </c>
      <c r="E54" s="138"/>
      <c r="F54" s="138"/>
      <c r="G54" s="138"/>
      <c r="H54" s="138"/>
      <c r="I54" s="138"/>
      <c r="J54" s="138"/>
      <c r="L54" s="336" t="s">
        <v>100</v>
      </c>
      <c r="M54" s="334">
        <v>86.537646402500002</v>
      </c>
      <c r="N54" s="334">
        <v>121.10620091999999</v>
      </c>
    </row>
    <row r="55" spans="1:14" ht="10.5" customHeight="1">
      <c r="A55" s="396" t="s">
        <v>116</v>
      </c>
      <c r="B55" s="409">
        <v>2.4344000000000001</v>
      </c>
      <c r="C55" s="409">
        <v>2.4540999999999999</v>
      </c>
      <c r="D55" s="393">
        <f t="shared" si="0"/>
        <v>-8.0273827472392423E-3</v>
      </c>
      <c r="E55" s="138"/>
      <c r="F55" s="138"/>
      <c r="G55" s="138"/>
      <c r="H55" s="138"/>
      <c r="I55" s="138"/>
      <c r="J55" s="138"/>
      <c r="L55" s="336" t="s">
        <v>241</v>
      </c>
      <c r="M55" s="334">
        <v>95.214060855</v>
      </c>
      <c r="N55" s="334">
        <v>120.613389375</v>
      </c>
    </row>
    <row r="56" spans="1:14" ht="10.5" customHeight="1">
      <c r="A56" s="531" t="s">
        <v>115</v>
      </c>
      <c r="B56" s="408">
        <v>1.9741901425000001</v>
      </c>
      <c r="C56" s="408">
        <v>1.703283125</v>
      </c>
      <c r="D56" s="391">
        <f t="shared" si="0"/>
        <v>0.15904990399056529</v>
      </c>
      <c r="E56" s="138"/>
      <c r="F56" s="138"/>
      <c r="G56" s="138"/>
      <c r="H56" s="138"/>
      <c r="I56" s="138"/>
      <c r="J56" s="138"/>
      <c r="L56" s="334" t="s">
        <v>92</v>
      </c>
      <c r="M56" s="334">
        <v>101.10223247250002</v>
      </c>
      <c r="N56" s="334">
        <v>88.806342247499998</v>
      </c>
    </row>
    <row r="57" spans="1:14" ht="10.5" customHeight="1">
      <c r="A57" s="396" t="s">
        <v>119</v>
      </c>
      <c r="B57" s="409">
        <v>1.6994767075000001</v>
      </c>
      <c r="C57" s="409">
        <v>0.75443277499999994</v>
      </c>
      <c r="D57" s="393">
        <f t="shared" si="0"/>
        <v>1.2526549267428106</v>
      </c>
      <c r="E57" s="138"/>
      <c r="F57" s="138"/>
      <c r="G57" s="138"/>
      <c r="H57" s="138"/>
      <c r="I57" s="138"/>
      <c r="J57" s="138"/>
      <c r="L57" s="336" t="s">
        <v>98</v>
      </c>
      <c r="M57" s="334">
        <v>104.2803046275</v>
      </c>
      <c r="N57" s="334">
        <v>101.3922339625</v>
      </c>
    </row>
    <row r="58" spans="1:14" ht="10.5" customHeight="1">
      <c r="A58" s="397" t="s">
        <v>120</v>
      </c>
      <c r="B58" s="408">
        <v>1.4728728600000001</v>
      </c>
      <c r="C58" s="408">
        <v>9.2458196400000006</v>
      </c>
      <c r="D58" s="391">
        <f>IF(C58=0,"",B58/C58-1)</f>
        <v>-0.84069850836934568</v>
      </c>
      <c r="E58" s="138"/>
      <c r="F58" s="138"/>
      <c r="G58" s="138"/>
      <c r="H58" s="138"/>
      <c r="I58" s="138"/>
      <c r="J58" s="138"/>
      <c r="L58" s="336" t="s">
        <v>90</v>
      </c>
      <c r="M58" s="334">
        <v>155.00370843000005</v>
      </c>
      <c r="N58" s="334">
        <v>166.49714083750001</v>
      </c>
    </row>
    <row r="59" spans="1:14" ht="10.5" customHeight="1">
      <c r="A59" s="396" t="s">
        <v>117</v>
      </c>
      <c r="B59" s="409">
        <v>0.88774774249999999</v>
      </c>
      <c r="C59" s="409">
        <v>0.90890776249999994</v>
      </c>
      <c r="D59" s="393">
        <f t="shared" si="0"/>
        <v>-2.3280712161372841E-2</v>
      </c>
      <c r="E59" s="138"/>
      <c r="F59" s="138"/>
      <c r="G59" s="138"/>
      <c r="H59" s="138"/>
      <c r="I59" s="138"/>
      <c r="J59" s="138"/>
      <c r="L59" s="334" t="s">
        <v>239</v>
      </c>
      <c r="M59" s="334">
        <v>370.73170210750004</v>
      </c>
      <c r="N59" s="334">
        <v>347.31674387500004</v>
      </c>
    </row>
    <row r="60" spans="1:14" ht="10.5" customHeight="1">
      <c r="A60" s="397" t="s">
        <v>243</v>
      </c>
      <c r="B60" s="410">
        <v>0.58341185000000007</v>
      </c>
      <c r="C60" s="410">
        <v>1.7925342850000001</v>
      </c>
      <c r="D60" s="398">
        <f t="shared" si="0"/>
        <v>-0.67453238976681551</v>
      </c>
      <c r="E60" s="138"/>
      <c r="F60" s="138"/>
      <c r="G60" s="138"/>
      <c r="H60" s="138"/>
      <c r="I60" s="138"/>
      <c r="J60" s="138"/>
      <c r="L60" s="336" t="s">
        <v>88</v>
      </c>
      <c r="M60" s="334">
        <v>594.24165378750001</v>
      </c>
      <c r="N60" s="334">
        <v>599.47107346249982</v>
      </c>
    </row>
    <row r="61" spans="1:14" ht="10.5" customHeight="1">
      <c r="A61" s="399" t="s">
        <v>118</v>
      </c>
      <c r="B61" s="409">
        <v>0.40669540500000001</v>
      </c>
      <c r="C61" s="409">
        <v>0.90991176250000005</v>
      </c>
      <c r="D61" s="393">
        <f t="shared" si="0"/>
        <v>-0.55303863323780256</v>
      </c>
      <c r="E61" s="138"/>
      <c r="F61" s="138"/>
      <c r="G61" s="138"/>
      <c r="H61" s="138"/>
      <c r="I61" s="138"/>
      <c r="J61" s="138"/>
      <c r="L61" s="336" t="s">
        <v>89</v>
      </c>
      <c r="M61" s="334">
        <v>605.79122700000005</v>
      </c>
      <c r="N61" s="334">
        <v>572.44090935000008</v>
      </c>
    </row>
    <row r="62" spans="1:14" s="730" customFormat="1" ht="10.5" customHeight="1">
      <c r="A62" s="397" t="s">
        <v>453</v>
      </c>
      <c r="B62" s="410">
        <v>0.32842944749999997</v>
      </c>
      <c r="C62" s="410">
        <v>0.2409587225</v>
      </c>
      <c r="D62" s="398">
        <f t="shared" si="0"/>
        <v>0.36301124147933672</v>
      </c>
      <c r="E62" s="138"/>
      <c r="F62" s="138"/>
      <c r="G62" s="138"/>
      <c r="H62" s="138"/>
      <c r="I62" s="138"/>
      <c r="J62" s="138"/>
      <c r="L62" s="336" t="s">
        <v>87</v>
      </c>
      <c r="M62" s="334">
        <v>690.28812281750015</v>
      </c>
      <c r="N62" s="334">
        <v>669.62592800750008</v>
      </c>
    </row>
    <row r="63" spans="1:14" s="730" customFormat="1" ht="10.5" customHeight="1">
      <c r="A63" s="399" t="s">
        <v>412</v>
      </c>
      <c r="B63" s="409">
        <v>0.12889900000000001</v>
      </c>
      <c r="C63" s="409">
        <v>0.410327</v>
      </c>
      <c r="D63" s="393">
        <f t="shared" si="0"/>
        <v>-0.68586273874251513</v>
      </c>
      <c r="E63" s="138"/>
      <c r="F63" s="138"/>
      <c r="G63" s="138"/>
      <c r="H63" s="138"/>
      <c r="I63" s="138"/>
      <c r="J63" s="138"/>
      <c r="L63" s="336" t="s">
        <v>410</v>
      </c>
      <c r="M63" s="334">
        <v>835.36959045500009</v>
      </c>
      <c r="N63" s="334">
        <v>778.58826709750008</v>
      </c>
    </row>
    <row r="64" spans="1:14" s="730" customFormat="1" ht="10.5" customHeight="1">
      <c r="A64" s="836" t="s">
        <v>236</v>
      </c>
      <c r="B64" s="837">
        <v>0</v>
      </c>
      <c r="C64" s="837">
        <v>1.293120155</v>
      </c>
      <c r="D64" s="838">
        <f t="shared" si="0"/>
        <v>-1</v>
      </c>
      <c r="E64" s="138"/>
      <c r="F64" s="138"/>
      <c r="G64" s="138"/>
      <c r="H64" s="138"/>
      <c r="I64" s="138"/>
      <c r="J64" s="138"/>
      <c r="L64" s="336"/>
      <c r="M64" s="334"/>
      <c r="N64" s="334"/>
    </row>
    <row r="65" spans="1:14" ht="10.5" customHeight="1">
      <c r="A65" s="740" t="s">
        <v>42</v>
      </c>
      <c r="B65" s="741">
        <f>+SUM(B6:B64)</f>
        <v>4464.6767936674996</v>
      </c>
      <c r="C65" s="741">
        <f>+SUM(C6:C64)</f>
        <v>4482.5706027574997</v>
      </c>
      <c r="D65" s="364">
        <f>IF(C65=0,"",B65/C65-1)</f>
        <v>-3.9918633024971228E-3</v>
      </c>
      <c r="E65" s="138"/>
      <c r="F65" s="138"/>
      <c r="G65" s="138"/>
      <c r="H65" s="138"/>
      <c r="I65" s="138"/>
      <c r="J65" s="138"/>
      <c r="L65" s="336"/>
      <c r="M65" s="334"/>
      <c r="N65" s="334"/>
    </row>
    <row r="66" spans="1:14" ht="40.5" customHeight="1">
      <c r="A66" s="934" t="str">
        <f>"Cuadro N° 6: Participación de las empresas generadoras del COES en la producción de energía eléctrica (GWh) en "&amp;'1. Resumen'!Q4</f>
        <v>Cuadro N° 6: Participación de las empresas generadoras del COES en la producción de energía eléctrica (GWh) en octubre</v>
      </c>
      <c r="B66" s="934"/>
      <c r="C66" s="934"/>
      <c r="D66" s="529"/>
      <c r="E66" s="933" t="str">
        <f>"Gráfico N° 10: Comparación de producción energética (GWh) de las empresas generadoras del COES en "&amp;'1. Resumen'!Q4</f>
        <v>Gráfico N° 10: Comparación de producción energética (GWh) de las empresas generadoras del COES en octubre</v>
      </c>
      <c r="F66" s="933"/>
      <c r="G66" s="933"/>
      <c r="H66" s="933"/>
      <c r="I66" s="933"/>
      <c r="J66" s="933"/>
    </row>
    <row r="67" spans="1:14" ht="24" customHeight="1">
      <c r="A67" s="936"/>
      <c r="B67" s="936"/>
      <c r="C67" s="936"/>
      <c r="D67" s="936"/>
      <c r="E67" s="936"/>
      <c r="F67" s="936"/>
      <c r="G67" s="936"/>
      <c r="H67" s="936"/>
      <c r="I67" s="936"/>
      <c r="J67" s="936"/>
    </row>
    <row r="68" spans="1:14" ht="12.75" customHeight="1">
      <c r="A68" s="935"/>
      <c r="B68" s="935"/>
      <c r="C68" s="935"/>
      <c r="D68" s="935"/>
      <c r="E68" s="935"/>
      <c r="F68" s="935"/>
      <c r="G68" s="935"/>
      <c r="H68" s="935"/>
      <c r="I68" s="935"/>
      <c r="J68" s="935"/>
    </row>
    <row r="69" spans="1:14" ht="12.75" customHeight="1">
      <c r="A69" s="738"/>
      <c r="B69" s="738"/>
      <c r="C69" s="738"/>
      <c r="D69" s="738"/>
      <c r="E69" s="738"/>
      <c r="F69" s="738"/>
      <c r="G69" s="738"/>
      <c r="H69" s="738"/>
      <c r="I69" s="738"/>
      <c r="J69" s="738"/>
    </row>
    <row r="70" spans="1:14">
      <c r="A70" s="935"/>
      <c r="B70" s="935"/>
      <c r="C70" s="935"/>
      <c r="D70" s="935"/>
      <c r="E70" s="935"/>
      <c r="F70" s="935"/>
      <c r="G70" s="935"/>
      <c r="H70" s="935"/>
      <c r="I70" s="935"/>
      <c r="J70" s="935"/>
    </row>
    <row r="71" spans="1:14">
      <c r="A71" s="927"/>
      <c r="B71" s="927"/>
      <c r="C71" s="927"/>
      <c r="D71" s="927"/>
      <c r="E71" s="927"/>
      <c r="F71" s="927"/>
      <c r="G71" s="927"/>
      <c r="H71" s="927"/>
      <c r="I71" s="927"/>
      <c r="J71" s="927"/>
    </row>
    <row r="72" spans="1:14">
      <c r="A72" s="928"/>
      <c r="B72" s="928"/>
      <c r="C72" s="928"/>
      <c r="D72" s="928"/>
      <c r="E72" s="928"/>
      <c r="F72" s="928"/>
      <c r="G72" s="928"/>
      <c r="H72" s="928"/>
      <c r="I72" s="928"/>
      <c r="J72" s="928"/>
    </row>
    <row r="73" spans="1:14">
      <c r="A73" s="927"/>
      <c r="B73" s="927"/>
      <c r="C73" s="927"/>
      <c r="D73" s="927"/>
      <c r="E73" s="927"/>
      <c r="F73" s="927"/>
      <c r="G73" s="927"/>
      <c r="H73" s="927"/>
      <c r="I73" s="927"/>
      <c r="J73" s="927"/>
    </row>
    <row r="74" spans="1:14">
      <c r="A74" s="928"/>
      <c r="B74" s="928"/>
      <c r="C74" s="928"/>
      <c r="D74" s="928"/>
      <c r="E74" s="928"/>
      <c r="F74" s="928"/>
      <c r="G74" s="928"/>
      <c r="H74" s="928"/>
      <c r="I74" s="928"/>
      <c r="J74" s="928"/>
    </row>
  </sheetData>
  <mergeCells count="13">
    <mergeCell ref="A71:J71"/>
    <mergeCell ref="A72:J72"/>
    <mergeCell ref="A73:J73"/>
    <mergeCell ref="A74:J74"/>
    <mergeCell ref="A2:I2"/>
    <mergeCell ref="A4:A5"/>
    <mergeCell ref="B4:D4"/>
    <mergeCell ref="G4:I4"/>
    <mergeCell ref="E66:J66"/>
    <mergeCell ref="A66:C66"/>
    <mergeCell ref="A70:J70"/>
    <mergeCell ref="A68:J68"/>
    <mergeCell ref="A67:J67"/>
  </mergeCells>
  <pageMargins left="0.70866141732283472" right="0.59055118110236227" top="1.0236220472440944" bottom="0.62992125984251968" header="0.31496062992125984" footer="0.31496062992125984"/>
  <pageSetup paperSize="9" scale="95" orientation="portrait" r:id="rId1"/>
  <headerFooter>
    <oddHeader>&amp;R&amp;7Informe de la Operación Mensual-Octubre 2020
INFSGI-MES-10-2020
12/11/2020
Versión: 01</oddHeader>
    <oddFooter>&amp;L&amp;7COES, 2020&amp;C7&amp;R&amp;7Dirección Ejecutiva
Sub Dirección de Gestión de Información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3F62BF0A91D58640B5E0290661EB4BAD" ma:contentTypeVersion="6" ma:contentTypeDescription="Crear nuevo documento." ma:contentTypeScope="" ma:versionID="022562b799345ce6bbb48799750c98c1">
  <xsd:schema xmlns:xsd="http://www.w3.org/2001/XMLSchema" xmlns:xs="http://www.w3.org/2001/XMLSchema" xmlns:p="http://schemas.microsoft.com/office/2006/metadata/properties" xmlns:ns2="59cfd1bd-b933-46d2-9e59-e0ca6f705071" targetNamespace="http://schemas.microsoft.com/office/2006/metadata/properties" ma:root="true" ma:fieldsID="978fea9db8ad9653b811147c42bfe71f" ns2:_="">
    <xsd:import namespace="59cfd1bd-b933-46d2-9e59-e0ca6f70507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cfd1bd-b933-46d2-9e59-e0ca6f70507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6A1FF71-72FC-49FC-9105-4FF1D140754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cfd1bd-b933-46d2-9e59-e0ca6f7050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3489D51-7B53-4BF7-AE01-6F8C34E19663}">
  <ds:schemaRefs>
    <ds:schemaRef ds:uri="http://schemas.microsoft.com/sharepoint/v3/contenttype/forms"/>
  </ds:schemaRefs>
</ds:datastoreItem>
</file>

<file path=customXml/itemProps3.xml><?xml version="1.0" encoding="utf-8"?>
<ds:datastoreItem xmlns:ds="http://schemas.openxmlformats.org/officeDocument/2006/customXml" ds:itemID="{F4AAD1D2-CD1B-4A95-A472-4DFC006AB847}">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31</vt:i4>
      </vt:variant>
      <vt:variant>
        <vt:lpstr>Named Ranges</vt:lpstr>
      </vt:variant>
      <vt:variant>
        <vt:i4>22</vt:i4>
      </vt:variant>
    </vt:vector>
  </HeadingPairs>
  <TitlesOfParts>
    <vt:vector size="53" baseType="lpstr">
      <vt:lpstr>Portada </vt:lpstr>
      <vt:lpstr>Índice</vt:lpstr>
      <vt:lpstr>1. Resumen</vt:lpstr>
      <vt:lpstr>2. Oferta de generación</vt:lpstr>
      <vt:lpstr>3. Tipo Generación</vt:lpstr>
      <vt:lpstr>4. Tipo Recurso</vt:lpstr>
      <vt:lpstr>5. RER</vt:lpstr>
      <vt:lpstr>6. FP RER</vt:lpstr>
      <vt:lpstr>7. Generacion empresa</vt:lpstr>
      <vt:lpstr>8. Max Potencia</vt:lpstr>
      <vt:lpstr>9. Pot. Empresa</vt:lpstr>
      <vt:lpstr>10. Volúmenes</vt:lpstr>
      <vt:lpstr>11. Volúmenes</vt:lpstr>
      <vt:lpstr>12.Caudales</vt:lpstr>
      <vt:lpstr>13.Caudales</vt:lpstr>
      <vt:lpstr>14. CMg</vt:lpstr>
      <vt:lpstr>15. Mapa CMg</vt:lpstr>
      <vt:lpstr>16. Congestiones</vt:lpstr>
      <vt:lpstr>17. Eventos</vt:lpstr>
      <vt:lpstr>18. ANEXOI-1</vt:lpstr>
      <vt:lpstr>19. ANEXOI-2</vt:lpstr>
      <vt:lpstr>20. ANEXOI-3</vt:lpstr>
      <vt:lpstr>21. ANEXOII-1</vt:lpstr>
      <vt:lpstr>22. ANEXOII-2</vt:lpstr>
      <vt:lpstr>23. ANEXOII-3</vt:lpstr>
      <vt:lpstr>24. ANEXOII-4</vt:lpstr>
      <vt:lpstr>25.ANEXO III -1</vt:lpstr>
      <vt:lpstr>26.ANEXO III-2</vt:lpstr>
      <vt:lpstr>27.ANEXO III-3</vt:lpstr>
      <vt:lpstr>28.ANEXO III-4</vt:lpstr>
      <vt:lpstr>Contraportada</vt:lpstr>
      <vt:lpstr>'1. Resumen'!Print_Area</vt:lpstr>
      <vt:lpstr>'10. Volúmenes'!Print_Area</vt:lpstr>
      <vt:lpstr>'11. Volúmenes'!Print_Area</vt:lpstr>
      <vt:lpstr>'12.Caudales'!Print_Area</vt:lpstr>
      <vt:lpstr>'13.Caudales'!Print_Area</vt:lpstr>
      <vt:lpstr>'14. CMg'!Print_Area</vt:lpstr>
      <vt:lpstr>'15. Mapa CMg'!Print_Area</vt:lpstr>
      <vt:lpstr>'2. Oferta de generación'!Print_Area</vt:lpstr>
      <vt:lpstr>'20. ANEXOI-3'!Print_Area</vt:lpstr>
      <vt:lpstr>'21. ANEXOII-1'!Print_Area</vt:lpstr>
      <vt:lpstr>'23. ANEXOII-3'!Print_Area</vt:lpstr>
      <vt:lpstr>'25.ANEXO III -1'!Print_Area</vt:lpstr>
      <vt:lpstr>'26.ANEXO III-2'!Print_Area</vt:lpstr>
      <vt:lpstr>'27.ANEXO III-3'!Print_Area</vt:lpstr>
      <vt:lpstr>'28.ANEXO III-4'!Print_Area</vt:lpstr>
      <vt:lpstr>'5. RER'!Print_Area</vt:lpstr>
      <vt:lpstr>'6. FP RER'!Print_Area</vt:lpstr>
      <vt:lpstr>'7. Generacion empresa'!Print_Area</vt:lpstr>
      <vt:lpstr>'8. Max Potencia'!Print_Area</vt:lpstr>
      <vt:lpstr>'9. Pot. Empresa'!Print_Area</vt:lpstr>
      <vt:lpstr>Índice!Print_Area</vt:lpstr>
      <vt:lpstr>'Portada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Varas Barrios</dc:creator>
  <cp:lastModifiedBy>Ricardo Varas Barrios </cp:lastModifiedBy>
  <cp:lastPrinted>2020-11-12T15:27:13Z</cp:lastPrinted>
  <dcterms:created xsi:type="dcterms:W3CDTF">2018-02-13T14:18:17Z</dcterms:created>
  <dcterms:modified xsi:type="dcterms:W3CDTF">2020-11-12T19:46:32Z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 id">
    <vt:lpwstr>d1255f35-ff42-4844-87ef-0f26ccf0211b</vt:lpwstr>
  </property>
  <property fmtid="{D5CDD505-2E9C-101B-9397-08002B2CF9AE}" pid="3" name="Workbook type">
    <vt:lpwstr>Custom</vt:lpwstr>
  </property>
  <property fmtid="{D5CDD505-2E9C-101B-9397-08002B2CF9AE}" pid="4" name="Workbook version">
    <vt:lpwstr>Custom</vt:lpwstr>
  </property>
  <property fmtid="{D5CDD505-2E9C-101B-9397-08002B2CF9AE}" pid="5" name="ContentTypeId">
    <vt:lpwstr>0x0101003F62BF0A91D58640B5E0290661EB4BAD</vt:lpwstr>
  </property>
</Properties>
</file>